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"/>
    </mc:Choice>
  </mc:AlternateContent>
  <xr:revisionPtr revIDLastSave="0" documentId="13_ncr:1_{515AA305-4359-4629-937E-CC6D2489ED39}" xr6:coauthVersionLast="47" xr6:coauthVersionMax="47" xr10:uidLastSave="{00000000-0000-0000-0000-000000000000}"/>
  <bookViews>
    <workbookView xWindow="-108" yWindow="-108" windowWidth="23256" windowHeight="12576" tabRatio="934" firstSheet="5" activeTab="7" xr2:uid="{00000000-000D-0000-FFFF-FFFF00000000}"/>
  </bookViews>
  <sheets>
    <sheet name="Лист1" sheetId="1" state="hidden" r:id="rId1"/>
    <sheet name="Лист2" sheetId="2" state="hidden" r:id="rId2"/>
    <sheet name="Свод" sheetId="13" r:id="rId3"/>
    <sheet name="демонтаж по трассе ВР" sheetId="31" r:id="rId4"/>
    <sheet name="демонтаж по трассе смета" sheetId="28" state="hidden" r:id="rId5"/>
    <sheet name="демонтаж 121 ВР" sheetId="29" r:id="rId6"/>
    <sheet name="демонтаж 121 смета" sheetId="32" state="hidden" r:id="rId7"/>
    <sheet name="сверка объемов с РД конкурс" sheetId="35" r:id="rId8"/>
    <sheet name="СМР 417 жд" sheetId="8" r:id="rId9"/>
    <sheet name="мат 417 жд" sheetId="3" r:id="rId10"/>
    <sheet name="СМР ком-ции 417" sheetId="12" r:id="rId11"/>
    <sheet name="мат ком-ции 417" sheetId="7" r:id="rId12"/>
    <sheet name="СМР трнсбрдр (2)" sheetId="24" r:id="rId13"/>
    <sheet name="мат трнсбрдр (2)" sheetId="25" r:id="rId14"/>
    <sheet name="Результат" sheetId="26" state="hidden" r:id="rId15"/>
    <sheet name="СМР 217 путь" sheetId="9" state="hidden" r:id="rId16"/>
    <sheet name="мат 217 путь" sheetId="4" state="hidden" r:id="rId17"/>
    <sheet name="СМР комм-ции 217 " sheetId="14" state="hidden" r:id="rId18"/>
    <sheet name="мат комм-ции 217" sheetId="15" state="hidden" r:id="rId19"/>
    <sheet name="СМР жд 8 цех" sheetId="10" state="hidden" r:id="rId20"/>
    <sheet name="мат 8 цех" sheetId="5" state="hidden" r:id="rId21"/>
    <sheet name="СМР трнсбрдр" sheetId="11" state="hidden" r:id="rId22"/>
    <sheet name="мат трнсбрдр" sheetId="6" state="hidden" r:id="rId23"/>
    <sheet name="СМР ГСН" sheetId="16" r:id="rId24"/>
    <sheet name="мат ГСН" sheetId="17" r:id="rId25"/>
    <sheet name="СМР эсткд" sheetId="22" r:id="rId26"/>
    <sheet name="мат эсткд" sheetId="23" r:id="rId27"/>
    <sheet name="СМР ТС2" sheetId="18" r:id="rId28"/>
    <sheet name="мат ТС2" sheetId="19" r:id="rId29"/>
    <sheet name="СМР ТС3" sheetId="20" r:id="rId30"/>
    <sheet name="мат ТС3" sheetId="21" r:id="rId31"/>
    <sheet name="СМР АС3" sheetId="34" r:id="rId32"/>
    <sheet name="мат АС3" sheetId="33" r:id="rId33"/>
  </sheets>
  <externalReferences>
    <externalReference r:id="rId34"/>
  </externalReferences>
  <definedNames>
    <definedName name="_xlnm.Print_Area" localSheetId="9">'мат 417 жд'!$A$1:$G$34</definedName>
    <definedName name="_xlnm.Print_Area" localSheetId="18">'мат комм-ции 217'!$A$1:$G$109</definedName>
    <definedName name="_xlnm.Print_Area" localSheetId="11">'мат ком-ции 417'!$A$1:$G$291</definedName>
    <definedName name="_xlnm.Print_Area" localSheetId="22">'мат трнсбрдр'!$A$1:$G$301</definedName>
    <definedName name="_xlnm.Print_Area" localSheetId="13">'мат трнсбрдр (2)'!$A$1:$G$301</definedName>
    <definedName name="_xlnm.Print_Area" localSheetId="28">'мат ТС2'!$A$1:$G$99</definedName>
    <definedName name="_xlnm.Print_Area" localSheetId="30">'мат ТС3'!$A$1:$G$93</definedName>
    <definedName name="_xlnm.Print_Area" localSheetId="26">'мат эсткд'!$A$1:$G$87</definedName>
    <definedName name="_xlnm.Print_Area" localSheetId="2">Свод!$A$1:$N$32</definedName>
    <definedName name="_xlnm.Print_Area" localSheetId="8">'СМР 417 жд'!$A$1:$G$36</definedName>
    <definedName name="_xlnm.Print_Area" localSheetId="23">'СМР ГСН'!$A$1:$G$42</definedName>
    <definedName name="_xlnm.Print_Area" localSheetId="17">'СМР комм-ции 217 '!$A$1:$G$253</definedName>
    <definedName name="_xlnm.Print_Area" localSheetId="10">'СМР ком-ции 417'!$A$1:$G$397</definedName>
    <definedName name="_xlnm.Print_Area" localSheetId="21">'СМР трнсбрдр'!$A$1:$G$238</definedName>
    <definedName name="_xlnm.Print_Area" localSheetId="12">'СМР трнсбрдр (2)'!$A$1:$G$236</definedName>
    <definedName name="_xlnm.Print_Area" localSheetId="27">'СМР ТС2'!$A$1:$G$89</definedName>
    <definedName name="_xlnm.Print_Area" localSheetId="29">'СМР ТС3'!$A$1:$G$103</definedName>
    <definedName name="_xlnm.Print_Area" localSheetId="25">'СМР эсткд'!$A$1:$G$100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8" i="25" l="1"/>
  <c r="I121" i="25" s="1"/>
  <c r="K30" i="35"/>
  <c r="I14" i="13"/>
  <c r="I18" i="13"/>
  <c r="L19" i="13" l="1"/>
  <c r="J19" i="13"/>
  <c r="L7" i="13"/>
  <c r="J7" i="13"/>
  <c r="F31" i="13"/>
  <c r="J7" i="33"/>
  <c r="K7" i="33" s="1"/>
  <c r="L7" i="33" s="1"/>
  <c r="J10" i="33"/>
  <c r="K10" i="33"/>
  <c r="L10" i="33" s="1"/>
  <c r="J29" i="33"/>
  <c r="K29" i="33" s="1"/>
  <c r="L29" i="33" s="1"/>
  <c r="J33" i="33"/>
  <c r="K33" i="33" s="1"/>
  <c r="L33" i="33" s="1"/>
  <c r="J38" i="33"/>
  <c r="K38" i="33"/>
  <c r="L38" i="33" s="1"/>
  <c r="J39" i="33"/>
  <c r="K39" i="33" s="1"/>
  <c r="L39" i="33" s="1"/>
  <c r="J40" i="33"/>
  <c r="K40" i="33" s="1"/>
  <c r="L40" i="33" s="1"/>
  <c r="J48" i="33"/>
  <c r="K48" i="33"/>
  <c r="L48" i="33" s="1"/>
  <c r="J52" i="33"/>
  <c r="K52" i="33"/>
  <c r="L52" i="33" s="1"/>
  <c r="J56" i="33"/>
  <c r="K56" i="33"/>
  <c r="L56" i="33" s="1"/>
  <c r="J65" i="33"/>
  <c r="K65" i="33" s="1"/>
  <c r="L65" i="33" s="1"/>
  <c r="J66" i="33"/>
  <c r="K66" i="33"/>
  <c r="L66" i="33"/>
  <c r="J67" i="33"/>
  <c r="K67" i="33" s="1"/>
  <c r="L67" i="33" s="1"/>
  <c r="J69" i="33"/>
  <c r="K69" i="33"/>
  <c r="L69" i="33" s="1"/>
  <c r="J70" i="33"/>
  <c r="K70" i="33" s="1"/>
  <c r="L70" i="33" s="1"/>
  <c r="J73" i="33"/>
  <c r="K73" i="33" s="1"/>
  <c r="L73" i="33" s="1"/>
  <c r="J74" i="33"/>
  <c r="K74" i="33"/>
  <c r="L74" i="33"/>
  <c r="J75" i="33"/>
  <c r="K75" i="33" s="1"/>
  <c r="L75" i="33" s="1"/>
  <c r="J76" i="33"/>
  <c r="K76" i="33" s="1"/>
  <c r="L76" i="33" s="1"/>
  <c r="J81" i="33"/>
  <c r="K81" i="33" s="1"/>
  <c r="L81" i="33" s="1"/>
  <c r="J82" i="33"/>
  <c r="K82" i="33"/>
  <c r="L82" i="33"/>
  <c r="J83" i="33"/>
  <c r="K83" i="33" s="1"/>
  <c r="L83" i="33" s="1"/>
  <c r="J84" i="33"/>
  <c r="K84" i="33"/>
  <c r="L84" i="33" s="1"/>
  <c r="J86" i="33"/>
  <c r="K86" i="33" s="1"/>
  <c r="L86" i="33" s="1"/>
  <c r="J3" i="33"/>
  <c r="K3" i="33" s="1"/>
  <c r="G4" i="33"/>
  <c r="J4" i="33" s="1"/>
  <c r="K4" i="33" s="1"/>
  <c r="L4" i="33" s="1"/>
  <c r="H4" i="33"/>
  <c r="G5" i="33"/>
  <c r="H5" i="33" s="1"/>
  <c r="G7" i="33"/>
  <c r="H7" i="33"/>
  <c r="G10" i="33"/>
  <c r="H10" i="33"/>
  <c r="G13" i="33"/>
  <c r="J13" i="33" s="1"/>
  <c r="K13" i="33" s="1"/>
  <c r="L13" i="33" s="1"/>
  <c r="H13" i="33"/>
  <c r="G15" i="33"/>
  <c r="J15" i="33" s="1"/>
  <c r="K15" i="33" s="1"/>
  <c r="L15" i="33" s="1"/>
  <c r="H15" i="33"/>
  <c r="G20" i="33"/>
  <c r="J20" i="33" s="1"/>
  <c r="K20" i="33" s="1"/>
  <c r="L20" i="33" s="1"/>
  <c r="H20" i="33"/>
  <c r="G21" i="33"/>
  <c r="J21" i="33" s="1"/>
  <c r="K21" i="33" s="1"/>
  <c r="L21" i="33" s="1"/>
  <c r="H21" i="33"/>
  <c r="G23" i="33"/>
  <c r="J23" i="33" s="1"/>
  <c r="K23" i="33" s="1"/>
  <c r="L23" i="33" s="1"/>
  <c r="H23" i="33"/>
  <c r="G29" i="33"/>
  <c r="H29" i="33"/>
  <c r="G31" i="33"/>
  <c r="J31" i="33" s="1"/>
  <c r="K31" i="33" s="1"/>
  <c r="L31" i="33" s="1"/>
  <c r="H31" i="33"/>
  <c r="G33" i="33"/>
  <c r="H33" i="33"/>
  <c r="G34" i="33"/>
  <c r="J34" i="33" s="1"/>
  <c r="K34" i="33" s="1"/>
  <c r="L34" i="33" s="1"/>
  <c r="H34" i="33"/>
  <c r="G35" i="33"/>
  <c r="J35" i="33" s="1"/>
  <c r="K35" i="33" s="1"/>
  <c r="L35" i="33" s="1"/>
  <c r="H35" i="33"/>
  <c r="G36" i="33"/>
  <c r="J36" i="33" s="1"/>
  <c r="K36" i="33" s="1"/>
  <c r="L36" i="33" s="1"/>
  <c r="H36" i="33"/>
  <c r="G37" i="33"/>
  <c r="J37" i="33" s="1"/>
  <c r="K37" i="33" s="1"/>
  <c r="L37" i="33" s="1"/>
  <c r="H37" i="33"/>
  <c r="G38" i="33"/>
  <c r="H38" i="33" s="1"/>
  <c r="G39" i="33"/>
  <c r="H39" i="33"/>
  <c r="G40" i="33"/>
  <c r="H40" i="33"/>
  <c r="G45" i="33"/>
  <c r="H45" i="33" s="1"/>
  <c r="G46" i="33"/>
  <c r="J46" i="33" s="1"/>
  <c r="K46" i="33" s="1"/>
  <c r="L46" i="33" s="1"/>
  <c r="H46" i="33"/>
  <c r="G48" i="33"/>
  <c r="H48" i="33"/>
  <c r="G51" i="33"/>
  <c r="J51" i="33" s="1"/>
  <c r="K51" i="33" s="1"/>
  <c r="L51" i="33" s="1"/>
  <c r="G52" i="33"/>
  <c r="H52" i="33"/>
  <c r="G53" i="33"/>
  <c r="H53" i="33" s="1"/>
  <c r="G54" i="33"/>
  <c r="J54" i="33" s="1"/>
  <c r="K54" i="33" s="1"/>
  <c r="L54" i="33" s="1"/>
  <c r="H54" i="33"/>
  <c r="G55" i="33"/>
  <c r="J55" i="33" s="1"/>
  <c r="K55" i="33" s="1"/>
  <c r="L55" i="33" s="1"/>
  <c r="G56" i="33"/>
  <c r="H56" i="33" s="1"/>
  <c r="G62" i="33"/>
  <c r="J62" i="33" s="1"/>
  <c r="K62" i="33" s="1"/>
  <c r="L62" i="33" s="1"/>
  <c r="H62" i="33"/>
  <c r="G63" i="33"/>
  <c r="J63" i="33" s="1"/>
  <c r="K63" i="33" s="1"/>
  <c r="L63" i="33" s="1"/>
  <c r="H63" i="33"/>
  <c r="G64" i="33"/>
  <c r="J64" i="33" s="1"/>
  <c r="K64" i="33" s="1"/>
  <c r="L64" i="33" s="1"/>
  <c r="H64" i="33"/>
  <c r="G65" i="33"/>
  <c r="H65" i="33" s="1"/>
  <c r="G66" i="33"/>
  <c r="H66" i="33"/>
  <c r="G67" i="33"/>
  <c r="H67" i="33"/>
  <c r="G68" i="33"/>
  <c r="J68" i="33" s="1"/>
  <c r="K68" i="33" s="1"/>
  <c r="L68" i="33" s="1"/>
  <c r="H68" i="33"/>
  <c r="G69" i="33"/>
  <c r="H69" i="33"/>
  <c r="G70" i="33"/>
  <c r="H70" i="33"/>
  <c r="G71" i="33"/>
  <c r="J71" i="33" s="1"/>
  <c r="K71" i="33" s="1"/>
  <c r="L71" i="33" s="1"/>
  <c r="H71" i="33"/>
  <c r="G72" i="33"/>
  <c r="J72" i="33" s="1"/>
  <c r="K72" i="33" s="1"/>
  <c r="L72" i="33" s="1"/>
  <c r="H72" i="33"/>
  <c r="G73" i="33"/>
  <c r="H73" i="33" s="1"/>
  <c r="G74" i="33"/>
  <c r="H74" i="33"/>
  <c r="G75" i="33"/>
  <c r="H75" i="33"/>
  <c r="G76" i="33"/>
  <c r="H76" i="33"/>
  <c r="G77" i="33"/>
  <c r="J77" i="33" s="1"/>
  <c r="K77" i="33" s="1"/>
  <c r="L77" i="33" s="1"/>
  <c r="H77" i="33"/>
  <c r="G78" i="33"/>
  <c r="J78" i="33" s="1"/>
  <c r="K78" i="33" s="1"/>
  <c r="L78" i="33" s="1"/>
  <c r="H78" i="33"/>
  <c r="G80" i="33"/>
  <c r="J80" i="33" s="1"/>
  <c r="K80" i="33" s="1"/>
  <c r="L80" i="33" s="1"/>
  <c r="H80" i="33"/>
  <c r="G81" i="33"/>
  <c r="H81" i="33" s="1"/>
  <c r="G82" i="33"/>
  <c r="H82" i="33"/>
  <c r="G83" i="33"/>
  <c r="H83" i="33" s="1"/>
  <c r="G84" i="33"/>
  <c r="H84" i="33" s="1"/>
  <c r="G85" i="33"/>
  <c r="J85" i="33" s="1"/>
  <c r="K85" i="33" s="1"/>
  <c r="L85" i="33" s="1"/>
  <c r="G86" i="33"/>
  <c r="H86" i="33"/>
  <c r="G87" i="33"/>
  <c r="J87" i="33" s="1"/>
  <c r="K87" i="33" s="1"/>
  <c r="L87" i="33" s="1"/>
  <c r="H87" i="33"/>
  <c r="G88" i="33"/>
  <c r="J88" i="33" s="1"/>
  <c r="K88" i="33" s="1"/>
  <c r="L88" i="33" s="1"/>
  <c r="H88" i="33"/>
  <c r="G89" i="33"/>
  <c r="H89" i="33" s="1"/>
  <c r="G3" i="33"/>
  <c r="H3" i="33" s="1"/>
  <c r="F89" i="33"/>
  <c r="F87" i="33"/>
  <c r="F86" i="33"/>
  <c r="F85" i="33"/>
  <c r="F84" i="33"/>
  <c r="F83" i="33"/>
  <c r="F82" i="33"/>
  <c r="F81" i="33"/>
  <c r="E80" i="33"/>
  <c r="F80" i="33" s="1"/>
  <c r="E79" i="33"/>
  <c r="F79" i="33" s="1"/>
  <c r="F78" i="33"/>
  <c r="F77" i="33"/>
  <c r="F76" i="33"/>
  <c r="F75" i="33"/>
  <c r="F73" i="33"/>
  <c r="F72" i="33"/>
  <c r="F70" i="33"/>
  <c r="F69" i="33"/>
  <c r="F68" i="33"/>
  <c r="F67" i="33"/>
  <c r="F66" i="33"/>
  <c r="F63" i="33"/>
  <c r="E62" i="33"/>
  <c r="F62" i="33" s="1"/>
  <c r="E61" i="33"/>
  <c r="F61" i="33" s="1"/>
  <c r="E60" i="33"/>
  <c r="F60" i="33" s="1"/>
  <c r="E59" i="33"/>
  <c r="F59" i="33" s="1"/>
  <c r="E58" i="33"/>
  <c r="F58" i="33" s="1"/>
  <c r="E57" i="33"/>
  <c r="F57" i="33" s="1"/>
  <c r="F56" i="33"/>
  <c r="E55" i="33"/>
  <c r="F55" i="33" s="1"/>
  <c r="F54" i="33"/>
  <c r="F53" i="33"/>
  <c r="F52" i="33"/>
  <c r="F51" i="33"/>
  <c r="E50" i="33"/>
  <c r="F50" i="33" s="1"/>
  <c r="E49" i="33"/>
  <c r="F49" i="33" s="1"/>
  <c r="F48" i="33"/>
  <c r="E48" i="33"/>
  <c r="E47" i="33"/>
  <c r="F47" i="33" s="1"/>
  <c r="E46" i="33"/>
  <c r="F46" i="33" s="1"/>
  <c r="E45" i="33"/>
  <c r="F45" i="33" s="1"/>
  <c r="E44" i="33"/>
  <c r="F44" i="33" s="1"/>
  <c r="E43" i="33"/>
  <c r="F43" i="33" s="1"/>
  <c r="E42" i="33"/>
  <c r="F42" i="33" s="1"/>
  <c r="E41" i="33"/>
  <c r="F41" i="33" s="1"/>
  <c r="F40" i="33"/>
  <c r="F39" i="33"/>
  <c r="F38" i="33"/>
  <c r="F37" i="33"/>
  <c r="E36" i="33"/>
  <c r="F36" i="33" s="1"/>
  <c r="F35" i="33"/>
  <c r="F34" i="33"/>
  <c r="F33" i="33"/>
  <c r="E32" i="33"/>
  <c r="F32" i="33" s="1"/>
  <c r="E31" i="33"/>
  <c r="F31" i="33" s="1"/>
  <c r="E30" i="33"/>
  <c r="F30" i="33" s="1"/>
  <c r="F29" i="33"/>
  <c r="E28" i="33"/>
  <c r="F28" i="33" s="1"/>
  <c r="E27" i="33"/>
  <c r="F27" i="33" s="1"/>
  <c r="E26" i="33"/>
  <c r="F26" i="33" s="1"/>
  <c r="E25" i="33"/>
  <c r="F25" i="33" s="1"/>
  <c r="E24" i="33"/>
  <c r="F24" i="33" s="1"/>
  <c r="E23" i="33"/>
  <c r="F23" i="33" s="1"/>
  <c r="E22" i="33"/>
  <c r="F22" i="33" s="1"/>
  <c r="F21" i="33"/>
  <c r="E20" i="33"/>
  <c r="F20" i="33" s="1"/>
  <c r="E19" i="33"/>
  <c r="F19" i="33" s="1"/>
  <c r="E18" i="33"/>
  <c r="F18" i="33" s="1"/>
  <c r="E17" i="33"/>
  <c r="F17" i="33" s="1"/>
  <c r="E16" i="33"/>
  <c r="F16" i="33" s="1"/>
  <c r="F15" i="33"/>
  <c r="E14" i="33"/>
  <c r="F14" i="33" s="1"/>
  <c r="E13" i="33"/>
  <c r="F13" i="33" s="1"/>
  <c r="E12" i="33"/>
  <c r="F12" i="33" s="1"/>
  <c r="E11" i="33"/>
  <c r="F11" i="33" s="1"/>
  <c r="F10" i="33"/>
  <c r="E9" i="33"/>
  <c r="F9" i="33" s="1"/>
  <c r="E8" i="33"/>
  <c r="F8" i="33" s="1"/>
  <c r="E7" i="33"/>
  <c r="F7" i="33" s="1"/>
  <c r="E6" i="33"/>
  <c r="F6" i="33" s="1"/>
  <c r="E5" i="33"/>
  <c r="F5" i="33" s="1"/>
  <c r="E4" i="33"/>
  <c r="F4" i="33" s="1"/>
  <c r="F3" i="33"/>
  <c r="L3" i="33" l="1"/>
  <c r="G44" i="33"/>
  <c r="G27" i="33"/>
  <c r="G19" i="33"/>
  <c r="G11" i="33"/>
  <c r="H55" i="33"/>
  <c r="G79" i="33"/>
  <c r="J5" i="33"/>
  <c r="K5" i="33" s="1"/>
  <c r="L5" i="33" s="1"/>
  <c r="G61" i="33"/>
  <c r="G43" i="33"/>
  <c r="H85" i="33"/>
  <c r="H51" i="33"/>
  <c r="G26" i="33"/>
  <c r="G18" i="33"/>
  <c r="J89" i="33"/>
  <c r="K89" i="33" s="1"/>
  <c r="L89" i="33" s="1"/>
  <c r="G12" i="33"/>
  <c r="G60" i="33"/>
  <c r="G42" i="33"/>
  <c r="J45" i="33"/>
  <c r="K45" i="33" s="1"/>
  <c r="L45" i="33" s="1"/>
  <c r="G41" i="33"/>
  <c r="G25" i="33"/>
  <c r="G17" i="33"/>
  <c r="G9" i="33"/>
  <c r="G50" i="33"/>
  <c r="G28" i="33"/>
  <c r="G59" i="33"/>
  <c r="G49" i="33"/>
  <c r="G32" i="33"/>
  <c r="G24" i="33"/>
  <c r="G16" i="33"/>
  <c r="G8" i="33"/>
  <c r="J53" i="33"/>
  <c r="K53" i="33" s="1"/>
  <c r="L53" i="33" s="1"/>
  <c r="G57" i="33"/>
  <c r="G58" i="33"/>
  <c r="G47" i="33"/>
  <c r="G30" i="33"/>
  <c r="G22" i="33"/>
  <c r="G14" i="33"/>
  <c r="G6" i="33"/>
  <c r="J32" i="13"/>
  <c r="F90" i="33"/>
  <c r="L31" i="13" s="1"/>
  <c r="L32" i="13" s="1"/>
  <c r="E235" i="7"/>
  <c r="E236" i="7" s="1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9" i="13"/>
  <c r="N10" i="13"/>
  <c r="N11" i="13"/>
  <c r="N12" i="13"/>
  <c r="N13" i="13"/>
  <c r="N14" i="13"/>
  <c r="N8" i="13"/>
  <c r="N3" i="13"/>
  <c r="F26" i="31"/>
  <c r="G26" i="31" s="1"/>
  <c r="H26" i="31" s="1"/>
  <c r="B28" i="13"/>
  <c r="B27" i="13"/>
  <c r="B25" i="13"/>
  <c r="B26" i="13"/>
  <c r="B24" i="13"/>
  <c r="B23" i="13"/>
  <c r="B22" i="13"/>
  <c r="B21" i="13"/>
  <c r="B20" i="13"/>
  <c r="G5" i="13"/>
  <c r="B6" i="13"/>
  <c r="B5" i="13"/>
  <c r="B4" i="13"/>
  <c r="F37" i="8"/>
  <c r="B18" i="13"/>
  <c r="B17" i="13"/>
  <c r="B16" i="13"/>
  <c r="B15" i="13"/>
  <c r="B14" i="13"/>
  <c r="B13" i="13"/>
  <c r="B12" i="13"/>
  <c r="B11" i="13"/>
  <c r="B10" i="13"/>
  <c r="B9" i="13"/>
  <c r="B8" i="13"/>
  <c r="BD112" i="29"/>
  <c r="J42" i="31"/>
  <c r="K42" i="31" s="1"/>
  <c r="E8" i="25"/>
  <c r="E31" i="3"/>
  <c r="E127" i="7"/>
  <c r="E10" i="25"/>
  <c r="K6" i="3"/>
  <c r="I6" i="3"/>
  <c r="E6" i="3" s="1"/>
  <c r="G54" i="31"/>
  <c r="H54" i="31" s="1"/>
  <c r="I45" i="31"/>
  <c r="F45" i="31" s="1"/>
  <c r="G45" i="31" s="1"/>
  <c r="I64" i="31"/>
  <c r="G64" i="31"/>
  <c r="H64" i="31" s="1"/>
  <c r="G62" i="31"/>
  <c r="H62" i="31" s="1"/>
  <c r="G61" i="31"/>
  <c r="H61" i="31" s="1"/>
  <c r="G51" i="31"/>
  <c r="H51" i="31" s="1"/>
  <c r="G42" i="31"/>
  <c r="H42" i="31" s="1"/>
  <c r="G35" i="31"/>
  <c r="G32" i="31"/>
  <c r="G33" i="31" s="1"/>
  <c r="G25" i="31"/>
  <c r="H25" i="31" s="1"/>
  <c r="G19" i="31"/>
  <c r="G18" i="31"/>
  <c r="G11" i="31"/>
  <c r="H11" i="31" s="1"/>
  <c r="G6" i="31"/>
  <c r="H6" i="31" s="1"/>
  <c r="G7" i="31"/>
  <c r="H7" i="31" s="1"/>
  <c r="G8" i="31"/>
  <c r="G5" i="31"/>
  <c r="G44" i="31"/>
  <c r="H44" i="31" s="1"/>
  <c r="G53" i="31"/>
  <c r="H53" i="31" s="1"/>
  <c r="G63" i="31"/>
  <c r="H63" i="31" s="1"/>
  <c r="Q127" i="29"/>
  <c r="Q125" i="29"/>
  <c r="Q123" i="29"/>
  <c r="Q121" i="29"/>
  <c r="Q118" i="29"/>
  <c r="Q116" i="29"/>
  <c r="Q114" i="29"/>
  <c r="Q111" i="29"/>
  <c r="Q109" i="29"/>
  <c r="Q107" i="29"/>
  <c r="Q105" i="29"/>
  <c r="Q101" i="29"/>
  <c r="Q96" i="29"/>
  <c r="Q95" i="29"/>
  <c r="Q93" i="29"/>
  <c r="Q86" i="29"/>
  <c r="Q84" i="29"/>
  <c r="Q80" i="29"/>
  <c r="Q78" i="29"/>
  <c r="Q75" i="29"/>
  <c r="Q73" i="29"/>
  <c r="Q71" i="29"/>
  <c r="Q69" i="29"/>
  <c r="Q67" i="29"/>
  <c r="Q65" i="29"/>
  <c r="Q63" i="29"/>
  <c r="Q61" i="29"/>
  <c r="Q58" i="29"/>
  <c r="Q56" i="29"/>
  <c r="Q54" i="29"/>
  <c r="Q51" i="29"/>
  <c r="Q49" i="29"/>
  <c r="Q44" i="29"/>
  <c r="Q42" i="29"/>
  <c r="Q40" i="29"/>
  <c r="Q38" i="29"/>
  <c r="Q37" i="29"/>
  <c r="Q35" i="29"/>
  <c r="Q31" i="29"/>
  <c r="Q29" i="29"/>
  <c r="Q27" i="29"/>
  <c r="Q24" i="29"/>
  <c r="Q22" i="29"/>
  <c r="Q20" i="29"/>
  <c r="Q19" i="29"/>
  <c r="Q15" i="29"/>
  <c r="Q13" i="29"/>
  <c r="Q11" i="29"/>
  <c r="Q10" i="29"/>
  <c r="Q8" i="29"/>
  <c r="Q6" i="29"/>
  <c r="G12" i="31"/>
  <c r="H12" i="31" s="1"/>
  <c r="D14" i="31"/>
  <c r="G14" i="31" s="1"/>
  <c r="H14" i="31" s="1"/>
  <c r="D13" i="31"/>
  <c r="G13" i="31" s="1"/>
  <c r="H13" i="31" s="1"/>
  <c r="D21" i="31"/>
  <c r="G21" i="31" s="1"/>
  <c r="H21" i="31" s="1"/>
  <c r="D20" i="31"/>
  <c r="G20" i="31" s="1"/>
  <c r="H20" i="31" s="1"/>
  <c r="D28" i="31"/>
  <c r="G28" i="31" s="1"/>
  <c r="H28" i="31" s="1"/>
  <c r="D27" i="31"/>
  <c r="G27" i="31" s="1"/>
  <c r="H27" i="31" s="1"/>
  <c r="D38" i="31"/>
  <c r="G38" i="31" s="1"/>
  <c r="H38" i="31" s="1"/>
  <c r="D37" i="31"/>
  <c r="G37" i="31" s="1"/>
  <c r="H37" i="31" s="1"/>
  <c r="D47" i="31"/>
  <c r="G47" i="31" s="1"/>
  <c r="H47" i="31" s="1"/>
  <c r="D46" i="31"/>
  <c r="G46" i="31" s="1"/>
  <c r="H46" i="31" s="1"/>
  <c r="G67" i="31"/>
  <c r="H67" i="31" s="1"/>
  <c r="D56" i="31"/>
  <c r="G56" i="31" s="1"/>
  <c r="H56" i="31" s="1"/>
  <c r="D55" i="31"/>
  <c r="G55" i="31" s="1"/>
  <c r="H55" i="31" s="1"/>
  <c r="G72" i="31"/>
  <c r="H72" i="31" s="1"/>
  <c r="G71" i="31"/>
  <c r="H71" i="31" s="1"/>
  <c r="G66" i="31"/>
  <c r="H66" i="31" s="1"/>
  <c r="G65" i="31"/>
  <c r="H65" i="31" s="1"/>
  <c r="G60" i="31"/>
  <c r="H60" i="31" s="1"/>
  <c r="S660" i="32"/>
  <c r="O97" i="29"/>
  <c r="Q97" i="29" s="1"/>
  <c r="R97" i="29" s="1"/>
  <c r="O94" i="29"/>
  <c r="Q94" i="29" s="1"/>
  <c r="R94" i="29" s="1"/>
  <c r="O88" i="29"/>
  <c r="Q88" i="29" s="1"/>
  <c r="O85" i="29"/>
  <c r="Q85" i="29" s="1"/>
  <c r="R85" i="29" s="1"/>
  <c r="O83" i="29"/>
  <c r="Q83" i="29" s="1"/>
  <c r="O76" i="29"/>
  <c r="Q76" i="29" s="1"/>
  <c r="R76" i="29" s="1"/>
  <c r="O74" i="29"/>
  <c r="Q74" i="29" s="1"/>
  <c r="R74" i="29" s="1"/>
  <c r="O72" i="29"/>
  <c r="Q72" i="29" s="1"/>
  <c r="R72" i="29" s="1"/>
  <c r="O68" i="29"/>
  <c r="Q68" i="29" s="1"/>
  <c r="O41" i="29"/>
  <c r="Q41" i="29" s="1"/>
  <c r="R41" i="29" s="1"/>
  <c r="O39" i="29"/>
  <c r="Q39" i="29" s="1"/>
  <c r="R39" i="29" s="1"/>
  <c r="O36" i="29"/>
  <c r="Q36" i="29" s="1"/>
  <c r="O28" i="29"/>
  <c r="Q28" i="29" s="1"/>
  <c r="R28" i="29" s="1"/>
  <c r="O70" i="29"/>
  <c r="Q70" i="29" s="1"/>
  <c r="R70" i="29" s="1"/>
  <c r="O62" i="29"/>
  <c r="Q62" i="29" s="1"/>
  <c r="R62" i="29" s="1"/>
  <c r="O48" i="29"/>
  <c r="Q48" i="29" s="1"/>
  <c r="O100" i="29"/>
  <c r="O103" i="29"/>
  <c r="Q103" i="29" s="1"/>
  <c r="R103" i="29" s="1"/>
  <c r="O104" i="29"/>
  <c r="Q104" i="29" s="1"/>
  <c r="R104" i="29" s="1"/>
  <c r="O110" i="29"/>
  <c r="Q110" i="29" s="1"/>
  <c r="R110" i="29" s="1"/>
  <c r="O112" i="29"/>
  <c r="Q112" i="29" s="1"/>
  <c r="R112" i="29" s="1"/>
  <c r="O117" i="29"/>
  <c r="Q117" i="29" s="1"/>
  <c r="O119" i="29"/>
  <c r="Q119" i="29" s="1"/>
  <c r="R119" i="29" s="1"/>
  <c r="O124" i="29"/>
  <c r="O126" i="29"/>
  <c r="Q126" i="29" s="1"/>
  <c r="R126" i="29" s="1"/>
  <c r="O128" i="29"/>
  <c r="Q128" i="29" s="1"/>
  <c r="R128" i="29" s="1"/>
  <c r="O122" i="29"/>
  <c r="Q122" i="29" s="1"/>
  <c r="R122" i="29" s="1"/>
  <c r="O120" i="29"/>
  <c r="Q120" i="29" s="1"/>
  <c r="R120" i="29" s="1"/>
  <c r="O115" i="29"/>
  <c r="Q115" i="29" s="1"/>
  <c r="R115" i="29" s="1"/>
  <c r="O113" i="29"/>
  <c r="Q113" i="29" s="1"/>
  <c r="R113" i="29" s="1"/>
  <c r="O108" i="29"/>
  <c r="Q108" i="29" s="1"/>
  <c r="R108" i="29" s="1"/>
  <c r="O106" i="29"/>
  <c r="Q106" i="29" s="1"/>
  <c r="R106" i="29" s="1"/>
  <c r="O102" i="29"/>
  <c r="Q102" i="29" s="1"/>
  <c r="R102" i="29" s="1"/>
  <c r="O99" i="29"/>
  <c r="Q99" i="29" s="1"/>
  <c r="R99" i="29" s="1"/>
  <c r="O98" i="29"/>
  <c r="Q98" i="29" s="1"/>
  <c r="R98" i="29" s="1"/>
  <c r="O92" i="29"/>
  <c r="Q92" i="29" s="1"/>
  <c r="R92" i="29" s="1"/>
  <c r="O91" i="29"/>
  <c r="Q91" i="29" s="1"/>
  <c r="R91" i="29" s="1"/>
  <c r="O90" i="29"/>
  <c r="Q90" i="29" s="1"/>
  <c r="R90" i="29" s="1"/>
  <c r="O89" i="29"/>
  <c r="Q89" i="29" s="1"/>
  <c r="R89" i="29" s="1"/>
  <c r="O87" i="29"/>
  <c r="Q87" i="29" s="1"/>
  <c r="R87" i="29" s="1"/>
  <c r="O82" i="29"/>
  <c r="Q82" i="29" s="1"/>
  <c r="R82" i="29" s="1"/>
  <c r="O81" i="29"/>
  <c r="Q81" i="29" s="1"/>
  <c r="R81" i="29" s="1"/>
  <c r="O79" i="29"/>
  <c r="Q79" i="29" s="1"/>
  <c r="R79" i="29" s="1"/>
  <c r="O77" i="29"/>
  <c r="Q77" i="29" s="1"/>
  <c r="R77" i="29" s="1"/>
  <c r="O66" i="29"/>
  <c r="Q66" i="29" s="1"/>
  <c r="O64" i="29"/>
  <c r="Q64" i="29" s="1"/>
  <c r="R64" i="29" s="1"/>
  <c r="O60" i="29"/>
  <c r="Q60" i="29" s="1"/>
  <c r="R60" i="29" s="1"/>
  <c r="O59" i="29"/>
  <c r="Q59" i="29" s="1"/>
  <c r="R59" i="29" s="1"/>
  <c r="O57" i="29"/>
  <c r="Q57" i="29" s="1"/>
  <c r="R57" i="29" s="1"/>
  <c r="O55" i="29"/>
  <c r="Q55" i="29" s="1"/>
  <c r="R55" i="29" s="1"/>
  <c r="O53" i="29"/>
  <c r="Q53" i="29" s="1"/>
  <c r="R53" i="29" s="1"/>
  <c r="O52" i="29"/>
  <c r="Q52" i="29" s="1"/>
  <c r="R52" i="29" s="1"/>
  <c r="O50" i="29"/>
  <c r="Q50" i="29" s="1"/>
  <c r="R50" i="29" s="1"/>
  <c r="O47" i="29"/>
  <c r="Q47" i="29" s="1"/>
  <c r="R47" i="29" s="1"/>
  <c r="O46" i="29"/>
  <c r="Q46" i="29" s="1"/>
  <c r="R46" i="29" s="1"/>
  <c r="O45" i="29"/>
  <c r="Q45" i="29" s="1"/>
  <c r="R45" i="29" s="1"/>
  <c r="O43" i="29"/>
  <c r="Q43" i="29" s="1"/>
  <c r="R43" i="29" s="1"/>
  <c r="O34" i="29"/>
  <c r="Q34" i="29" s="1"/>
  <c r="R34" i="29" s="1"/>
  <c r="O33" i="29"/>
  <c r="Q33" i="29" s="1"/>
  <c r="R33" i="29" s="1"/>
  <c r="O32" i="29"/>
  <c r="Q32" i="29" s="1"/>
  <c r="R32" i="29" s="1"/>
  <c r="O30" i="29"/>
  <c r="Q30" i="29" s="1"/>
  <c r="R30" i="29" s="1"/>
  <c r="O26" i="29"/>
  <c r="Q26" i="29" s="1"/>
  <c r="R26" i="29" s="1"/>
  <c r="O25" i="29"/>
  <c r="Q25" i="29" s="1"/>
  <c r="R25" i="29" s="1"/>
  <c r="O23" i="29"/>
  <c r="Q23" i="29" s="1"/>
  <c r="R23" i="29" s="1"/>
  <c r="O21" i="29"/>
  <c r="Q21" i="29" s="1"/>
  <c r="R21" i="29" s="1"/>
  <c r="O18" i="29"/>
  <c r="Q18" i="29" s="1"/>
  <c r="O17" i="29"/>
  <c r="Q17" i="29" s="1"/>
  <c r="R17" i="29" s="1"/>
  <c r="O16" i="29"/>
  <c r="Q16" i="29" s="1"/>
  <c r="R16" i="29" s="1"/>
  <c r="O14" i="29"/>
  <c r="Q14" i="29" s="1"/>
  <c r="R14" i="29" s="1"/>
  <c r="O12" i="29"/>
  <c r="Q12" i="29" s="1"/>
  <c r="R12" i="29" s="1"/>
  <c r="O9" i="29"/>
  <c r="Q9" i="29" s="1"/>
  <c r="R9" i="29" s="1"/>
  <c r="O7" i="29"/>
  <c r="Q7" i="29" s="1"/>
  <c r="R7" i="29" s="1"/>
  <c r="O5" i="29"/>
  <c r="Q5" i="29" s="1"/>
  <c r="R5" i="29" s="1"/>
  <c r="O3" i="29"/>
  <c r="Q3" i="29" s="1"/>
  <c r="R3" i="29" s="1"/>
  <c r="H35" i="31"/>
  <c r="G73" i="31"/>
  <c r="H73" i="31" s="1"/>
  <c r="G68" i="31"/>
  <c r="H68" i="31" s="1"/>
  <c r="G57" i="31"/>
  <c r="H57" i="31" s="1"/>
  <c r="G48" i="31"/>
  <c r="G39" i="31"/>
  <c r="H39" i="31" s="1"/>
  <c r="G29" i="31"/>
  <c r="H29" i="31" s="1"/>
  <c r="G22" i="31"/>
  <c r="H22" i="31" s="1"/>
  <c r="H18" i="33" l="1"/>
  <c r="J18" i="33"/>
  <c r="K18" i="33" s="1"/>
  <c r="L18" i="33" s="1"/>
  <c r="H26" i="33"/>
  <c r="J26" i="33"/>
  <c r="K26" i="33" s="1"/>
  <c r="L26" i="33" s="1"/>
  <c r="H16" i="33"/>
  <c r="J16" i="33"/>
  <c r="K16" i="33" s="1"/>
  <c r="L16" i="33" s="1"/>
  <c r="H24" i="33"/>
  <c r="J24" i="33"/>
  <c r="K24" i="33" s="1"/>
  <c r="L24" i="33" s="1"/>
  <c r="N31" i="13"/>
  <c r="J32" i="33"/>
  <c r="K32" i="33" s="1"/>
  <c r="L32" i="33" s="1"/>
  <c r="H32" i="33"/>
  <c r="H49" i="33"/>
  <c r="J49" i="33"/>
  <c r="K49" i="33" s="1"/>
  <c r="L49" i="33" s="1"/>
  <c r="J59" i="33"/>
  <c r="K59" i="33" s="1"/>
  <c r="L59" i="33" s="1"/>
  <c r="H59" i="33"/>
  <c r="J43" i="33"/>
  <c r="K43" i="33" s="1"/>
  <c r="L43" i="33" s="1"/>
  <c r="H43" i="33"/>
  <c r="H28" i="33"/>
  <c r="J28" i="33"/>
  <c r="K28" i="33" s="1"/>
  <c r="L28" i="33" s="1"/>
  <c r="H61" i="33"/>
  <c r="J61" i="33"/>
  <c r="K61" i="33" s="1"/>
  <c r="L61" i="33" s="1"/>
  <c r="H50" i="33"/>
  <c r="J50" i="33"/>
  <c r="K50" i="33" s="1"/>
  <c r="L50" i="33" s="1"/>
  <c r="H6" i="33"/>
  <c r="J6" i="33"/>
  <c r="K6" i="33" s="1"/>
  <c r="L6" i="33" s="1"/>
  <c r="J9" i="33"/>
  <c r="K9" i="33" s="1"/>
  <c r="L9" i="33" s="1"/>
  <c r="H9" i="33"/>
  <c r="J79" i="33"/>
  <c r="K79" i="33" s="1"/>
  <c r="L79" i="33" s="1"/>
  <c r="H79" i="33"/>
  <c r="H14" i="33"/>
  <c r="J14" i="33"/>
  <c r="K14" i="33" s="1"/>
  <c r="L14" i="33" s="1"/>
  <c r="H17" i="33"/>
  <c r="J17" i="33"/>
  <c r="K17" i="33" s="1"/>
  <c r="L17" i="33" s="1"/>
  <c r="H22" i="33"/>
  <c r="J22" i="33"/>
  <c r="K22" i="33" s="1"/>
  <c r="L22" i="33" s="1"/>
  <c r="H25" i="33"/>
  <c r="J25" i="33"/>
  <c r="K25" i="33" s="1"/>
  <c r="L25" i="33" s="1"/>
  <c r="J11" i="33"/>
  <c r="K11" i="33" s="1"/>
  <c r="L11" i="33" s="1"/>
  <c r="H11" i="33"/>
  <c r="J30" i="33"/>
  <c r="K30" i="33" s="1"/>
  <c r="L30" i="33" s="1"/>
  <c r="H30" i="33"/>
  <c r="H41" i="33"/>
  <c r="J41" i="33"/>
  <c r="K41" i="33" s="1"/>
  <c r="L41" i="33" s="1"/>
  <c r="J19" i="33"/>
  <c r="K19" i="33" s="1"/>
  <c r="L19" i="33" s="1"/>
  <c r="H19" i="33"/>
  <c r="H47" i="33"/>
  <c r="J47" i="33"/>
  <c r="K47" i="33" s="1"/>
  <c r="L47" i="33" s="1"/>
  <c r="H27" i="33"/>
  <c r="J27" i="33"/>
  <c r="K27" i="33" s="1"/>
  <c r="L27" i="33" s="1"/>
  <c r="H58" i="33"/>
  <c r="J58" i="33"/>
  <c r="K58" i="33" s="1"/>
  <c r="L58" i="33" s="1"/>
  <c r="J42" i="33"/>
  <c r="K42" i="33" s="1"/>
  <c r="L42" i="33" s="1"/>
  <c r="H42" i="33"/>
  <c r="H57" i="33"/>
  <c r="J57" i="33"/>
  <c r="K57" i="33" s="1"/>
  <c r="L57" i="33" s="1"/>
  <c r="J12" i="33"/>
  <c r="K12" i="33" s="1"/>
  <c r="L12" i="33" s="1"/>
  <c r="H12" i="33"/>
  <c r="J44" i="33"/>
  <c r="K44" i="33" s="1"/>
  <c r="L44" i="33" s="1"/>
  <c r="H44" i="33"/>
  <c r="J60" i="33"/>
  <c r="K60" i="33" s="1"/>
  <c r="L60" i="33" s="1"/>
  <c r="H60" i="33"/>
  <c r="H8" i="33"/>
  <c r="J8" i="33"/>
  <c r="K8" i="33" s="1"/>
  <c r="L8" i="33" s="1"/>
  <c r="L90" i="33" s="1"/>
  <c r="N7" i="13"/>
  <c r="H32" i="31"/>
  <c r="H33" i="31" s="1"/>
  <c r="F36" i="31"/>
  <c r="R66" i="29"/>
  <c r="R117" i="29"/>
  <c r="R88" i="29"/>
  <c r="R48" i="29"/>
  <c r="Q100" i="29"/>
  <c r="R100" i="29" s="1"/>
  <c r="Q124" i="29"/>
  <c r="R124" i="29" s="1"/>
  <c r="R68" i="29"/>
  <c r="R83" i="29"/>
  <c r="R18" i="29"/>
  <c r="R36" i="29"/>
  <c r="G74" i="31"/>
  <c r="H74" i="31"/>
  <c r="H69" i="31"/>
  <c r="G69" i="31"/>
  <c r="H48" i="31"/>
  <c r="H30" i="31"/>
  <c r="G30" i="31"/>
  <c r="G23" i="31"/>
  <c r="H5" i="31"/>
  <c r="F6" i="8"/>
  <c r="G6" i="8" s="1"/>
  <c r="D56" i="20"/>
  <c r="D35" i="20"/>
  <c r="D14" i="20"/>
  <c r="D39" i="18"/>
  <c r="D12" i="18"/>
  <c r="D95" i="22"/>
  <c r="D79" i="22"/>
  <c r="D73" i="22"/>
  <c r="D62" i="22"/>
  <c r="D54" i="22"/>
  <c r="D40" i="22"/>
  <c r="D36" i="22"/>
  <c r="D13" i="22"/>
  <c r="D9" i="22"/>
  <c r="D136" i="24"/>
  <c r="D116" i="24"/>
  <c r="D94" i="24"/>
  <c r="D89" i="24"/>
  <c r="D77" i="24"/>
  <c r="D9" i="24"/>
  <c r="D395" i="12"/>
  <c r="D378" i="12"/>
  <c r="D366" i="12"/>
  <c r="D353" i="12"/>
  <c r="D303" i="12"/>
  <c r="D91" i="12"/>
  <c r="D16" i="12"/>
  <c r="D278" i="12"/>
  <c r="D260" i="12"/>
  <c r="D237" i="12"/>
  <c r="D215" i="12"/>
  <c r="D201" i="12"/>
  <c r="D192" i="12"/>
  <c r="D174" i="12"/>
  <c r="D168" i="12"/>
  <c r="D149" i="12"/>
  <c r="D127" i="12"/>
  <c r="D70" i="12"/>
  <c r="D48" i="12"/>
  <c r="G30" i="13"/>
  <c r="G29" i="13"/>
  <c r="I9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H90" i="33" l="1"/>
  <c r="Q130" i="29"/>
  <c r="K90" i="33"/>
  <c r="D31" i="13" s="1"/>
  <c r="N32" i="13"/>
  <c r="G36" i="31"/>
  <c r="F43" i="31"/>
  <c r="R130" i="29"/>
  <c r="C30" i="13" s="1"/>
  <c r="E30" i="13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F283" i="25"/>
  <c r="G283" i="25" s="1"/>
  <c r="D283" i="25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F273" i="25"/>
  <c r="G273" i="25" s="1"/>
  <c r="D273" i="25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F268" i="25"/>
  <c r="G268" i="25" s="1"/>
  <c r="D268" i="25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F195" i="25"/>
  <c r="G195" i="25" s="1"/>
  <c r="D195" i="25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D137" i="25"/>
  <c r="F137" i="25" s="1"/>
  <c r="G137" i="25" s="1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F114" i="25"/>
  <c r="G114" i="25" s="1"/>
  <c r="F113" i="25"/>
  <c r="G113" i="25" s="1"/>
  <c r="F112" i="25"/>
  <c r="G112" i="25" s="1"/>
  <c r="D111" i="25"/>
  <c r="F111" i="25" s="1"/>
  <c r="G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l="1"/>
  <c r="F5" i="24"/>
  <c r="F5" i="25"/>
  <c r="D20" i="13" s="1"/>
  <c r="G20" i="13" s="1"/>
  <c r="M20" i="13" s="1"/>
  <c r="G146" i="25"/>
  <c r="G144" i="25" s="1"/>
  <c r="F144" i="25"/>
  <c r="D22" i="13" s="1"/>
  <c r="G22" i="13" s="1"/>
  <c r="M22" i="13" s="1"/>
  <c r="G185" i="25"/>
  <c r="G183" i="25" s="1"/>
  <c r="G301" i="25" s="1"/>
  <c r="F183" i="25"/>
  <c r="G85" i="24"/>
  <c r="G83" i="24" s="1"/>
  <c r="F83" i="24"/>
  <c r="C22" i="13" s="1"/>
  <c r="G117" i="25"/>
  <c r="G115" i="25" s="1"/>
  <c r="F115" i="25"/>
  <c r="D21" i="13" s="1"/>
  <c r="G21" i="13" s="1"/>
  <c r="M21" i="13" s="1"/>
  <c r="G140" i="24"/>
  <c r="G137" i="24" s="1"/>
  <c r="F137" i="24"/>
  <c r="C24" i="13" s="1"/>
  <c r="E31" i="13"/>
  <c r="G31" i="13"/>
  <c r="G110" i="24"/>
  <c r="G107" i="24" s="1"/>
  <c r="F107" i="24"/>
  <c r="C23" i="13" s="1"/>
  <c r="G64" i="24"/>
  <c r="G62" i="24" s="1"/>
  <c r="F62" i="24"/>
  <c r="C21" i="13" s="1"/>
  <c r="G160" i="25"/>
  <c r="G159" i="25" s="1"/>
  <c r="F159" i="25"/>
  <c r="D23" i="13" s="1"/>
  <c r="G23" i="13" s="1"/>
  <c r="M23" i="13" s="1"/>
  <c r="G43" i="31"/>
  <c r="F52" i="31"/>
  <c r="G52" i="31" s="1"/>
  <c r="H36" i="31"/>
  <c r="H40" i="31" s="1"/>
  <c r="G40" i="31"/>
  <c r="F30" i="13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7" i="25"/>
  <c r="G5" i="25" s="1"/>
  <c r="F22" i="13" l="1"/>
  <c r="E22" i="13"/>
  <c r="F301" i="25"/>
  <c r="D19" i="13" s="1"/>
  <c r="G19" i="13" s="1"/>
  <c r="M19" i="13" s="1"/>
  <c r="D24" i="13"/>
  <c r="G24" i="13" s="1"/>
  <c r="M24" i="13" s="1"/>
  <c r="F24" i="13"/>
  <c r="E24" i="13"/>
  <c r="H31" i="13"/>
  <c r="O31" i="13" s="1"/>
  <c r="M31" i="13"/>
  <c r="F236" i="24"/>
  <c r="C19" i="13" s="1"/>
  <c r="F19" i="13" s="1"/>
  <c r="K19" i="13" s="1"/>
  <c r="C20" i="13"/>
  <c r="E21" i="13"/>
  <c r="F21" i="13"/>
  <c r="F23" i="13"/>
  <c r="E23" i="13"/>
  <c r="G5" i="24"/>
  <c r="G236" i="24" s="1"/>
  <c r="H30" i="13"/>
  <c r="O30" i="13" s="1"/>
  <c r="K30" i="13"/>
  <c r="H52" i="31"/>
  <c r="H58" i="31" s="1"/>
  <c r="G58" i="31"/>
  <c r="H43" i="31"/>
  <c r="G49" i="3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F20" i="13" l="1"/>
  <c r="E20" i="13"/>
  <c r="K23" i="13"/>
  <c r="H23" i="13"/>
  <c r="K21" i="13"/>
  <c r="H21" i="13"/>
  <c r="O21" i="13" s="1"/>
  <c r="K24" i="13"/>
  <c r="H24" i="13"/>
  <c r="O24" i="13" s="1"/>
  <c r="E19" i="13"/>
  <c r="K22" i="13"/>
  <c r="H22" i="13"/>
  <c r="O22" i="13" s="1"/>
  <c r="H19" i="13"/>
  <c r="O19" i="13" s="1"/>
  <c r="D6" i="3"/>
  <c r="O23" i="13" l="1"/>
  <c r="I23" i="13"/>
  <c r="K20" i="13"/>
  <c r="H20" i="13"/>
  <c r="O20" i="13" s="1"/>
  <c r="A207" i="12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C25" i="13" s="1"/>
  <c r="F25" i="13" s="1"/>
  <c r="K25" i="13" s="1"/>
  <c r="G7" i="16"/>
  <c r="G42" i="16" s="1"/>
  <c r="F89" i="18" l="1"/>
  <c r="C27" i="13" s="1"/>
  <c r="F27" i="13" s="1"/>
  <c r="K27" i="13" s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D82" i="23"/>
  <c r="F82" i="23" s="1"/>
  <c r="G82" i="23" s="1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F73" i="22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F54" i="22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26" i="13" s="1"/>
  <c r="G26" i="13" s="1"/>
  <c r="M26" i="13" s="1"/>
  <c r="G7" i="23"/>
  <c r="G87" i="23" s="1"/>
  <c r="G53" i="22" l="1"/>
  <c r="G100" i="22" s="1"/>
  <c r="F100" i="22"/>
  <c r="C26" i="13" l="1"/>
  <c r="F26" i="13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H26" i="13" l="1"/>
  <c r="O26" i="13" s="1"/>
  <c r="K26" i="13"/>
  <c r="E26" i="13"/>
  <c r="A30" i="20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27" i="13"/>
  <c r="G27" i="13" s="1"/>
  <c r="M27" i="13" s="1"/>
  <c r="G93" i="21"/>
  <c r="G7" i="20"/>
  <c r="G103" i="20" s="1"/>
  <c r="F103" i="20"/>
  <c r="C28" i="13" s="1"/>
  <c r="F28" i="13" s="1"/>
  <c r="K28" i="13" s="1"/>
  <c r="F93" i="21"/>
  <c r="D28" i="13" s="1"/>
  <c r="G28" i="13" s="1"/>
  <c r="M28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H28" i="13"/>
  <c r="O28" i="13" s="1"/>
  <c r="E27" i="13"/>
  <c r="E28" i="13"/>
  <c r="H27" i="13"/>
  <c r="O27" i="13" s="1"/>
  <c r="F13" i="8" l="1"/>
  <c r="G13" i="8" s="1"/>
  <c r="F25" i="8"/>
  <c r="G25" i="8" s="1"/>
  <c r="F17" i="3"/>
  <c r="G17" i="3" s="1"/>
  <c r="F24" i="8"/>
  <c r="G24" i="8" s="1"/>
  <c r="F28" i="3"/>
  <c r="G28" i="3" s="1"/>
  <c r="D16" i="3"/>
  <c r="F16" i="3" s="1"/>
  <c r="G16" i="3" s="1"/>
  <c r="F23" i="8"/>
  <c r="G23" i="8" s="1"/>
  <c r="F15" i="8"/>
  <c r="G15" i="8" s="1"/>
  <c r="D26" i="8"/>
  <c r="D18" i="3"/>
  <c r="D13" i="3"/>
  <c r="D21" i="8"/>
  <c r="F21" i="8" s="1"/>
  <c r="G21" i="8" s="1"/>
  <c r="D15" i="3"/>
  <c r="D25" i="13" l="1"/>
  <c r="G25" i="13" s="1"/>
  <c r="M25" i="13" s="1"/>
  <c r="E25" i="13" l="1"/>
  <c r="H25" i="13"/>
  <c r="O25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92" i="12" l="1"/>
  <c r="G292" i="12" s="1"/>
  <c r="F291" i="12"/>
  <c r="G291" i="12" s="1"/>
  <c r="F290" i="12"/>
  <c r="G290" i="12" s="1"/>
  <c r="F288" i="7" l="1"/>
  <c r="G288" i="7" s="1"/>
  <c r="F22" i="3"/>
  <c r="G22" i="3" s="1"/>
  <c r="F21" i="3"/>
  <c r="G21" i="3" s="1"/>
  <c r="F279" i="7"/>
  <c r="G279" i="7" s="1"/>
  <c r="F272" i="7"/>
  <c r="G272" i="7" s="1"/>
  <c r="F265" i="7"/>
  <c r="G265" i="7" s="1"/>
  <c r="F287" i="7"/>
  <c r="G287" i="7" s="1"/>
  <c r="F286" i="7"/>
  <c r="G286" i="7" s="1"/>
  <c r="F281" i="7"/>
  <c r="G281" i="7" s="1"/>
  <c r="F285" i="7"/>
  <c r="G285" i="7" s="1"/>
  <c r="F284" i="7"/>
  <c r="G284" i="7" s="1"/>
  <c r="F389" i="12"/>
  <c r="G389" i="12" s="1"/>
  <c r="F386" i="12"/>
  <c r="G386" i="12" s="1"/>
  <c r="F388" i="12"/>
  <c r="G388" i="12" s="1"/>
  <c r="F387" i="12"/>
  <c r="G387" i="12" s="1"/>
  <c r="F384" i="12"/>
  <c r="G384" i="12" s="1"/>
  <c r="F382" i="12"/>
  <c r="G382" i="12" s="1"/>
  <c r="F395" i="12"/>
  <c r="G395" i="12" s="1"/>
  <c r="D394" i="12"/>
  <c r="F394" i="12" s="1"/>
  <c r="G394" i="12" s="1"/>
  <c r="F393" i="12"/>
  <c r="G393" i="12" s="1"/>
  <c r="F264" i="7"/>
  <c r="G264" i="7" s="1"/>
  <c r="F263" i="7"/>
  <c r="G263" i="7" s="1"/>
  <c r="F271" i="7"/>
  <c r="G271" i="7" s="1"/>
  <c r="F270" i="7"/>
  <c r="G270" i="7" s="1"/>
  <c r="F278" i="7"/>
  <c r="G278" i="7" s="1"/>
  <c r="F277" i="7"/>
  <c r="G277" i="7" s="1"/>
  <c r="F276" i="7"/>
  <c r="G276" i="7" s="1"/>
  <c r="F275" i="7"/>
  <c r="G275" i="7" s="1"/>
  <c r="F274" i="7"/>
  <c r="G274" i="7" s="1"/>
  <c r="F372" i="12"/>
  <c r="G372" i="12" s="1"/>
  <c r="F371" i="12"/>
  <c r="G371" i="12" s="1"/>
  <c r="F378" i="12"/>
  <c r="G378" i="12" s="1"/>
  <c r="D377" i="12"/>
  <c r="F377" i="12" s="1"/>
  <c r="G377" i="12" s="1"/>
  <c r="F376" i="12"/>
  <c r="G376" i="12" s="1"/>
  <c r="F375" i="12"/>
  <c r="G375" i="12" s="1"/>
  <c r="F374" i="12"/>
  <c r="G374" i="12" s="1"/>
  <c r="F370" i="12"/>
  <c r="G370" i="12" s="1"/>
  <c r="F369" i="12"/>
  <c r="G369" i="12" s="1"/>
  <c r="F368" i="12"/>
  <c r="G368" i="12" s="1"/>
  <c r="F360" i="12"/>
  <c r="G360" i="12" s="1"/>
  <c r="F347" i="12"/>
  <c r="G347" i="12" s="1"/>
  <c r="F346" i="12"/>
  <c r="G346" i="12" s="1"/>
  <c r="F364" i="12"/>
  <c r="G364" i="12" s="1"/>
  <c r="F351" i="12"/>
  <c r="G351" i="12" s="1"/>
  <c r="F359" i="12"/>
  <c r="G359" i="12" s="1"/>
  <c r="F366" i="12"/>
  <c r="G366" i="12" s="1"/>
  <c r="D365" i="12"/>
  <c r="F365" i="12" s="1"/>
  <c r="G365" i="12" s="1"/>
  <c r="F353" i="12"/>
  <c r="G353" i="12" s="1"/>
  <c r="D352" i="12"/>
  <c r="F352" i="12" s="1"/>
  <c r="G352" i="12" s="1"/>
  <c r="F256" i="7"/>
  <c r="G256" i="7" s="1"/>
  <c r="F338" i="12"/>
  <c r="G338" i="12" s="1"/>
  <c r="D335" i="12"/>
  <c r="F249" i="7"/>
  <c r="G249" i="7" s="1"/>
  <c r="F248" i="7"/>
  <c r="G248" i="7" s="1"/>
  <c r="F247" i="7"/>
  <c r="G247" i="7" s="1"/>
  <c r="F245" i="7"/>
  <c r="G245" i="7" s="1"/>
  <c r="F244" i="7"/>
  <c r="G244" i="7" s="1"/>
  <c r="F243" i="7"/>
  <c r="G243" i="7" s="1"/>
  <c r="F242" i="7"/>
  <c r="G242" i="7" s="1"/>
  <c r="F241" i="7"/>
  <c r="G241" i="7" s="1"/>
  <c r="F239" i="7"/>
  <c r="G239" i="7" s="1"/>
  <c r="F237" i="7"/>
  <c r="G237" i="7" s="1"/>
  <c r="F226" i="7"/>
  <c r="G226" i="7" s="1"/>
  <c r="D232" i="7"/>
  <c r="D230" i="7"/>
  <c r="F230" i="7" s="1"/>
  <c r="G230" i="7" s="1"/>
  <c r="F229" i="7"/>
  <c r="G229" i="7" s="1"/>
  <c r="F228" i="7"/>
  <c r="G228" i="7" s="1"/>
  <c r="F331" i="12"/>
  <c r="G331" i="12" s="1"/>
  <c r="F329" i="12"/>
  <c r="G329" i="12" s="1"/>
  <c r="F328" i="12"/>
  <c r="G328" i="12" s="1"/>
  <c r="F327" i="12"/>
  <c r="G327" i="12" s="1"/>
  <c r="F326" i="12"/>
  <c r="G326" i="12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6" i="12"/>
  <c r="G306" i="12" s="1"/>
  <c r="F304" i="12"/>
  <c r="G304" i="12" s="1"/>
  <c r="F303" i="12"/>
  <c r="G303" i="12" s="1"/>
  <c r="D302" i="12"/>
  <c r="F302" i="12" s="1"/>
  <c r="G302" i="12" s="1"/>
  <c r="F301" i="12"/>
  <c r="G301" i="12" s="1"/>
  <c r="F222" i="7"/>
  <c r="G222" i="7" s="1"/>
  <c r="F221" i="7"/>
  <c r="G221" i="7" s="1"/>
  <c r="F220" i="7"/>
  <c r="G220" i="7" s="1"/>
  <c r="F219" i="7"/>
  <c r="G219" i="7" s="1"/>
  <c r="D206" i="7"/>
  <c r="F218" i="7"/>
  <c r="G218" i="7" s="1"/>
  <c r="D92" i="7"/>
  <c r="F92" i="7" s="1"/>
  <c r="G92" i="7" s="1"/>
  <c r="D93" i="7"/>
  <c r="F93" i="7" s="1"/>
  <c r="G93" i="7" s="1"/>
  <c r="D91" i="7"/>
  <c r="F91" i="7" s="1"/>
  <c r="G91" i="7" s="1"/>
  <c r="D90" i="7"/>
  <c r="F90" i="7" s="1"/>
  <c r="G90" i="7" s="1"/>
  <c r="F94" i="7"/>
  <c r="G94" i="7" s="1"/>
  <c r="F89" i="7"/>
  <c r="G89" i="7" s="1"/>
  <c r="F88" i="7"/>
  <c r="G88" i="7" s="1"/>
  <c r="F87" i="7"/>
  <c r="G87" i="7" s="1"/>
  <c r="F86" i="7"/>
  <c r="G86" i="7" s="1"/>
  <c r="F85" i="7"/>
  <c r="G85" i="7" s="1"/>
  <c r="F84" i="7"/>
  <c r="G84" i="7" s="1"/>
  <c r="F83" i="7"/>
  <c r="G83" i="7" s="1"/>
  <c r="F82" i="7"/>
  <c r="G82" i="7" s="1"/>
  <c r="F64" i="7"/>
  <c r="G64" i="7" s="1"/>
  <c r="F63" i="7"/>
  <c r="G63" i="7" s="1"/>
  <c r="F81" i="7"/>
  <c r="G81" i="7" s="1"/>
  <c r="F80" i="7"/>
  <c r="G80" i="7" s="1"/>
  <c r="F79" i="7"/>
  <c r="G79" i="7" s="1"/>
  <c r="F78" i="7"/>
  <c r="G78" i="7" s="1"/>
  <c r="F76" i="7"/>
  <c r="G76" i="7" s="1"/>
  <c r="F77" i="7"/>
  <c r="G77" i="7" s="1"/>
  <c r="D75" i="7"/>
  <c r="F75" i="7" s="1"/>
  <c r="G75" i="7" s="1"/>
  <c r="D74" i="7"/>
  <c r="F74" i="7" s="1"/>
  <c r="G74" i="7" s="1"/>
  <c r="D73" i="7"/>
  <c r="F73" i="7" s="1"/>
  <c r="G73" i="7" s="1"/>
  <c r="F72" i="7"/>
  <c r="G72" i="7" s="1"/>
  <c r="F71" i="7"/>
  <c r="G71" i="7" s="1"/>
  <c r="F70" i="7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2" i="7"/>
  <c r="G62" i="7" s="1"/>
  <c r="F61" i="7"/>
  <c r="G61" i="7" s="1"/>
  <c r="F60" i="7"/>
  <c r="G60" i="7" s="1"/>
  <c r="F59" i="7"/>
  <c r="G59" i="7" s="1"/>
  <c r="F55" i="7"/>
  <c r="G55" i="7" s="1"/>
  <c r="F47" i="7"/>
  <c r="G47" i="7" s="1"/>
  <c r="F54" i="7"/>
  <c r="G54" i="7" s="1"/>
  <c r="F53" i="7"/>
  <c r="G53" i="7" s="1"/>
  <c r="D52" i="7"/>
  <c r="F52" i="7" s="1"/>
  <c r="G52" i="7" s="1"/>
  <c r="D51" i="7"/>
  <c r="F51" i="7" s="1"/>
  <c r="G51" i="7" s="1"/>
  <c r="D50" i="7"/>
  <c r="F50" i="7" s="1"/>
  <c r="G50" i="7" s="1"/>
  <c r="F49" i="7"/>
  <c r="G49" i="7" s="1"/>
  <c r="F48" i="7"/>
  <c r="G48" i="7" s="1"/>
  <c r="F46" i="7"/>
  <c r="G46" i="7" s="1"/>
  <c r="F45" i="7"/>
  <c r="G45" i="7" s="1"/>
  <c r="F58" i="7"/>
  <c r="F44" i="7"/>
  <c r="F114" i="12"/>
  <c r="G114" i="12" s="1"/>
  <c r="D113" i="12"/>
  <c r="F113" i="12" s="1"/>
  <c r="G113" i="12" s="1"/>
  <c r="F111" i="12"/>
  <c r="G111" i="12" s="1"/>
  <c r="F110" i="12"/>
  <c r="G110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74" i="12"/>
  <c r="G74" i="12" s="1"/>
  <c r="F98" i="12"/>
  <c r="G98" i="12" s="1"/>
  <c r="F96" i="12"/>
  <c r="G96" i="12" s="1"/>
  <c r="F97" i="12"/>
  <c r="G97" i="12" s="1"/>
  <c r="F95" i="12"/>
  <c r="G95" i="12" s="1"/>
  <c r="F94" i="12"/>
  <c r="G94" i="12" s="1"/>
  <c r="F93" i="12"/>
  <c r="G93" i="12" s="1"/>
  <c r="F91" i="12"/>
  <c r="G91" i="12" s="1"/>
  <c r="F90" i="12"/>
  <c r="G90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F78" i="12"/>
  <c r="G78" i="12" s="1"/>
  <c r="F77" i="12"/>
  <c r="G77" i="12" s="1"/>
  <c r="F76" i="12"/>
  <c r="G76" i="12" s="1"/>
  <c r="F75" i="12"/>
  <c r="G75" i="12" s="1"/>
  <c r="F73" i="12"/>
  <c r="G73" i="12" s="1"/>
  <c r="F72" i="12"/>
  <c r="G72" i="12" s="1"/>
  <c r="F70" i="12"/>
  <c r="G70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F30" i="7"/>
  <c r="F41" i="7"/>
  <c r="G41" i="7" s="1"/>
  <c r="F33" i="7"/>
  <c r="G33" i="7" s="1"/>
  <c r="F40" i="7"/>
  <c r="G40" i="7" s="1"/>
  <c r="F39" i="7"/>
  <c r="G39" i="7" s="1"/>
  <c r="D38" i="7"/>
  <c r="F38" i="7" s="1"/>
  <c r="G38" i="7" s="1"/>
  <c r="D37" i="7"/>
  <c r="F37" i="7" s="1"/>
  <c r="G37" i="7" s="1"/>
  <c r="D36" i="7"/>
  <c r="F36" i="7" s="1"/>
  <c r="G36" i="7" s="1"/>
  <c r="F35" i="7"/>
  <c r="G35" i="7" s="1"/>
  <c r="F34" i="7"/>
  <c r="G34" i="7" s="1"/>
  <c r="F32" i="7"/>
  <c r="G32" i="7" s="1"/>
  <c r="F31" i="7"/>
  <c r="G31" i="7" s="1"/>
  <c r="G30" i="7" l="1"/>
  <c r="F42" i="7"/>
  <c r="G44" i="7"/>
  <c r="F56" i="7"/>
  <c r="G58" i="7"/>
  <c r="F95" i="7"/>
  <c r="G82" i="12"/>
  <c r="F115" i="12"/>
  <c r="G61" i="12"/>
  <c r="F79" i="12"/>
  <c r="F57" i="12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F114" i="7"/>
  <c r="G114" i="7" s="1"/>
  <c r="F122" i="7"/>
  <c r="G122" i="7" s="1"/>
  <c r="F158" i="12"/>
  <c r="G158" i="12" s="1"/>
  <c r="F100" i="7"/>
  <c r="G100" i="7" s="1"/>
  <c r="F108" i="7"/>
  <c r="G108" i="7" s="1"/>
  <c r="F136" i="12"/>
  <c r="G136" i="12" s="1"/>
  <c r="F135" i="7"/>
  <c r="G135" i="7" s="1"/>
  <c r="F134" i="7"/>
  <c r="G134" i="7" s="1"/>
  <c r="F133" i="7"/>
  <c r="G133" i="7" s="1"/>
  <c r="F132" i="7"/>
  <c r="G132" i="7" s="1"/>
  <c r="F131" i="7"/>
  <c r="G131" i="7" s="1"/>
  <c r="G95" i="7" l="1"/>
  <c r="D11" i="13"/>
  <c r="G11" i="13" s="1"/>
  <c r="M11" i="13" s="1"/>
  <c r="G56" i="7"/>
  <c r="D10" i="13"/>
  <c r="G10" i="13" s="1"/>
  <c r="M10" i="13" s="1"/>
  <c r="G42" i="7"/>
  <c r="D9" i="13"/>
  <c r="G9" i="13" s="1"/>
  <c r="M9" i="13" s="1"/>
  <c r="G115" i="12"/>
  <c r="C11" i="13"/>
  <c r="G79" i="12"/>
  <c r="C10" i="13"/>
  <c r="G39" i="12"/>
  <c r="F58" i="12"/>
  <c r="D128" i="7"/>
  <c r="F128" i="7" s="1"/>
  <c r="G128" i="7" s="1"/>
  <c r="D139" i="7"/>
  <c r="F139" i="7" s="1"/>
  <c r="G139" i="7" s="1"/>
  <c r="F138" i="7"/>
  <c r="G138" i="7" s="1"/>
  <c r="F137" i="7"/>
  <c r="G137" i="7" s="1"/>
  <c r="F136" i="7"/>
  <c r="G136" i="7" s="1"/>
  <c r="D197" i="7"/>
  <c r="F197" i="7" s="1"/>
  <c r="G197" i="7" s="1"/>
  <c r="F198" i="7"/>
  <c r="G198" i="7" s="1"/>
  <c r="F196" i="7"/>
  <c r="G196" i="7" s="1"/>
  <c r="F195" i="7"/>
  <c r="G195" i="7" s="1"/>
  <c r="F194" i="7"/>
  <c r="G194" i="7" s="1"/>
  <c r="F193" i="7"/>
  <c r="G193" i="7" s="1"/>
  <c r="F192" i="7"/>
  <c r="G192" i="7" s="1"/>
  <c r="D189" i="7"/>
  <c r="F189" i="7" s="1"/>
  <c r="G189" i="7" s="1"/>
  <c r="F190" i="7"/>
  <c r="G190" i="7" s="1"/>
  <c r="F188" i="7"/>
  <c r="G188" i="7" s="1"/>
  <c r="F187" i="7"/>
  <c r="G187" i="7" s="1"/>
  <c r="F186" i="7"/>
  <c r="G186" i="7" s="1"/>
  <c r="F185" i="7"/>
  <c r="G185" i="7" s="1"/>
  <c r="F184" i="7"/>
  <c r="G184" i="7" s="1"/>
  <c r="F183" i="7"/>
  <c r="G183" i="7" s="1"/>
  <c r="F182" i="7"/>
  <c r="G182" i="7" s="1"/>
  <c r="F181" i="7"/>
  <c r="G181" i="7" s="1"/>
  <c r="F180" i="7"/>
  <c r="G180" i="7" s="1"/>
  <c r="F179" i="7"/>
  <c r="G179" i="7" s="1"/>
  <c r="D176" i="7"/>
  <c r="F176" i="7" s="1"/>
  <c r="G176" i="7" s="1"/>
  <c r="F177" i="7"/>
  <c r="G177" i="7" s="1"/>
  <c r="F175" i="7"/>
  <c r="G175" i="7" s="1"/>
  <c r="F174" i="7"/>
  <c r="G174" i="7" s="1"/>
  <c r="F173" i="7"/>
  <c r="G173" i="7" s="1"/>
  <c r="F172" i="7"/>
  <c r="G172" i="7" s="1"/>
  <c r="D169" i="7"/>
  <c r="F169" i="7" s="1"/>
  <c r="G169" i="7" s="1"/>
  <c r="F170" i="7"/>
  <c r="G170" i="7" s="1"/>
  <c r="F168" i="7"/>
  <c r="G168" i="7" s="1"/>
  <c r="F167" i="7"/>
  <c r="G167" i="7" s="1"/>
  <c r="F166" i="7"/>
  <c r="G166" i="7" s="1"/>
  <c r="F165" i="7"/>
  <c r="G165" i="7" s="1"/>
  <c r="F164" i="7"/>
  <c r="G164" i="7" s="1"/>
  <c r="F160" i="7"/>
  <c r="G160" i="7" s="1"/>
  <c r="F159" i="7"/>
  <c r="G159" i="7" s="1"/>
  <c r="F158" i="7"/>
  <c r="G158" i="7" s="1"/>
  <c r="F157" i="7"/>
  <c r="G157" i="7" s="1"/>
  <c r="F163" i="7"/>
  <c r="G163" i="7" s="1"/>
  <c r="F162" i="7"/>
  <c r="G162" i="7" s="1"/>
  <c r="F161" i="7"/>
  <c r="G161" i="7" s="1"/>
  <c r="F156" i="7"/>
  <c r="G156" i="7" s="1"/>
  <c r="F155" i="7"/>
  <c r="G155" i="7" s="1"/>
  <c r="F154" i="7"/>
  <c r="G154" i="7" s="1"/>
  <c r="F153" i="7"/>
  <c r="G153" i="7" s="1"/>
  <c r="D150" i="7"/>
  <c r="F150" i="7" s="1"/>
  <c r="G150" i="7" s="1"/>
  <c r="F151" i="7"/>
  <c r="G151" i="7" s="1"/>
  <c r="F149" i="7"/>
  <c r="G149" i="7" s="1"/>
  <c r="F148" i="7"/>
  <c r="G148" i="7" s="1"/>
  <c r="F147" i="7"/>
  <c r="G147" i="7" s="1"/>
  <c r="F144" i="7"/>
  <c r="G144" i="7" s="1"/>
  <c r="F143" i="7"/>
  <c r="G143" i="7" s="1"/>
  <c r="F142" i="7"/>
  <c r="G142" i="7" s="1"/>
  <c r="F141" i="7"/>
  <c r="G141" i="7" s="1"/>
  <c r="F146" i="7"/>
  <c r="G146" i="7" s="1"/>
  <c r="F145" i="7"/>
  <c r="G145" i="7" s="1"/>
  <c r="F127" i="7"/>
  <c r="G127" i="7" s="1"/>
  <c r="F126" i="7"/>
  <c r="G126" i="7" s="1"/>
  <c r="D125" i="7"/>
  <c r="F125" i="7" s="1"/>
  <c r="F129" i="7"/>
  <c r="G129" i="7" s="1"/>
  <c r="F130" i="7"/>
  <c r="G130" i="7" s="1"/>
  <c r="F265" i="12"/>
  <c r="G265" i="12" s="1"/>
  <c r="D264" i="12"/>
  <c r="F264" i="12" s="1"/>
  <c r="G264" i="12" s="1"/>
  <c r="F262" i="12"/>
  <c r="G262" i="12" s="1"/>
  <c r="F260" i="12"/>
  <c r="G260" i="12" s="1"/>
  <c r="F259" i="12"/>
  <c r="G259" i="12" s="1"/>
  <c r="F258" i="12"/>
  <c r="G258" i="12" s="1"/>
  <c r="F257" i="12"/>
  <c r="G257" i="12" s="1"/>
  <c r="F256" i="12"/>
  <c r="G256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7" i="12"/>
  <c r="G247" i="12" s="1"/>
  <c r="F246" i="12"/>
  <c r="G246" i="12" s="1"/>
  <c r="F245" i="12"/>
  <c r="G245" i="12" s="1"/>
  <c r="F244" i="12"/>
  <c r="G244" i="12" s="1"/>
  <c r="D241" i="12"/>
  <c r="F241" i="12" s="1"/>
  <c r="G241" i="12" s="1"/>
  <c r="F242" i="12"/>
  <c r="G242" i="12" s="1"/>
  <c r="F239" i="12"/>
  <c r="G239" i="12" s="1"/>
  <c r="F232" i="12"/>
  <c r="G232" i="12" s="1"/>
  <c r="F237" i="12"/>
  <c r="G237" i="12" s="1"/>
  <c r="F236" i="12"/>
  <c r="G236" i="12" s="1"/>
  <c r="F235" i="12"/>
  <c r="G235" i="12" s="1"/>
  <c r="F234" i="12"/>
  <c r="G234" i="12" s="1"/>
  <c r="F233" i="12"/>
  <c r="G233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6" i="12"/>
  <c r="G226" i="12" s="1"/>
  <c r="F225" i="12"/>
  <c r="G225" i="12" s="1"/>
  <c r="F224" i="12"/>
  <c r="G224" i="12" s="1"/>
  <c r="F223" i="12"/>
  <c r="G223" i="12" s="1"/>
  <c r="F220" i="12"/>
  <c r="G220" i="12" s="1"/>
  <c r="D219" i="12"/>
  <c r="F219" i="12" s="1"/>
  <c r="G219" i="12" s="1"/>
  <c r="F217" i="12"/>
  <c r="G217" i="12" s="1"/>
  <c r="F215" i="12"/>
  <c r="G215" i="12" s="1"/>
  <c r="F214" i="12"/>
  <c r="G214" i="12" s="1"/>
  <c r="F213" i="12"/>
  <c r="G213" i="12" s="1"/>
  <c r="F212" i="12"/>
  <c r="G212" i="12" s="1"/>
  <c r="F211" i="12"/>
  <c r="G211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3" i="12"/>
  <c r="G203" i="12" s="1"/>
  <c r="F202" i="12"/>
  <c r="G202" i="12" s="1"/>
  <c r="F201" i="12"/>
  <c r="G201" i="12" s="1"/>
  <c r="D200" i="12"/>
  <c r="F199" i="12"/>
  <c r="G199" i="12" s="1"/>
  <c r="F174" i="12"/>
  <c r="G174" i="12" s="1"/>
  <c r="D173" i="12"/>
  <c r="D196" i="12"/>
  <c r="F196" i="12" s="1"/>
  <c r="G196" i="12" s="1"/>
  <c r="F197" i="12"/>
  <c r="G197" i="12" s="1"/>
  <c r="F194" i="12"/>
  <c r="G194" i="12" s="1"/>
  <c r="F186" i="12"/>
  <c r="G186" i="12" s="1"/>
  <c r="F188" i="12"/>
  <c r="G188" i="12" s="1"/>
  <c r="F187" i="12"/>
  <c r="G187" i="12" s="1"/>
  <c r="F185" i="12"/>
  <c r="G185" i="12" s="1"/>
  <c r="F184" i="12"/>
  <c r="G184" i="12" s="1"/>
  <c r="F182" i="12"/>
  <c r="G182" i="12" s="1"/>
  <c r="F181" i="12"/>
  <c r="G181" i="12" s="1"/>
  <c r="F180" i="12"/>
  <c r="G180" i="12" s="1"/>
  <c r="F179" i="12"/>
  <c r="G179" i="12" s="1"/>
  <c r="F192" i="12"/>
  <c r="G192" i="12" s="1"/>
  <c r="F191" i="12"/>
  <c r="G191" i="12" s="1"/>
  <c r="F190" i="12"/>
  <c r="G190" i="12" s="1"/>
  <c r="F189" i="12"/>
  <c r="G189" i="12" s="1"/>
  <c r="F183" i="12"/>
  <c r="G183" i="12" s="1"/>
  <c r="F178" i="12"/>
  <c r="F172" i="12"/>
  <c r="G172" i="12" s="1"/>
  <c r="F171" i="12"/>
  <c r="G171" i="12" s="1"/>
  <c r="D170" i="12"/>
  <c r="F170" i="12" s="1"/>
  <c r="G170" i="12" s="1"/>
  <c r="G125" i="7" l="1"/>
  <c r="F199" i="7"/>
  <c r="F10" i="13"/>
  <c r="E10" i="13"/>
  <c r="F11" i="13"/>
  <c r="E11" i="13"/>
  <c r="G178" i="12"/>
  <c r="G58" i="12"/>
  <c r="C9" i="13"/>
  <c r="F200" i="12"/>
  <c r="G200" i="12" s="1"/>
  <c r="F173" i="12"/>
  <c r="G173" i="12" s="1"/>
  <c r="F168" i="12"/>
  <c r="G168" i="12" s="1"/>
  <c r="F167" i="12"/>
  <c r="G167" i="12" s="1"/>
  <c r="F166" i="12"/>
  <c r="G166" i="12" s="1"/>
  <c r="F165" i="12"/>
  <c r="G165" i="12" s="1"/>
  <c r="F164" i="12"/>
  <c r="G164" i="12" s="1"/>
  <c r="F163" i="12"/>
  <c r="G199" i="7" l="1"/>
  <c r="D14" i="13"/>
  <c r="G14" i="13" s="1"/>
  <c r="M14" i="13" s="1"/>
  <c r="G163" i="12"/>
  <c r="F266" i="12"/>
  <c r="H11" i="13"/>
  <c r="O11" i="13" s="1"/>
  <c r="K11" i="13"/>
  <c r="H10" i="13"/>
  <c r="O10" i="13" s="1"/>
  <c r="K10" i="13"/>
  <c r="E9" i="13"/>
  <c r="F9" i="13"/>
  <c r="G266" i="12"/>
  <c r="F27" i="7"/>
  <c r="G27" i="7" s="1"/>
  <c r="F35" i="12"/>
  <c r="G35" i="12" s="1"/>
  <c r="F300" i="6"/>
  <c r="G300" i="6" s="1"/>
  <c r="C14" i="13" l="1"/>
  <c r="F14" i="13" s="1"/>
  <c r="H9" i="13"/>
  <c r="O9" i="13" s="1"/>
  <c r="K9" i="13"/>
  <c r="D210" i="11"/>
  <c r="F210" i="11" s="1"/>
  <c r="G210" i="11" s="1"/>
  <c r="E14" i="13" l="1"/>
  <c r="H14" i="13"/>
  <c r="O14" i="13" s="1"/>
  <c r="K14" i="13"/>
  <c r="F266" i="6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19" i="6" s="1"/>
  <c r="G219" i="6" s="1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G5" i="15"/>
  <c r="A20" i="15"/>
  <c r="A21" i="15" s="1"/>
  <c r="A22" i="15" s="1"/>
  <c r="A23" i="15" s="1"/>
  <c r="A24" i="15" s="1"/>
  <c r="A25" i="15" s="1"/>
  <c r="F109" i="15" l="1"/>
  <c r="G27" i="15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32" i="3"/>
  <c r="G32" i="3" s="1"/>
  <c r="F31" i="3"/>
  <c r="G31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27" i="13"/>
  <c r="A28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92" i="12"/>
  <c r="G392" i="12" s="1"/>
  <c r="F391" i="12"/>
  <c r="F385" i="12"/>
  <c r="G385" i="12" s="1"/>
  <c r="F383" i="12"/>
  <c r="G383" i="12" s="1"/>
  <c r="F381" i="12"/>
  <c r="G381" i="12" s="1"/>
  <c r="F380" i="12"/>
  <c r="G380" i="12" s="1"/>
  <c r="F363" i="12"/>
  <c r="G363" i="12" s="1"/>
  <c r="F362" i="12"/>
  <c r="G362" i="12" s="1"/>
  <c r="F358" i="12"/>
  <c r="G358" i="12" s="1"/>
  <c r="F357" i="12"/>
  <c r="G357" i="12" s="1"/>
  <c r="F356" i="12"/>
  <c r="G356" i="12" s="1"/>
  <c r="F355" i="12"/>
  <c r="G355" i="12" s="1"/>
  <c r="F350" i="12"/>
  <c r="G350" i="12" s="1"/>
  <c r="F349" i="12"/>
  <c r="G349" i="12" s="1"/>
  <c r="F345" i="12"/>
  <c r="G345" i="12" s="1"/>
  <c r="F344" i="12"/>
  <c r="G344" i="12" s="1"/>
  <c r="F343" i="12"/>
  <c r="G343" i="12" s="1"/>
  <c r="F342" i="12"/>
  <c r="F337" i="12"/>
  <c r="G337" i="12" s="1"/>
  <c r="F336" i="12"/>
  <c r="G336" i="12" s="1"/>
  <c r="F335" i="12"/>
  <c r="F300" i="12"/>
  <c r="F332" i="12" s="1"/>
  <c r="F296" i="12"/>
  <c r="G296" i="12" s="1"/>
  <c r="F295" i="12"/>
  <c r="G295" i="12" s="1"/>
  <c r="F294" i="12"/>
  <c r="G294" i="12" s="1"/>
  <c r="F289" i="12"/>
  <c r="G289" i="12" s="1"/>
  <c r="F288" i="12"/>
  <c r="G288" i="12" s="1"/>
  <c r="F287" i="12"/>
  <c r="G287" i="12" s="1"/>
  <c r="F286" i="12"/>
  <c r="G286" i="12" s="1"/>
  <c r="F285" i="12"/>
  <c r="G285" i="12" s="1"/>
  <c r="F284" i="12"/>
  <c r="G284" i="12" s="1"/>
  <c r="F283" i="12"/>
  <c r="G283" i="12" s="1"/>
  <c r="F282" i="12"/>
  <c r="G282" i="12" s="1"/>
  <c r="F281" i="12"/>
  <c r="G281" i="12" s="1"/>
  <c r="F280" i="12"/>
  <c r="G280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2" i="12"/>
  <c r="G272" i="12" s="1"/>
  <c r="F271" i="12"/>
  <c r="G271" i="12" s="1"/>
  <c r="F270" i="12"/>
  <c r="G270" i="12" s="1"/>
  <c r="F269" i="12"/>
  <c r="F157" i="12"/>
  <c r="G157" i="12" s="1"/>
  <c r="F156" i="12"/>
  <c r="G156" i="12" s="1"/>
  <c r="F155" i="12"/>
  <c r="G155" i="12" s="1"/>
  <c r="F154" i="12"/>
  <c r="G154" i="12" s="1"/>
  <c r="F153" i="12"/>
  <c r="G153" i="12" s="1"/>
  <c r="F152" i="12"/>
  <c r="G152" i="12" s="1"/>
  <c r="F151" i="12"/>
  <c r="G151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F135" i="12"/>
  <c r="G135" i="12" s="1"/>
  <c r="F134" i="12"/>
  <c r="G134" i="12" s="1"/>
  <c r="F133" i="12"/>
  <c r="G133" i="12" s="1"/>
  <c r="F132" i="12"/>
  <c r="G132" i="12" s="1"/>
  <c r="F131" i="12"/>
  <c r="G131" i="12" s="1"/>
  <c r="F130" i="12"/>
  <c r="G130" i="12" s="1"/>
  <c r="F129" i="12"/>
  <c r="G129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342" i="12" l="1"/>
  <c r="F396" i="12"/>
  <c r="G335" i="12"/>
  <c r="G339" i="12" s="1"/>
  <c r="F339" i="12"/>
  <c r="C17" i="13" s="1"/>
  <c r="G300" i="12"/>
  <c r="G269" i="12"/>
  <c r="G297" i="12" s="1"/>
  <c r="F297" i="12"/>
  <c r="C15" i="13" s="1"/>
  <c r="G140" i="12"/>
  <c r="G159" i="12" s="1"/>
  <c r="F159" i="12"/>
  <c r="C13" i="13" s="1"/>
  <c r="G118" i="12"/>
  <c r="F137" i="12"/>
  <c r="G6" i="12"/>
  <c r="F36" i="12"/>
  <c r="G391" i="12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89" i="7"/>
  <c r="G289" i="7" s="1"/>
  <c r="F283" i="7"/>
  <c r="G283" i="7" s="1"/>
  <c r="F282" i="7"/>
  <c r="G282" i="7" s="1"/>
  <c r="F269" i="7"/>
  <c r="G269" i="7" s="1"/>
  <c r="F268" i="7"/>
  <c r="G268" i="7" s="1"/>
  <c r="F267" i="7"/>
  <c r="G267" i="7" s="1"/>
  <c r="F262" i="7"/>
  <c r="G262" i="7" s="1"/>
  <c r="F261" i="7"/>
  <c r="G261" i="7" s="1"/>
  <c r="F260" i="7"/>
  <c r="F255" i="7"/>
  <c r="F254" i="7"/>
  <c r="G254" i="7" s="1"/>
  <c r="F236" i="7"/>
  <c r="G236" i="7" s="1"/>
  <c r="F235" i="7"/>
  <c r="F234" i="7"/>
  <c r="G234" i="7" s="1"/>
  <c r="F233" i="7"/>
  <c r="G233" i="7" s="1"/>
  <c r="F232" i="7"/>
  <c r="G232" i="7" s="1"/>
  <c r="F217" i="7"/>
  <c r="G217" i="7" s="1"/>
  <c r="F216" i="7"/>
  <c r="G216" i="7" s="1"/>
  <c r="F215" i="7"/>
  <c r="G215" i="7" s="1"/>
  <c r="F213" i="7"/>
  <c r="G213" i="7" s="1"/>
  <c r="F212" i="7"/>
  <c r="G212" i="7" s="1"/>
  <c r="F211" i="7"/>
  <c r="G211" i="7" s="1"/>
  <c r="F210" i="7"/>
  <c r="G210" i="7" s="1"/>
  <c r="F209" i="7"/>
  <c r="G209" i="7" s="1"/>
  <c r="F208" i="7"/>
  <c r="G208" i="7" s="1"/>
  <c r="F207" i="7"/>
  <c r="G207" i="7" s="1"/>
  <c r="F206" i="7"/>
  <c r="G206" i="7" s="1"/>
  <c r="F205" i="7"/>
  <c r="G205" i="7" s="1"/>
  <c r="F204" i="7"/>
  <c r="F203" i="7"/>
  <c r="G203" i="7" s="1"/>
  <c r="F202" i="7"/>
  <c r="G202" i="7" s="1"/>
  <c r="F121" i="7"/>
  <c r="G121" i="7" s="1"/>
  <c r="F120" i="7"/>
  <c r="G120" i="7" s="1"/>
  <c r="F116" i="7"/>
  <c r="G116" i="7" s="1"/>
  <c r="F115" i="7"/>
  <c r="G115" i="7" s="1"/>
  <c r="F113" i="7"/>
  <c r="G113" i="7" s="1"/>
  <c r="F112" i="7"/>
  <c r="G112" i="7" s="1"/>
  <c r="F107" i="7"/>
  <c r="G107" i="7" s="1"/>
  <c r="F106" i="7"/>
  <c r="G106" i="7" s="1"/>
  <c r="F102" i="7"/>
  <c r="G102" i="7" s="1"/>
  <c r="F101" i="7"/>
  <c r="G101" i="7" s="1"/>
  <c r="F99" i="7"/>
  <c r="G99" i="7" s="1"/>
  <c r="F98" i="7"/>
  <c r="G98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260" i="7" l="1"/>
  <c r="F290" i="7"/>
  <c r="G396" i="12"/>
  <c r="C18" i="13"/>
  <c r="F397" i="12"/>
  <c r="C7" i="13" s="1"/>
  <c r="F7" i="13" s="1"/>
  <c r="K7" i="13" s="1"/>
  <c r="G235" i="7"/>
  <c r="F250" i="7"/>
  <c r="F13" i="13"/>
  <c r="F15" i="13"/>
  <c r="F17" i="13"/>
  <c r="G332" i="12"/>
  <c r="C16" i="13"/>
  <c r="G137" i="12"/>
  <c r="C12" i="13"/>
  <c r="G36" i="12"/>
  <c r="C8" i="13"/>
  <c r="G204" i="7"/>
  <c r="G255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G290" i="7" l="1"/>
  <c r="D18" i="13"/>
  <c r="G18" i="13" s="1"/>
  <c r="M18" i="13" s="1"/>
  <c r="F18" i="13"/>
  <c r="E18" i="13"/>
  <c r="G397" i="12"/>
  <c r="K15" i="13"/>
  <c r="K13" i="13"/>
  <c r="K17" i="13"/>
  <c r="G250" i="7"/>
  <c r="D16" i="13"/>
  <c r="G16" i="13" s="1"/>
  <c r="M16" i="13" s="1"/>
  <c r="F8" i="13"/>
  <c r="F12" i="13"/>
  <c r="F16" i="13"/>
  <c r="K16" i="13" s="1"/>
  <c r="F41" i="5"/>
  <c r="K18" i="13" l="1"/>
  <c r="H18" i="13"/>
  <c r="O18" i="13" s="1"/>
  <c r="E16" i="13"/>
  <c r="K8" i="13"/>
  <c r="K12" i="13"/>
  <c r="H16" i="13"/>
  <c r="O16" i="13" s="1"/>
  <c r="G41" i="5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F18" i="8"/>
  <c r="G18" i="8" s="1"/>
  <c r="F17" i="8"/>
  <c r="F28" i="8"/>
  <c r="G28" i="8" s="1"/>
  <c r="F9" i="8"/>
  <c r="G9" i="8" s="1"/>
  <c r="F8" i="8"/>
  <c r="G8" i="8" s="1"/>
  <c r="F35" i="8"/>
  <c r="G35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7" i="8"/>
  <c r="G27" i="8" s="1"/>
  <c r="F26" i="8"/>
  <c r="G26" i="8" s="1"/>
  <c r="F22" i="8"/>
  <c r="G22" i="8" s="1"/>
  <c r="F20" i="8"/>
  <c r="G20" i="8" s="1"/>
  <c r="F19" i="8"/>
  <c r="G19" i="8" s="1"/>
  <c r="F14" i="8"/>
  <c r="G14" i="8" s="1"/>
  <c r="F12" i="8"/>
  <c r="G12" i="8" s="1"/>
  <c r="F11" i="8"/>
  <c r="F7" i="8"/>
  <c r="G7" i="8" s="1"/>
  <c r="A7" i="8"/>
  <c r="A8" i="8" s="1"/>
  <c r="A9" i="8" s="1"/>
  <c r="A11" i="8" s="1"/>
  <c r="A12" i="8" s="1"/>
  <c r="A13" i="8" s="1"/>
  <c r="A14" i="8" s="1"/>
  <c r="A6" i="3"/>
  <c r="A7" i="3" s="1"/>
  <c r="A10" i="3" s="1"/>
  <c r="A11" i="3" s="1"/>
  <c r="A12" i="3" s="1"/>
  <c r="A13" i="3" s="1"/>
  <c r="A14" i="3" s="1"/>
  <c r="A15" i="3" s="1"/>
  <c r="F23" i="3"/>
  <c r="G23" i="3" s="1"/>
  <c r="F27" i="3"/>
  <c r="G27" i="3" s="1"/>
  <c r="F30" i="3"/>
  <c r="G30" i="3" s="1"/>
  <c r="F29" i="3"/>
  <c r="G29" i="3" s="1"/>
  <c r="F26" i="3"/>
  <c r="G26" i="3" s="1"/>
  <c r="F24" i="3"/>
  <c r="G24" i="3" s="1"/>
  <c r="F25" i="3"/>
  <c r="G25" i="3" s="1"/>
  <c r="F19" i="3"/>
  <c r="G19" i="3" s="1"/>
  <c r="F18" i="3"/>
  <c r="G18" i="3" s="1"/>
  <c r="F14" i="3"/>
  <c r="G14" i="3" s="1"/>
  <c r="F13" i="3"/>
  <c r="G13" i="3" s="1"/>
  <c r="F20" i="3"/>
  <c r="G20" i="3" s="1"/>
  <c r="F15" i="3"/>
  <c r="G15" i="3" s="1"/>
  <c r="F12" i="3"/>
  <c r="G12" i="3" s="1"/>
  <c r="F11" i="3"/>
  <c r="G11" i="3" s="1"/>
  <c r="F7" i="3"/>
  <c r="G7" i="3" s="1"/>
  <c r="F5" i="3"/>
  <c r="G11" i="8" l="1"/>
  <c r="G10" i="8" s="1"/>
  <c r="F10" i="8"/>
  <c r="C5" i="13" s="1"/>
  <c r="G17" i="8"/>
  <c r="G16" i="8" s="1"/>
  <c r="F16" i="8"/>
  <c r="G5" i="8"/>
  <c r="G4" i="8" s="1"/>
  <c r="F4" i="8"/>
  <c r="C4" i="13" s="1"/>
  <c r="F4" i="13" s="1"/>
  <c r="G5" i="3"/>
  <c r="A18" i="3"/>
  <c r="A19" i="3" s="1"/>
  <c r="A20" i="3" s="1"/>
  <c r="A21" i="3" s="1"/>
  <c r="A22" i="3" s="1"/>
  <c r="A23" i="3" s="1"/>
  <c r="A24" i="3" s="1"/>
  <c r="A25" i="3" s="1"/>
  <c r="A26" i="3" s="1"/>
  <c r="A27" i="3" s="1"/>
  <c r="A16" i="3"/>
  <c r="A17" i="3" s="1"/>
  <c r="A15" i="8"/>
  <c r="A17" i="8" s="1"/>
  <c r="A18" i="8" s="1"/>
  <c r="A19" i="8" s="1"/>
  <c r="A20" i="8" s="1"/>
  <c r="A21" i="8" s="1"/>
  <c r="A22" i="8" s="1"/>
  <c r="F10" i="3"/>
  <c r="C6" i="13" l="1"/>
  <c r="F6" i="13" s="1"/>
  <c r="F36" i="8"/>
  <c r="C3" i="13" s="1"/>
  <c r="G36" i="8"/>
  <c r="F5" i="13"/>
  <c r="H5" i="13" s="1"/>
  <c r="E5" i="13"/>
  <c r="G10" i="3"/>
  <c r="G33" i="3" s="1"/>
  <c r="F33" i="3"/>
  <c r="F3" i="13"/>
  <c r="K3" i="13" s="1"/>
  <c r="A28" i="3"/>
  <c r="A29" i="3" s="1"/>
  <c r="A30" i="3" s="1"/>
  <c r="A31" i="3" s="1"/>
  <c r="A32" i="3" s="1"/>
  <c r="A26" i="8"/>
  <c r="A27" i="8" s="1"/>
  <c r="A28" i="8" s="1"/>
  <c r="A29" i="8" s="1"/>
  <c r="A30" i="8" s="1"/>
  <c r="A31" i="8" s="1"/>
  <c r="A32" i="8" s="1"/>
  <c r="A33" i="8" s="1"/>
  <c r="A34" i="8" s="1"/>
  <c r="A35" i="8" s="1"/>
  <c r="A23" i="8"/>
  <c r="A24" i="8" s="1"/>
  <c r="A25" i="8" s="1"/>
  <c r="F6" i="3"/>
  <c r="F8" i="3" l="1"/>
  <c r="D4" i="13" s="1"/>
  <c r="D6" i="13"/>
  <c r="F34" i="3"/>
  <c r="D3" i="13" s="1"/>
  <c r="G6" i="3"/>
  <c r="G8" i="3" s="1"/>
  <c r="G34" i="3" s="1"/>
  <c r="G3" i="13" l="1"/>
  <c r="M3" i="13" s="1"/>
  <c r="E3" i="13"/>
  <c r="G6" i="13"/>
  <c r="H6" i="13" s="1"/>
  <c r="E6" i="13"/>
  <c r="G4" i="13"/>
  <c r="H4" i="13" s="1"/>
  <c r="E4" i="13"/>
  <c r="H3" i="13"/>
  <c r="O3" i="13" s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53" i="7"/>
  <c r="F253" i="7" s="1"/>
  <c r="D214" i="7"/>
  <c r="F214" i="7" s="1"/>
  <c r="G214" i="7" s="1"/>
  <c r="D201" i="7"/>
  <c r="F201" i="7" s="1"/>
  <c r="D119" i="7"/>
  <c r="F119" i="7" s="1"/>
  <c r="G119" i="7" s="1"/>
  <c r="D118" i="7"/>
  <c r="F118" i="7" s="1"/>
  <c r="G118" i="7" s="1"/>
  <c r="D117" i="7"/>
  <c r="F117" i="7" s="1"/>
  <c r="G117" i="7" s="1"/>
  <c r="D111" i="7"/>
  <c r="F111" i="7" s="1"/>
  <c r="D105" i="7"/>
  <c r="F105" i="7" s="1"/>
  <c r="G105" i="7" s="1"/>
  <c r="D104" i="7"/>
  <c r="F104" i="7" s="1"/>
  <c r="G104" i="7" s="1"/>
  <c r="D103" i="7"/>
  <c r="F103" i="7" s="1"/>
  <c r="G103" i="7" s="1"/>
  <c r="D97" i="7"/>
  <c r="F97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" i="7" s="1"/>
  <c r="G201" i="7" l="1"/>
  <c r="F223" i="7"/>
  <c r="G253" i="7"/>
  <c r="F257" i="7"/>
  <c r="G111" i="7"/>
  <c r="F123" i="7"/>
  <c r="G28" i="7"/>
  <c r="D8" i="13"/>
  <c r="G97" i="7"/>
  <c r="F109" i="7"/>
  <c r="G14" i="7"/>
  <c r="A27" i="7"/>
  <c r="A30" i="7" s="1"/>
  <c r="A31" i="7" s="1"/>
  <c r="A32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2" i="12" s="1"/>
  <c r="A73" i="12" s="1"/>
  <c r="A74" i="12" s="1"/>
  <c r="A75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G109" i="7" l="1"/>
  <c r="D12" i="13"/>
  <c r="G8" i="13"/>
  <c r="E8" i="13"/>
  <c r="G257" i="7"/>
  <c r="D17" i="13"/>
  <c r="F291" i="7"/>
  <c r="D7" i="13" s="1"/>
  <c r="D32" i="13" s="1"/>
  <c r="G123" i="7"/>
  <c r="D13" i="13"/>
  <c r="G223" i="7"/>
  <c r="D15" i="13"/>
  <c r="A76" i="12"/>
  <c r="A77" i="12" s="1"/>
  <c r="A78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3" i="12" s="1"/>
  <c r="A114" i="12" s="1"/>
  <c r="A118" i="12"/>
  <c r="A119" i="12" s="1"/>
  <c r="A120" i="12" s="1"/>
  <c r="A121" i="12" s="1"/>
  <c r="A122" i="12" s="1"/>
  <c r="A123" i="12" s="1"/>
  <c r="A124" i="12" s="1"/>
  <c r="A125" i="12" s="1"/>
  <c r="A126" i="12" s="1"/>
  <c r="A127" i="12" s="1"/>
  <c r="A129" i="12" s="1"/>
  <c r="A130" i="12" s="1"/>
  <c r="A131" i="12" s="1"/>
  <c r="A132" i="12" s="1"/>
  <c r="A133" i="12" s="1"/>
  <c r="A134" i="12" s="1"/>
  <c r="A135" i="12" s="1"/>
  <c r="A136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1" i="12" s="1"/>
  <c r="A152" i="12" s="1"/>
  <c r="A153" i="12" s="1"/>
  <c r="A154" i="12" s="1"/>
  <c r="A155" i="12" s="1"/>
  <c r="A156" i="12" s="1"/>
  <c r="A157" i="12" s="1"/>
  <c r="A97" i="7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11" i="7" s="1"/>
  <c r="A112" i="7" s="1"/>
  <c r="A113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E7" i="13" l="1"/>
  <c r="G7" i="13"/>
  <c r="G15" i="13"/>
  <c r="E15" i="13"/>
  <c r="G291" i="7"/>
  <c r="G13" i="13"/>
  <c r="E13" i="13"/>
  <c r="G17" i="13"/>
  <c r="E17" i="13"/>
  <c r="M8" i="13"/>
  <c r="H8" i="13"/>
  <c r="O8" i="13" s="1"/>
  <c r="G12" i="13"/>
  <c r="E12" i="13"/>
  <c r="G32" i="13"/>
  <c r="M32" i="13" s="1"/>
  <c r="M7" i="13"/>
  <c r="H7" i="13"/>
  <c r="O7" i="13" s="1"/>
  <c r="A140" i="11"/>
  <c r="A141" i="11" s="1"/>
  <c r="A142" i="11" s="1"/>
  <c r="A143" i="11" s="1"/>
  <c r="A144" i="11" s="1"/>
  <c r="A33" i="7"/>
  <c r="A34" i="7" s="1"/>
  <c r="A35" i="7" s="1"/>
  <c r="A36" i="7" s="1"/>
  <c r="A37" i="7" s="1"/>
  <c r="A38" i="7" s="1"/>
  <c r="A39" i="7" s="1"/>
  <c r="A40" i="7" s="1"/>
  <c r="A41" i="7" s="1"/>
  <c r="A44" i="7" s="1"/>
  <c r="A45" i="7" s="1"/>
  <c r="A46" i="7" s="1"/>
  <c r="A115" i="7"/>
  <c r="A116" i="7" s="1"/>
  <c r="A117" i="7" s="1"/>
  <c r="A118" i="7" s="1"/>
  <c r="A119" i="7" s="1"/>
  <c r="A120" i="7" s="1"/>
  <c r="A121" i="7" s="1"/>
  <c r="A122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14" i="7"/>
  <c r="A158" i="12"/>
  <c r="A163" i="12" s="1"/>
  <c r="A164" i="12" s="1"/>
  <c r="A165" i="12" s="1"/>
  <c r="A166" i="12" s="1"/>
  <c r="A167" i="12" s="1"/>
  <c r="A168" i="12" s="1"/>
  <c r="A170" i="12" s="1"/>
  <c r="A171" i="12" s="1"/>
  <c r="A172" i="12" s="1"/>
  <c r="A173" i="12" s="1"/>
  <c r="A174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4" i="12" s="1"/>
  <c r="A196" i="12" s="1"/>
  <c r="A197" i="12" s="1"/>
  <c r="A199" i="12" s="1"/>
  <c r="A200" i="12" s="1"/>
  <c r="A201" i="12" s="1"/>
  <c r="A202" i="12" s="1"/>
  <c r="A203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M17" i="13" l="1"/>
  <c r="H17" i="13"/>
  <c r="O17" i="13" s="1"/>
  <c r="M12" i="13"/>
  <c r="H12" i="13"/>
  <c r="M13" i="13"/>
  <c r="H13" i="13"/>
  <c r="O13" i="13" s="1"/>
  <c r="M15" i="13"/>
  <c r="H15" i="13"/>
  <c r="O15" i="13" s="1"/>
  <c r="G7" i="10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7" i="7"/>
  <c r="A48" i="7" s="1"/>
  <c r="A49" i="7" s="1"/>
  <c r="A50" i="7" s="1"/>
  <c r="A51" i="7" s="1"/>
  <c r="A52" i="7" s="1"/>
  <c r="A53" i="7" s="1"/>
  <c r="A54" i="7" s="1"/>
  <c r="A55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136" i="7"/>
  <c r="A137" i="7" s="1"/>
  <c r="A138" i="7" s="1"/>
  <c r="A139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2" i="7" s="1"/>
  <c r="A173" i="7" s="1"/>
  <c r="A174" i="7" s="1"/>
  <c r="A175" i="7" s="1"/>
  <c r="A176" i="7" s="1"/>
  <c r="A177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2" i="7" s="1"/>
  <c r="A193" i="7" s="1"/>
  <c r="A194" i="7" s="1"/>
  <c r="A195" i="7" s="1"/>
  <c r="A196" i="7" s="1"/>
  <c r="A197" i="7" s="1"/>
  <c r="A198" i="7" s="1"/>
  <c r="A219" i="12"/>
  <c r="A220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G57" i="10"/>
  <c r="G58" i="10" s="1"/>
  <c r="G59" i="10" s="1"/>
  <c r="O12" i="13" l="1"/>
  <c r="I12" i="13"/>
  <c r="I32" i="13" s="1"/>
  <c r="F58" i="10"/>
  <c r="F59" i="10" s="1"/>
  <c r="A201" i="7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33" i="12"/>
  <c r="A232" i="12"/>
  <c r="A234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8" i="7"/>
  <c r="A219" i="7" s="1"/>
  <c r="A220" i="7" s="1"/>
  <c r="A221" i="7" s="1"/>
  <c r="A222" i="7" s="1"/>
  <c r="A226" i="7" s="1"/>
  <c r="A228" i="7" s="1"/>
  <c r="A235" i="12"/>
  <c r="A236" i="12" s="1"/>
  <c r="A237" i="12" s="1"/>
  <c r="A239" i="12" s="1"/>
  <c r="A241" i="12" s="1"/>
  <c r="A242" i="12" s="1"/>
  <c r="A244" i="12" s="1"/>
  <c r="A245" i="12" s="1"/>
  <c r="A246" i="12" s="1"/>
  <c r="A247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2" i="12" s="1"/>
  <c r="A264" i="12" s="1"/>
  <c r="A265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A229" i="7"/>
  <c r="A230" i="7" s="1"/>
  <c r="A232" i="7" s="1"/>
  <c r="A233" i="7" s="1"/>
  <c r="A234" i="7" s="1"/>
  <c r="A235" i="7" s="1"/>
  <c r="A236" i="7" s="1"/>
  <c r="A269" i="12"/>
  <c r="A270" i="12" s="1"/>
  <c r="A271" i="12" s="1"/>
  <c r="A272" i="12" s="1"/>
  <c r="A273" i="12" s="1"/>
  <c r="A274" i="12" s="1"/>
  <c r="A275" i="12" s="1"/>
  <c r="A276" i="12" s="1"/>
  <c r="A277" i="12" s="1"/>
  <c r="A278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187" i="6"/>
  <c r="A188" i="6" s="1"/>
  <c r="A189" i="6" s="1"/>
  <c r="A190" i="6" s="1"/>
  <c r="A191" i="6" s="1"/>
  <c r="A290" i="12" l="1"/>
  <c r="A291" i="12" s="1"/>
  <c r="A292" i="12" s="1"/>
  <c r="A294" i="12" s="1"/>
  <c r="A295" i="12" s="1"/>
  <c r="A296" i="12" s="1"/>
  <c r="A237" i="7"/>
  <c r="A239" i="7" s="1"/>
  <c r="A241" i="7" s="1"/>
  <c r="A242" i="7" s="1"/>
  <c r="A243" i="7" s="1"/>
  <c r="A244" i="7" s="1"/>
  <c r="A245" i="7" s="1"/>
  <c r="A247" i="7" s="1"/>
  <c r="A248" i="7" s="1"/>
  <c r="A249" i="7" s="1"/>
  <c r="A253" i="7" s="1"/>
  <c r="A254" i="7" s="1"/>
  <c r="A255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300" i="12" l="1"/>
  <c r="A301" i="12" s="1"/>
  <c r="A302" i="12" s="1"/>
  <c r="A303" i="12" s="1"/>
  <c r="A304" i="12" s="1"/>
  <c r="A219" i="11"/>
  <c r="A220" i="11" s="1"/>
  <c r="A221" i="11" s="1"/>
  <c r="A222" i="11" s="1"/>
  <c r="A223" i="11" s="1"/>
  <c r="A224" i="11" s="1"/>
  <c r="A256" i="7"/>
  <c r="A260" i="7" s="1"/>
  <c r="A26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305" i="12" l="1"/>
  <c r="A306" i="12" s="1"/>
  <c r="A308" i="12" s="1"/>
  <c r="A309" i="12" s="1"/>
  <c r="A311" i="12" s="1"/>
  <c r="A312" i="12" s="1"/>
  <c r="A313" i="12" s="1"/>
  <c r="A314" i="12" s="1"/>
  <c r="A315" i="12" s="1"/>
  <c r="A316" i="12" s="1"/>
  <c r="A318" i="12" s="1"/>
  <c r="A319" i="12" s="1"/>
  <c r="A320" i="12" s="1"/>
  <c r="A321" i="12" s="1"/>
  <c r="A322" i="12" s="1"/>
  <c r="A324" i="12" s="1"/>
  <c r="A326" i="12" s="1"/>
  <c r="A327" i="12" s="1"/>
  <c r="A328" i="12" s="1"/>
  <c r="A329" i="12" s="1"/>
  <c r="A331" i="12" s="1"/>
  <c r="A335" i="12" s="1"/>
  <c r="A336" i="12" s="1"/>
  <c r="A337" i="12" s="1"/>
  <c r="A338" i="12" s="1"/>
  <c r="A342" i="12" s="1"/>
  <c r="A343" i="12" s="1"/>
  <c r="A344" i="12" s="1"/>
  <c r="A345" i="12" s="1"/>
  <c r="A225" i="1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62" i="7"/>
  <c r="A267" i="7" s="1"/>
  <c r="A268" i="7" s="1"/>
  <c r="A269" i="7" s="1"/>
  <c r="A263" i="7"/>
  <c r="A264" i="7" s="1"/>
  <c r="A265" i="7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A274" i="7"/>
  <c r="A275" i="7" s="1"/>
  <c r="A277" i="7" s="1"/>
  <c r="A278" i="7" s="1"/>
  <c r="A282" i="7"/>
  <c r="A283" i="7" s="1"/>
  <c r="A270" i="7"/>
  <c r="A271" i="7" s="1"/>
  <c r="A272" i="7" s="1"/>
  <c r="A346" i="12"/>
  <c r="A347" i="12" s="1"/>
  <c r="A349" i="12" s="1"/>
  <c r="A350" i="12" s="1"/>
  <c r="A290" i="6"/>
  <c r="A291" i="6" s="1"/>
  <c r="A292" i="6" s="1"/>
  <c r="A293" i="6" s="1"/>
  <c r="A294" i="6" s="1"/>
  <c r="A295" i="6" s="1"/>
  <c r="H87" i="2"/>
  <c r="H79" i="1" l="1"/>
  <c r="A276" i="7"/>
  <c r="A281" i="7"/>
  <c r="A279" i="7"/>
  <c r="A284" i="7"/>
  <c r="A285" i="7" s="1"/>
  <c r="A286" i="7" s="1"/>
  <c r="A287" i="7" s="1"/>
  <c r="A288" i="7" s="1"/>
  <c r="A289" i="7" s="1"/>
  <c r="A351" i="12"/>
  <c r="A352" i="12" s="1"/>
  <c r="A353" i="12" s="1"/>
  <c r="A355" i="12"/>
  <c r="A356" i="12" s="1"/>
  <c r="A357" i="12" s="1"/>
  <c r="A358" i="12" s="1"/>
  <c r="A362" i="12" s="1"/>
  <c r="A363" i="12" s="1"/>
  <c r="A296" i="6"/>
  <c r="A297" i="6" s="1"/>
  <c r="A298" i="6" s="1"/>
  <c r="A299" i="6" s="1"/>
  <c r="A300" i="6" s="1"/>
  <c r="A359" i="12" l="1"/>
  <c r="A360" i="12" s="1"/>
  <c r="A364" i="12"/>
  <c r="A365" i="12"/>
  <c r="A366" i="12" s="1"/>
  <c r="A368" i="12" s="1"/>
  <c r="A369" i="12" s="1"/>
  <c r="A370" i="12" s="1"/>
  <c r="A380" i="12"/>
  <c r="A381" i="12" l="1"/>
  <c r="A382" i="12" s="1"/>
  <c r="A383" i="12" s="1"/>
  <c r="A384" i="12" s="1"/>
  <c r="A385" i="12" s="1"/>
  <c r="A386" i="12" s="1"/>
  <c r="A387" i="12" s="1"/>
  <c r="A388" i="12" s="1"/>
  <c r="A389" i="12" s="1"/>
  <c r="A391" i="12" s="1"/>
  <c r="A374" i="12"/>
  <c r="A375" i="12" s="1"/>
  <c r="A376" i="12" s="1"/>
  <c r="A371" i="12"/>
  <c r="A372" i="12" s="1"/>
  <c r="A377" i="12" l="1"/>
  <c r="A378" i="12" s="1"/>
  <c r="A392" i="12"/>
  <c r="A394" i="12" l="1"/>
  <c r="A395" i="12" s="1"/>
  <c r="A393" i="12"/>
  <c r="F236" i="11" l="1"/>
  <c r="F237" i="11" s="1"/>
  <c r="G185" i="11"/>
  <c r="G236" i="11" s="1"/>
  <c r="G237" i="11" l="1"/>
  <c r="G238" i="11" s="1"/>
  <c r="F238" i="11"/>
  <c r="G9" i="31" l="1"/>
  <c r="G15" i="31"/>
  <c r="H18" i="31"/>
  <c r="H19" i="31"/>
  <c r="H23" i="31" l="1"/>
  <c r="H8" i="31"/>
  <c r="H9" i="31" s="1"/>
  <c r="H15" i="31"/>
  <c r="H16" i="31" s="1"/>
  <c r="G16" i="31"/>
  <c r="G75" i="31" s="1"/>
  <c r="H45" i="31"/>
  <c r="H49" i="31" s="1"/>
  <c r="H75" i="31" l="1"/>
  <c r="C29" i="13" s="1"/>
  <c r="C32" i="13" s="1"/>
  <c r="F29" i="13" l="1"/>
  <c r="E29" i="13"/>
  <c r="E32" i="13" s="1"/>
  <c r="F32" i="13" l="1"/>
  <c r="K32" i="13" s="1"/>
  <c r="K29" i="13"/>
  <c r="H29" i="13"/>
  <c r="O29" i="13" s="1"/>
  <c r="H32" i="13" l="1"/>
  <c r="H35" i="13" l="1"/>
  <c r="O32" i="13"/>
</calcChain>
</file>

<file path=xl/sharedStrings.xml><?xml version="1.0" encoding="utf-8"?>
<sst xmlns="http://schemas.openxmlformats.org/spreadsheetml/2006/main" count="10570" uniqueCount="2343">
  <si>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</si>
  <si>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</si>
  <si>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</si>
  <si>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</si>
  <si>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</si>
  <si>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</si>
  <si>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</si>
  <si>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</si>
  <si>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</si>
  <si>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</si>
  <si>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</si>
  <si>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</si>
  <si>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</si>
  <si>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</si>
  <si>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</si>
  <si>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</si>
  <si>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</si>
  <si>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</si>
  <si>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</si>
  <si>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</si>
  <si>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</si>
  <si>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</si>
  <si>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</si>
  <si>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</si>
  <si>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</si>
  <si>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</si>
  <si>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</si>
  <si>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</si>
  <si>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</si>
  <si>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</si>
  <si>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</si>
  <si>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</si>
  <si>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</si>
  <si>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</si>
  <si>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</si>
  <si>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</si>
  <si>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</si>
  <si>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</si>
  <si>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</si>
  <si>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</si>
  <si>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</si>
  <si>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</si>
  <si>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</si>
  <si>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</si>
  <si>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</si>
  <si>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</si>
  <si>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</si>
  <si>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</si>
  <si>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</si>
  <si>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</si>
  <si>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</si>
  <si>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</si>
  <si>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</si>
  <si>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</si>
  <si>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</si>
  <si>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</si>
  <si>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</si>
  <si>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</si>
  <si>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</si>
  <si>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</si>
  <si>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</si>
  <si>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</si>
  <si>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</si>
  <si>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</si>
  <si>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</si>
  <si>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</si>
  <si>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</si>
  <si>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</si>
  <si>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</si>
  <si>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</si>
  <si>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</si>
  <si>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</si>
  <si>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</si>
  <si>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</si>
  <si>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</si>
  <si>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</si>
  <si>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</si>
  <si>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</si>
  <si>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</si>
  <si>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</si>
  <si>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</si>
  <si>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</si>
  <si>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</si>
  <si>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</si>
  <si>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</si>
  <si>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</si>
  <si>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</si>
  <si>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</si>
  <si>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</si>
  <si>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</si>
  <si>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</si>
  <si>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</si>
  <si>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</si>
  <si>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</si>
  <si>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</si>
  <si>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</si>
  <si>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</si>
  <si>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</si>
  <si>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</si>
  <si>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</si>
  <si>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</si>
  <si>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</si>
  <si>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</si>
  <si>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</si>
  <si>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</si>
  <si>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</si>
  <si>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</si>
  <si>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</si>
  <si>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</si>
  <si>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</si>
  <si>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</si>
  <si>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</si>
  <si>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</si>
  <si>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</si>
  <si>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</si>
  <si>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</si>
  <si>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</si>
  <si>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</si>
  <si>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</si>
  <si>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</si>
  <si>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</si>
  <si>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</si>
  <si>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</si>
  <si>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</si>
  <si>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</si>
  <si>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</si>
  <si>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</si>
  <si>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</si>
  <si>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</si>
  <si>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</si>
  <si>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</si>
  <si>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</si>
  <si>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</si>
  <si>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</si>
  <si>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</si>
  <si>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</si>
  <si>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</si>
  <si>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</si>
  <si>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</si>
  <si>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</si>
  <si>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</si>
  <si>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</si>
  <si>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</si>
  <si>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</si>
  <si>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</si>
  <si>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</si>
  <si>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</si>
  <si>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</si>
  <si>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</si>
  <si>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</si>
  <si>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</si>
  <si>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</si>
  <si>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</si>
  <si>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</si>
  <si>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</si>
  <si>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</si>
  <si>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</si>
  <si>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</si>
  <si>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</si>
  <si>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</si>
  <si>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</si>
  <si>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</si>
  <si>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</si>
  <si>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</si>
  <si>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</si>
  <si>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</si>
  <si>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</si>
  <si>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</si>
  <si>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</si>
  <si>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</si>
  <si>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</si>
  <si>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</si>
  <si>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</si>
  <si>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</si>
  <si>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</si>
  <si>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</si>
  <si>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</si>
  <si>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</si>
  <si>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</si>
  <si>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</si>
  <si>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</si>
  <si>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</si>
  <si>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</si>
  <si>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</si>
  <si>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</si>
  <si>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</si>
  <si>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</si>
  <si>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</si>
  <si>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</si>
  <si>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</si>
  <si>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</si>
  <si>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</si>
  <si>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</si>
  <si>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</si>
  <si>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</si>
  <si>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</si>
  <si>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</si>
  <si>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</si>
  <si>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</si>
  <si>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</si>
  <si>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</si>
  <si>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</si>
  <si>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</si>
  <si>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</si>
  <si>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</si>
  <si>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</si>
  <si>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</si>
  <si>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</si>
  <si>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</si>
  <si>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</si>
  <si>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</si>
  <si>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</si>
  <si>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</si>
  <si>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</si>
  <si>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</si>
  <si>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</si>
  <si>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</si>
  <si>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</si>
  <si>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</si>
  <si>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</si>
  <si>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</si>
  <si>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</si>
  <si>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</si>
  <si>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</si>
  <si>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</si>
  <si>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</si>
  <si>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</si>
  <si>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</si>
  <si>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</si>
  <si>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</si>
  <si>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</si>
  <si>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</si>
  <si>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</si>
  <si>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</si>
  <si>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</si>
  <si>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</si>
  <si>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</si>
  <si>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</si>
  <si>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</si>
  <si>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</si>
  <si>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</si>
  <si>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</si>
  <si>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</si>
  <si>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</si>
  <si>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</si>
  <si>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</si>
  <si>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</si>
  <si>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</si>
  <si>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</si>
  <si>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</si>
  <si>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</si>
  <si>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</si>
  <si>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</si>
  <si>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</si>
  <si>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</si>
  <si>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</si>
  <si>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</si>
  <si>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</si>
  <si>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</si>
  <si>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</si>
  <si>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</si>
  <si>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</si>
  <si>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</si>
  <si>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</si>
  <si>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</si>
  <si>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</si>
  <si>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</si>
  <si>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</si>
  <si>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</si>
  <si>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</si>
  <si>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</si>
  <si>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</si>
  <si>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</si>
  <si>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</si>
  <si>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</si>
  <si>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</si>
  <si>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</si>
  <si>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</si>
  <si>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</si>
  <si>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</si>
  <si>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</si>
  <si>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</si>
  <si>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</si>
  <si>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</si>
  <si>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</si>
  <si>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</si>
  <si>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</si>
  <si>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</si>
  <si>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</si>
  <si>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</si>
  <si>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</si>
  <si>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</si>
  <si>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</si>
  <si>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</si>
  <si>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</si>
  <si>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</si>
  <si>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</si>
  <si>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</si>
  <si>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</si>
  <si>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</si>
  <si>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</si>
  <si>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</si>
  <si>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</si>
  <si>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</si>
  <si>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</si>
  <si>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</si>
  <si>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</si>
  <si>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</si>
  <si>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</si>
  <si>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</si>
  <si>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</si>
  <si>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</si>
  <si>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</si>
  <si>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</si>
  <si>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</si>
  <si>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</si>
  <si>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</si>
  <si>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</si>
  <si>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</si>
  <si>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</si>
  <si>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</si>
  <si>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</si>
  <si>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</si>
  <si>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</si>
  <si>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</si>
  <si>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</si>
  <si>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</si>
  <si>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</si>
  <si>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</si>
  <si>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</si>
  <si>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</si>
  <si>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</si>
  <si>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</si>
  <si>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</si>
  <si>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</si>
  <si>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</si>
  <si>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</si>
  <si>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</si>
  <si>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</si>
  <si>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</si>
  <si>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</si>
  <si>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</si>
  <si>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</si>
  <si>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</si>
  <si>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</si>
  <si>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</si>
  <si>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</si>
  <si>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</si>
  <si>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</si>
  <si>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</si>
  <si>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</si>
  <si>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</si>
  <si>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</si>
  <si>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</si>
  <si>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</si>
  <si>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</si>
  <si>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</si>
  <si>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</si>
  <si>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</si>
  <si>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</si>
  <si>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</si>
  <si>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</si>
  <si>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</si>
  <si>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</si>
  <si>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</si>
  <si>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</si>
  <si>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</si>
  <si>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</si>
  <si>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</si>
  <si>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</si>
  <si>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</si>
  <si>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</si>
  <si>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</si>
  <si>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</si>
  <si>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</si>
  <si>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</si>
  <si>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</si>
  <si>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</si>
  <si>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</si>
  <si>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</si>
  <si>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</si>
  <si>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</si>
  <si>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</si>
  <si>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</si>
  <si>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</si>
  <si>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</si>
  <si>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</si>
  <si>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</si>
  <si>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</si>
  <si>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</si>
  <si>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</si>
  <si>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</si>
  <si>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</si>
  <si>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</si>
  <si>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</si>
  <si>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</si>
  <si>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</si>
  <si>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</si>
  <si>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</si>
  <si>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</si>
  <si>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</si>
  <si>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</si>
  <si>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</si>
  <si>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</si>
  <si>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</si>
  <si>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</si>
  <si>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</si>
  <si>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</si>
  <si>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</si>
  <si>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</si>
  <si>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</si>
  <si>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</si>
  <si>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</si>
  <si>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</si>
  <si>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</si>
  <si>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</si>
  <si>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</si>
  <si>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</si>
  <si>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</si>
  <si>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</si>
  <si>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</si>
  <si>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</si>
  <si>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</si>
  <si>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</si>
  <si>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</si>
  <si>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</si>
  <si>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</si>
  <si>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</si>
  <si>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</si>
  <si>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</si>
  <si>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</si>
  <si>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</si>
  <si>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</si>
  <si>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</si>
  <si>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</si>
  <si>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</si>
  <si>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</si>
  <si>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</si>
  <si>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</si>
  <si>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</si>
  <si>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</si>
  <si>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</si>
  <si>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</si>
  <si>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</si>
  <si>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</si>
  <si>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</si>
  <si>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</si>
  <si>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</si>
  <si>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</si>
  <si>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</si>
  <si>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</si>
  <si>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</si>
  <si>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</si>
  <si>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</si>
  <si>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</si>
  <si>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</si>
  <si>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</si>
  <si>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</si>
  <si>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</si>
  <si>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</si>
  <si>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</si>
  <si>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</si>
  <si>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</si>
  <si>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</si>
  <si>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</si>
  <si>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</si>
  <si>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</si>
  <si>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</si>
  <si>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</si>
  <si>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</si>
  <si>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</si>
  <si>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</si>
  <si>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</si>
  <si>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</si>
  <si>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</si>
  <si>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</si>
  <si>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</si>
  <si>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</si>
  <si>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</si>
  <si>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</si>
  <si>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</si>
  <si>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</si>
  <si>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</si>
  <si>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</si>
  <si>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</si>
  <si>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</si>
  <si>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</si>
  <si>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</si>
  <si>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</si>
  <si>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</si>
  <si>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</si>
  <si>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</si>
  <si>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</si>
  <si>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</si>
  <si>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</si>
  <si>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</si>
  <si>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</si>
  <si>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</si>
  <si>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</si>
  <si>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</si>
  <si>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</si>
  <si>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</si>
  <si>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</si>
  <si>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</si>
  <si>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</si>
  <si>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</si>
  <si>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</si>
  <si>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</si>
  <si>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</si>
  <si>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</si>
  <si>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</si>
  <si>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</si>
  <si>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</si>
  <si>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</si>
  <si>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</si>
  <si>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</si>
  <si>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</si>
  <si>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</si>
  <si>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</si>
  <si>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</si>
  <si>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</si>
  <si>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</si>
  <si>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</si>
  <si>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</si>
  <si>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</si>
  <si>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</si>
  <si>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</si>
  <si>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</si>
  <si>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</si>
  <si>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</si>
  <si>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</si>
  <si>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</si>
  <si>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</si>
  <si>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</si>
  <si>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</si>
  <si>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</si>
  <si>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</si>
  <si>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</si>
  <si>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</si>
  <si>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</si>
  <si>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</si>
  <si>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</si>
  <si>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</si>
  <si>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</si>
  <si>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</si>
  <si>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</si>
  <si>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</si>
  <si>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</si>
  <si>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</si>
  <si>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</si>
  <si>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</si>
  <si>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</si>
  <si>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</si>
  <si>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</si>
  <si>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</si>
  <si>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</si>
  <si>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</si>
  <si>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</si>
  <si>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</si>
  <si>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</si>
  <si>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</si>
  <si>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</si>
  <si>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</si>
  <si>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</si>
  <si>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</si>
  <si>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</si>
  <si>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</si>
  <si>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</si>
  <si>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</si>
  <si>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</si>
  <si>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</si>
  <si>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</si>
  <si>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</si>
  <si>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</si>
  <si>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</si>
  <si>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</si>
  <si>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</si>
  <si>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</si>
  <si>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</si>
  <si>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</si>
  <si>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</si>
  <si>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</si>
  <si>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</si>
  <si>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</si>
  <si>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</si>
  <si>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</si>
  <si>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</si>
  <si>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</si>
  <si>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</si>
  <si>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</si>
  <si>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</si>
  <si>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</si>
  <si>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</si>
  <si>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</si>
  <si>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</si>
  <si>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</si>
  <si>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</si>
  <si>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</si>
  <si>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</si>
  <si>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</si>
  <si>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</si>
  <si>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</si>
  <si>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</si>
  <si>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</si>
  <si>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</si>
  <si>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</si>
  <si>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</si>
  <si>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</si>
  <si>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</si>
  <si>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</si>
  <si>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</si>
  <si>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</si>
  <si>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</si>
  <si>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</si>
  <si>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</si>
  <si>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</si>
  <si>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</si>
  <si>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</si>
  <si>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</si>
  <si>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</si>
  <si>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</si>
  <si>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</si>
  <si>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</si>
  <si>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</si>
  <si>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</si>
  <si>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</si>
  <si>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</si>
  <si>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</si>
  <si>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</si>
  <si>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</si>
  <si>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</si>
  <si>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</si>
  <si>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</si>
  <si>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</si>
  <si>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</si>
  <si>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</si>
  <si>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</si>
  <si>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</si>
  <si>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</si>
  <si>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</si>
  <si>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</si>
  <si>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</si>
  <si>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</si>
  <si>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</si>
  <si>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</si>
  <si>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</si>
  <si>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</si>
  <si>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</si>
  <si>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</si>
  <si>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</si>
  <si>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</si>
  <si>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</si>
  <si>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</si>
  <si>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</si>
  <si>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</si>
  <si>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</si>
  <si>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</si>
  <si>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</si>
  <si>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</si>
  <si>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</si>
  <si>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</si>
  <si>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</si>
  <si>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</si>
  <si>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</si>
  <si>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</si>
  <si>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</si>
  <si>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</si>
  <si>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</si>
  <si>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</si>
  <si>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</si>
  <si>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</si>
  <si>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</si>
  <si>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</si>
  <si>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</si>
  <si>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</si>
  <si>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</si>
  <si>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</si>
  <si>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</si>
  <si>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</si>
  <si>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</si>
  <si>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</si>
  <si>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</si>
  <si>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</si>
  <si>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</si>
  <si>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</si>
  <si>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</si>
  <si>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</si>
  <si>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</si>
  <si>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</si>
  <si>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</si>
  <si>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</si>
  <si>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</si>
  <si>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</si>
  <si>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</si>
  <si>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</si>
  <si>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</si>
  <si>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</si>
  <si>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</si>
  <si>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</si>
  <si>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</si>
  <si>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</si>
  <si>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</si>
  <si>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</si>
  <si>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</si>
  <si>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</si>
  <si>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</si>
  <si>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</si>
  <si>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</si>
  <si>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</si>
  <si>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</si>
  <si>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</si>
  <si>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</si>
  <si>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</si>
  <si>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</si>
  <si>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</si>
  <si>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</si>
  <si>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</si>
  <si>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</si>
  <si>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</si>
  <si>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</si>
  <si>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</si>
  <si>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</si>
  <si>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</si>
  <si>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</si>
  <si>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</si>
  <si>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</si>
  <si>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</si>
  <si>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</si>
  <si>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</si>
  <si>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</si>
  <si>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</si>
  <si>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Смесь песчано-гравийная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</si>
  <si>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</si>
  <si>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</si>
  <si>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</si>
  <si>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</si>
  <si>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</si>
  <si>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</si>
  <si>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</si>
  <si>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</si>
  <si>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</si>
  <si>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</si>
  <si>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</si>
  <si>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</si>
  <si>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</si>
  <si>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</si>
  <si>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</si>
  <si>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</si>
  <si>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</si>
  <si>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</si>
  <si>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</si>
  <si>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</si>
  <si>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</si>
  <si>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</si>
  <si>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</si>
  <si>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</si>
  <si>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</si>
  <si>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</si>
  <si>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</si>
  <si>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</si>
  <si>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</si>
  <si>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</si>
  <si>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</si>
  <si>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</si>
  <si>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</si>
  <si>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</si>
  <si>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</si>
  <si>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</si>
  <si>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</si>
  <si>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</si>
  <si>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</si>
  <si>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</si>
  <si>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</si>
  <si>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</si>
  <si>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</si>
  <si>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</si>
  <si>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</si>
  <si>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</si>
  <si>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</si>
  <si>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</si>
  <si>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</si>
  <si>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</si>
  <si>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</si>
  <si>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</si>
  <si>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</si>
  <si>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</si>
  <si>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</si>
  <si>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</si>
  <si>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</si>
  <si>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</si>
  <si>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</si>
  <si>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</si>
  <si>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</si>
  <si>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</si>
  <si>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</si>
  <si>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</si>
  <si>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</si>
  <si>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</si>
  <si>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</si>
  <si>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</si>
  <si>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</si>
  <si>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</si>
  <si>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</si>
  <si>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</si>
  <si>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</si>
  <si>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</si>
  <si>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</si>
  <si>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</si>
  <si>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</si>
  <si>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</si>
  <si>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</si>
  <si>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</si>
  <si>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</si>
  <si>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</si>
  <si>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</si>
  <si>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</si>
  <si>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</si>
  <si>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</si>
  <si>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</si>
  <si>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</si>
  <si>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</si>
  <si>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</si>
  <si>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</si>
  <si>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</si>
  <si>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</si>
  <si>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</si>
  <si>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</si>
  <si>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</si>
  <si>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</si>
  <si>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</si>
  <si>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</si>
  <si>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</si>
  <si>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</si>
  <si>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</si>
  <si>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</si>
  <si>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</si>
  <si>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</si>
  <si>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</si>
  <si>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</si>
  <si>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</si>
  <si>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</si>
  <si>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</si>
  <si>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</si>
  <si>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</si>
  <si>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</si>
  <si>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</si>
  <si>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</si>
  <si>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</si>
  <si>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</si>
  <si>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</si>
  <si>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</si>
  <si>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</si>
  <si>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</si>
  <si>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</si>
  <si>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</si>
  <si>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</si>
  <si>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</si>
  <si>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</si>
  <si>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</si>
  <si>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</si>
  <si>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</si>
  <si>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</si>
  <si>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</si>
  <si>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</si>
  <si>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</si>
  <si>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</si>
  <si>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</si>
  <si>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</si>
  <si>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</si>
  <si>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</si>
  <si>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</si>
  <si>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</si>
  <si>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</si>
  <si>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</si>
  <si>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</si>
  <si>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</si>
  <si>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</si>
  <si>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</si>
  <si>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</si>
  <si>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</si>
  <si>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</si>
  <si>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</si>
  <si>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</si>
  <si>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</si>
  <si>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</si>
  <si>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</si>
  <si>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</si>
  <si>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</si>
  <si>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</si>
  <si>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</si>
  <si>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</si>
  <si>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</si>
  <si>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</si>
  <si>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</si>
  <si>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</si>
  <si>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</si>
  <si>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</si>
  <si>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</si>
  <si>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</si>
  <si>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</si>
  <si>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</si>
  <si>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</si>
  <si>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</si>
  <si>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</si>
  <si>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</si>
  <si>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</si>
  <si>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</si>
  <si>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</si>
  <si>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</si>
  <si>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</si>
  <si>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</si>
  <si>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</si>
  <si>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</si>
  <si>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</si>
  <si>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</si>
  <si>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</si>
  <si>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</si>
  <si>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</si>
  <si>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</si>
  <si>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</si>
  <si>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</si>
  <si>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</si>
  <si>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</si>
  <si>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</si>
  <si>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</si>
  <si>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</si>
  <si>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</si>
  <si>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</si>
  <si>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</si>
  <si>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</si>
  <si>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</si>
  <si>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</si>
  <si>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</si>
  <si>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</si>
  <si>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</si>
  <si>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</si>
  <si>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</si>
  <si>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</si>
  <si>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</si>
  <si>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</si>
  <si>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</si>
  <si>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</si>
  <si>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</si>
  <si>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</si>
  <si>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</si>
  <si>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</si>
  <si>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</si>
  <si>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</si>
  <si>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</si>
  <si>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</si>
  <si>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</si>
  <si>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</si>
  <si>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</si>
  <si>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</si>
  <si>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</si>
  <si>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</si>
  <si>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</si>
  <si>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</si>
  <si>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</si>
  <si>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</si>
  <si>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</si>
  <si>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</si>
  <si>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</si>
  <si>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</si>
  <si>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</si>
  <si>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</si>
  <si>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</si>
  <si>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</si>
  <si>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</si>
  <si>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</si>
  <si>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</si>
  <si>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</si>
  <si>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</si>
  <si>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</si>
  <si>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</si>
  <si>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</si>
  <si>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</si>
  <si>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</si>
  <si>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</si>
  <si>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</si>
  <si>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</si>
  <si>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</si>
  <si>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</si>
  <si>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</si>
  <si>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</si>
  <si>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</si>
  <si>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</si>
  <si>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</si>
  <si>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</si>
  <si>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</si>
  <si>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</si>
  <si>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</si>
  <si>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</si>
  <si>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</si>
  <si>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</si>
  <si>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</si>
  <si>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</si>
  <si>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</si>
  <si>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</si>
  <si>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</si>
  <si>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</si>
  <si>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</si>
  <si>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</si>
  <si>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</si>
  <si>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</si>
  <si>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</si>
  <si>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</si>
  <si>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</si>
  <si>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</si>
  <si>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</si>
  <si>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</si>
  <si>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</si>
  <si>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</si>
  <si>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</si>
  <si>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</si>
  <si>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</si>
  <si>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</si>
  <si>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</si>
  <si>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</si>
  <si>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</si>
  <si>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</si>
  <si>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</si>
  <si>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</si>
  <si>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</si>
  <si>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</si>
  <si>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</si>
  <si>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</si>
  <si>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</si>
  <si>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</si>
  <si>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</si>
  <si>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</si>
  <si>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</si>
  <si>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</si>
  <si>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</si>
  <si>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</si>
  <si>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</si>
  <si>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</si>
  <si>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</si>
  <si>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</si>
  <si>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</si>
  <si>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</si>
  <si>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</si>
  <si>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</si>
  <si>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</si>
  <si>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</si>
  <si>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</si>
  <si>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</si>
  <si>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</si>
  <si>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</si>
  <si>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</si>
  <si>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</si>
  <si>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</si>
  <si>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</si>
  <si>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</si>
  <si>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</si>
  <si>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</si>
  <si>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</si>
  <si>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</si>
  <si>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</si>
  <si>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</si>
  <si>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</si>
  <si>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</si>
  <si>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</si>
  <si>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</si>
  <si>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</si>
  <si>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</si>
  <si>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</si>
  <si>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</si>
  <si>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</si>
  <si>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</si>
  <si>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</si>
  <si>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</si>
  <si>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</si>
  <si>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</si>
  <si>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</si>
  <si>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</si>
  <si>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</si>
  <si>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</si>
  <si>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</si>
  <si>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</si>
  <si>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</si>
  <si>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</si>
  <si>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</si>
  <si>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</si>
  <si>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</si>
  <si>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</si>
  <si>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</si>
  <si>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</si>
  <si>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</si>
  <si>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</si>
  <si>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</si>
  <si>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</si>
  <si>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</si>
  <si>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</si>
  <si>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</si>
  <si>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</si>
  <si>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</si>
  <si>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</si>
  <si>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</si>
  <si>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</si>
  <si>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</si>
  <si>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</si>
  <si>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</si>
  <si>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</si>
  <si>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</si>
  <si>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</si>
  <si>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</si>
  <si>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</si>
  <si>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</si>
  <si>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</si>
  <si>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</si>
  <si>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</si>
  <si>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</si>
  <si>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</si>
  <si>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</si>
  <si>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</si>
  <si>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</si>
  <si>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</si>
  <si>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</si>
  <si>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</si>
  <si>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</si>
  <si>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</si>
  <si>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</si>
  <si>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</si>
  <si>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</si>
  <si>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</si>
  <si>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</si>
  <si>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</si>
  <si>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</si>
  <si>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</si>
  <si>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</si>
  <si>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</si>
  <si>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</si>
  <si>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</si>
  <si>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</si>
  <si>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</si>
  <si>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</si>
  <si>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</si>
  <si>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</si>
  <si>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</si>
  <si>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</si>
  <si>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</si>
  <si>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</si>
  <si>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</si>
  <si>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</si>
  <si>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</si>
  <si>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</si>
  <si>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</si>
  <si>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</si>
  <si>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</si>
  <si>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</si>
  <si>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</si>
  <si>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</si>
  <si>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</si>
  <si>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</si>
  <si>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</si>
  <si>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</si>
  <si>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</si>
  <si>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</si>
  <si>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</si>
  <si>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</si>
  <si>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</si>
  <si>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</si>
  <si>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</si>
  <si>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</si>
  <si>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</si>
  <si>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</si>
  <si>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</si>
  <si>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</si>
  <si>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</si>
  <si>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</si>
  <si>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</si>
  <si>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</si>
  <si>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</si>
  <si>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</si>
  <si>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</si>
  <si>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</si>
  <si>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</si>
  <si>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</si>
  <si>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</si>
  <si>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</si>
  <si>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</si>
  <si>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</si>
  <si>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</si>
  <si>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</si>
  <si>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</si>
  <si>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</si>
  <si>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</si>
  <si>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</si>
  <si>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</si>
  <si>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</si>
  <si>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</si>
  <si>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</si>
  <si>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</si>
  <si>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</si>
  <si>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</si>
  <si>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</si>
  <si>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</si>
  <si>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</si>
  <si>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</si>
  <si>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</si>
  <si>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</si>
  <si>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</si>
  <si>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</si>
  <si>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</si>
  <si>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</si>
  <si>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</si>
  <si>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</si>
  <si>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</si>
  <si>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</si>
  <si>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</si>
  <si>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</si>
  <si>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</si>
  <si>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</si>
  <si>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</si>
  <si>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</si>
  <si>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</si>
  <si>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</si>
  <si>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</si>
  <si>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</si>
  <si>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</si>
  <si>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</si>
  <si>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</si>
  <si>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</si>
  <si>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</si>
  <si>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</si>
  <si>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</si>
  <si>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</si>
  <si>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</si>
  <si>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</si>
  <si>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</si>
  <si>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</si>
  <si>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</si>
  <si>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</si>
  <si>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</si>
  <si>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</si>
  <si>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</si>
  <si>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</si>
  <si>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</si>
  <si>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</si>
  <si>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</si>
  <si>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</si>
  <si>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</si>
  <si>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</si>
  <si>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</si>
  <si>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</si>
  <si>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</si>
  <si>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</si>
  <si>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</si>
  <si>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</si>
  <si>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</si>
  <si>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</si>
  <si>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</si>
  <si>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</si>
  <si>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</si>
  <si>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</si>
  <si>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</si>
  <si>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</si>
  <si>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</si>
  <si>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</si>
  <si>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</si>
  <si>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</si>
  <si>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</si>
  <si>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</si>
  <si>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</si>
  <si>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</si>
  <si>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</si>
  <si>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</si>
  <si>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</si>
  <si>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</si>
  <si>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</si>
  <si>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</si>
  <si>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</si>
  <si>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</si>
  <si>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</si>
  <si>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</si>
  <si>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</si>
  <si>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</si>
  <si>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</si>
  <si>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</si>
  <si>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</si>
  <si>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</si>
  <si>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</si>
  <si>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</si>
  <si>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</si>
  <si>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</si>
  <si>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</si>
  <si>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</si>
  <si>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</si>
  <si>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</si>
  <si>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</si>
  <si>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</si>
  <si>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</si>
  <si>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</si>
  <si>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</si>
  <si>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</si>
  <si>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</si>
  <si>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</si>
  <si>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</si>
  <si>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</si>
  <si>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</si>
  <si>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</si>
  <si>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</si>
  <si>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</si>
  <si>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</si>
  <si>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</si>
  <si>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</si>
  <si>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</si>
  <si>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</si>
  <si>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</si>
  <si>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</si>
  <si>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</si>
  <si>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</si>
  <si>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</si>
  <si>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</si>
  <si>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</si>
  <si>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</si>
  <si>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</si>
  <si>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</si>
  <si>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</si>
  <si>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</si>
  <si>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</si>
  <si>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</si>
  <si>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</si>
  <si>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</si>
  <si>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</si>
  <si>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</si>
  <si>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</si>
  <si>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</si>
  <si>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</si>
  <si>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</si>
  <si>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</si>
  <si>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</si>
  <si>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</si>
  <si>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</si>
  <si>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</si>
  <si>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</si>
  <si>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</si>
  <si>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</si>
  <si>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</si>
  <si>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</si>
  <si>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</si>
  <si>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</si>
  <si>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</si>
  <si>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</si>
  <si>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</si>
  <si>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</si>
  <si>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</si>
  <si>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</si>
  <si>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</si>
  <si>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</si>
  <si>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</si>
  <si>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</si>
  <si>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</si>
  <si>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</si>
  <si>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</si>
  <si>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</si>
  <si>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</si>
  <si>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</si>
  <si>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</si>
  <si>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</si>
  <si>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</si>
  <si>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</si>
  <si>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</si>
  <si>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</si>
  <si>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</si>
  <si>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</si>
  <si>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</si>
  <si>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</si>
  <si>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</si>
  <si>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</si>
  <si>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</si>
  <si>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</si>
  <si>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</si>
  <si>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</si>
  <si>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</si>
  <si>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</si>
  <si>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</si>
  <si>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</si>
  <si>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</si>
  <si>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</si>
  <si>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</si>
  <si>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</si>
  <si>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</si>
  <si>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</si>
  <si>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</si>
  <si>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</si>
  <si>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</si>
  <si>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</si>
  <si>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</si>
  <si>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</si>
  <si>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</si>
  <si>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</si>
  <si>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</si>
  <si>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</si>
  <si>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</si>
  <si>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</si>
  <si>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</si>
  <si>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</si>
  <si>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</si>
  <si>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</si>
  <si>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</si>
  <si>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</si>
  <si>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</si>
  <si>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</si>
  <si>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</si>
  <si>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</si>
  <si>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</si>
  <si>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</si>
  <si>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</si>
  <si>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</si>
  <si>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</si>
  <si>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</si>
  <si>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</si>
  <si>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</si>
  <si>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</si>
  <si>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</si>
  <si>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</si>
  <si>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</si>
  <si>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</si>
  <si>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</si>
  <si>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</si>
  <si>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</si>
  <si>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</si>
  <si>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</si>
  <si>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</si>
  <si>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</si>
  <si>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</si>
  <si>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</si>
  <si>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</si>
  <si>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</si>
  <si>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</si>
  <si>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</si>
  <si>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</si>
  <si>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</si>
  <si>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</si>
  <si>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</si>
  <si>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</si>
  <si>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</si>
  <si>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</si>
  <si>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</si>
  <si>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</si>
  <si>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</si>
  <si>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</si>
  <si>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</si>
  <si>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</si>
  <si>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</si>
  <si>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</si>
  <si>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</si>
  <si>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</si>
  <si>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</si>
  <si>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</si>
  <si>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</si>
  <si>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</si>
  <si>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</si>
  <si>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</si>
  <si>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</si>
  <si>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</si>
  <si>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</si>
  <si>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</si>
  <si>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</si>
  <si>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</si>
  <si>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</si>
  <si>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</si>
  <si>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</si>
  <si>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</si>
  <si>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</si>
  <si>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</si>
  <si>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</si>
  <si>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</si>
  <si>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</si>
  <si>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</si>
  <si>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</si>
  <si>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</si>
  <si>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</si>
  <si>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</si>
  <si>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</si>
  <si>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</si>
  <si>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</si>
  <si>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</si>
  <si>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</si>
  <si>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</si>
  <si>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</si>
  <si>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</si>
  <si>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</si>
  <si>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</si>
  <si>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</si>
  <si>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</si>
  <si>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</si>
  <si>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</si>
  <si>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</si>
  <si>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</si>
  <si>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</si>
  <si>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</si>
  <si>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</si>
  <si>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</si>
  <si>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</si>
  <si>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</si>
  <si>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</si>
  <si>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</si>
  <si>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</si>
  <si>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</si>
  <si>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</si>
  <si>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</si>
  <si>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</si>
  <si>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</si>
  <si>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</si>
  <si>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</si>
  <si>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</si>
  <si>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</si>
  <si>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</si>
  <si>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</si>
  <si>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</si>
  <si>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</si>
  <si>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</si>
  <si>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</si>
  <si>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</si>
  <si>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</si>
  <si>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</si>
  <si>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</si>
  <si>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</si>
  <si>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</si>
  <si>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</si>
  <si>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</si>
  <si>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</si>
  <si>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</si>
  <si>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</si>
  <si>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</si>
  <si>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</si>
  <si>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</si>
  <si>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</si>
  <si>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</si>
  <si>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</si>
  <si>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</si>
  <si>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</si>
  <si>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</si>
  <si>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</si>
  <si>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</si>
  <si>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</si>
  <si>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</si>
  <si>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</si>
  <si>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</si>
  <si>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</si>
  <si>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</si>
  <si>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</si>
  <si>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</si>
  <si>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</si>
  <si>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</si>
  <si>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</si>
  <si>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</si>
  <si>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</si>
  <si>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</si>
  <si>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</si>
  <si>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</si>
  <si>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</si>
  <si>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</si>
  <si>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</si>
  <si>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</si>
  <si>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</si>
  <si>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</si>
  <si>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</si>
  <si>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</si>
  <si>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</si>
  <si>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</si>
  <si>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</si>
  <si>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</si>
  <si>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</si>
  <si>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</si>
  <si>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</si>
  <si>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</si>
  <si>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</si>
  <si>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</si>
  <si>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</si>
  <si>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</si>
  <si>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</si>
  <si>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</si>
  <si>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</si>
  <si>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</si>
  <si>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</si>
  <si>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</si>
  <si>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</si>
  <si>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</si>
  <si>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</si>
  <si>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</si>
  <si>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</si>
  <si>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</si>
  <si>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</si>
  <si>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</si>
  <si>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</si>
  <si>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</si>
  <si>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</si>
  <si>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</si>
  <si>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</si>
  <si>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</si>
  <si>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</si>
  <si>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</si>
  <si>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</si>
  <si>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</si>
  <si>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</si>
  <si>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</si>
  <si>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</si>
  <si>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</si>
  <si>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</si>
  <si>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</si>
  <si>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</si>
  <si>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</si>
  <si>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</si>
  <si>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</si>
  <si>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</si>
  <si>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</si>
  <si>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</si>
  <si>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</si>
  <si>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</si>
  <si>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</si>
  <si>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</si>
  <si>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</si>
  <si>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</si>
  <si>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</si>
  <si>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</si>
  <si>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</si>
  <si>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</si>
  <si>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</si>
  <si>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</si>
  <si>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</si>
  <si>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</si>
  <si>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</si>
  <si>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</si>
  <si>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</si>
  <si>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</si>
  <si>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</si>
  <si>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</si>
  <si>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</si>
  <si>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</si>
  <si>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</si>
  <si>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</si>
  <si>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</si>
  <si>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</si>
  <si>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</si>
  <si>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</si>
  <si>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</si>
  <si>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</si>
  <si>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</si>
  <si>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</si>
  <si>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</si>
  <si>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</si>
  <si>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</si>
  <si>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</si>
  <si>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Демонтаж объектов по трассе</t>
  </si>
  <si>
    <t>Демонтаж 121 цеха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</si>
  <si>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</si>
  <si>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</si>
  <si>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</si>
  <si>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</si>
  <si>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</si>
  <si>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</si>
  <si>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</si>
  <si>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</si>
  <si>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</si>
  <si>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</si>
  <si>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</si>
  <si>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</si>
  <si>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</si>
  <si>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</si>
  <si>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</si>
  <si>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</si>
  <si>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</si>
  <si>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</si>
  <si>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</si>
  <si>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</si>
  <si>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</si>
  <si>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</si>
  <si>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</si>
  <si>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</si>
  <si>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</si>
  <si>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</si>
  <si>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</si>
  <si>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(2535,01)</t>
  </si>
  <si>
    <t>тыс.руб.</t>
  </si>
  <si>
    <t>в том числе:</t>
  </si>
  <si>
    <t>строительных работ</t>
  </si>
  <si>
    <t>Средства на оплату труда рабочих</t>
  </si>
  <si>
    <t>(211,66)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</si>
  <si>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</si>
  <si>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</si>
  <si>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</si>
  <si>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</si>
  <si>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</si>
  <si>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</si>
  <si>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</si>
  <si>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</si>
  <si>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</si>
  <si>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Единица измерения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</si>
  <si>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</si>
  <si>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</si>
  <si>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</si>
  <si>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</si>
  <si>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</si>
  <si>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</si>
  <si>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</si>
  <si>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</si>
  <si>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</si>
  <si>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</si>
  <si>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</si>
  <si>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</si>
  <si>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</si>
  <si>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</si>
  <si>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</si>
  <si>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</si>
  <si>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</si>
  <si>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</si>
  <si>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</si>
  <si>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</si>
  <si>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</si>
  <si>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</si>
  <si>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</si>
  <si>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</si>
  <si>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</si>
  <si>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</si>
  <si>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</si>
  <si>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</si>
  <si>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</si>
  <si>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</si>
  <si>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</si>
  <si>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</si>
  <si>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</si>
  <si>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Объем=44*4,69*0,85+44*0,75*0,5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</si>
  <si>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</si>
  <si>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</si>
  <si>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</si>
  <si>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Объем=44*4,69+44*0,75</t>
  </si>
  <si>
    <t>Цена=1590/1,2/8,16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</si>
  <si>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</si>
  <si>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</si>
  <si>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</si>
  <si>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</si>
  <si>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</si>
  <si>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</si>
  <si>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</si>
  <si>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</si>
  <si>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</si>
  <si>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</si>
  <si>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</si>
  <si>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</si>
  <si>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</si>
  <si>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</si>
  <si>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(Погрузочно-разгрузочные работы)</t>
  </si>
  <si>
    <t>Объем=40*1,6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</si>
  <si>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</si>
  <si>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</si>
  <si>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Объем=40*0,68*0,8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</si>
  <si>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</si>
  <si>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</si>
  <si>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</si>
  <si>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Объем=40*0,68*0,2</t>
  </si>
  <si>
    <t>9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</si>
  <si>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</si>
  <si>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</si>
  <si>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</si>
  <si>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</si>
  <si>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</si>
  <si>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</si>
  <si>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</si>
  <si>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</si>
  <si>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</si>
  <si>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</si>
  <si>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</si>
  <si>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</si>
  <si>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</si>
  <si>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</si>
  <si>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</si>
  <si>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13</t>
  </si>
  <si>
    <t>Объем=67,2*2,5*0,2</t>
  </si>
  <si>
    <t>Демонтаж навеса 24х4</t>
  </si>
  <si>
    <t>Объем=(24*4*3,8) / 100</t>
  </si>
  <si>
    <t>16</t>
  </si>
  <si>
    <t>17</t>
  </si>
  <si>
    <t>Объем=41,28*2,5*0,8</t>
  </si>
  <si>
    <t>18</t>
  </si>
  <si>
    <t>Объем=41,28*2,5*0,2</t>
  </si>
  <si>
    <t>Демонтаж весовой</t>
  </si>
  <si>
    <t>20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</si>
  <si>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</si>
  <si>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</si>
  <si>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</si>
  <si>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</si>
  <si>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</si>
  <si>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22</t>
  </si>
  <si>
    <t>Объем=(122*2+12,3*2)*0,4*0,5</t>
  </si>
  <si>
    <t>Объем=(8253,3*0,46+53,72*2,5)*0,8</t>
  </si>
  <si>
    <t>24</t>
  </si>
  <si>
    <t>Объем=(8253,3*0,46+53,72*2,5)*0,2</t>
  </si>
  <si>
    <t>25</t>
  </si>
  <si>
    <t>Объем=3796,52/2,5*1,2+53,72</t>
  </si>
  <si>
    <t>Снос здания механического обезвоживания осадков</t>
  </si>
  <si>
    <t>26</t>
  </si>
  <si>
    <t>Объем=4170,9 / 100</t>
  </si>
  <si>
    <t>27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</si>
  <si>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</si>
  <si>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</si>
  <si>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</si>
  <si>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</si>
  <si>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Объем=(34,22*12,83*1,5+69,76)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</si>
  <si>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</si>
  <si>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</si>
  <si>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</si>
  <si>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</si>
  <si>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</si>
  <si>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Цена Поставщика ООО "Генпоставка"</t>
  </si>
  <si>
    <t>Пескогрунт</t>
  </si>
  <si>
    <t>Цена=704/1,2/8,16</t>
  </si>
  <si>
    <t>ЗГСР МАТ=1,012 к расх.</t>
  </si>
  <si>
    <t>30</t>
  </si>
  <si>
    <t>Объем=(4170,9*0,46+69,76*2,5)*0,8</t>
  </si>
  <si>
    <t>Объем=(4170,9*0,46+69,76*2,5)*0,2</t>
  </si>
  <si>
    <t>32</t>
  </si>
  <si>
    <t>Объем=1918,61/2,5*1,2+69,76</t>
  </si>
  <si>
    <t>Снос здания очистных сооружений 23х6</t>
  </si>
  <si>
    <t>33</t>
  </si>
  <si>
    <t>Объем=748 / 100</t>
  </si>
  <si>
    <t>35</t>
  </si>
  <si>
    <t>Объем=69 / 1000</t>
  </si>
  <si>
    <t>36</t>
  </si>
  <si>
    <t>37</t>
  </si>
  <si>
    <t>Объем=(748*0,46+69*2,5)*0,8</t>
  </si>
  <si>
    <t>38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</si>
  <si>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</si>
  <si>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</si>
  <si>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</si>
  <si>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</si>
  <si>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</si>
  <si>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</si>
  <si>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</si>
  <si>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</si>
  <si>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</si>
  <si>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</si>
  <si>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</si>
  <si>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</si>
  <si>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</si>
  <si>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</si>
  <si>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43</t>
  </si>
  <si>
    <t>Объем=1080 / 1000</t>
  </si>
  <si>
    <t>44</t>
  </si>
  <si>
    <t>45</t>
  </si>
  <si>
    <t>Объем=1003 / 1000</t>
  </si>
  <si>
    <t>46</t>
  </si>
  <si>
    <t>Объем=76,8*2,5*0,8</t>
  </si>
  <si>
    <t>47</t>
  </si>
  <si>
    <t>Объем=76,8*2,5*0,2</t>
  </si>
  <si>
    <t>48</t>
  </si>
  <si>
    <t>Прочие.</t>
  </si>
  <si>
    <t>Объем=(1000*2,4)*0,8</t>
  </si>
  <si>
    <t>50</t>
  </si>
  <si>
    <t>Объем=(1000*2,4)*0,2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</si>
  <si>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</si>
  <si>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</si>
  <si>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</si>
  <si>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</si>
  <si>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</si>
  <si>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</si>
  <si>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</si>
  <si>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</si>
  <si>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</si>
  <si>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</si>
  <si>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</si>
  <si>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</si>
  <si>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</si>
  <si>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</si>
  <si>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</si>
  <si>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</si>
  <si>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</si>
  <si>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</si>
  <si>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</si>
  <si>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</si>
  <si>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</si>
  <si>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</si>
  <si>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</si>
  <si>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</si>
  <si>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</si>
  <si>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</si>
  <si>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</si>
  <si>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</si>
  <si>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Корпус №121.</t>
  </si>
  <si>
    <t>ЛОКАЛЬНЫЙ СМЕТНЫЙ РАСЧЕТ (СМЕТА) № 01-01-02</t>
  </si>
  <si>
    <t>Выполнение работ по ликвидации объекта капитального строительства</t>
  </si>
  <si>
    <t>(1883,28)</t>
  </si>
  <si>
    <t>(274,59)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</si>
  <si>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</si>
  <si>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</si>
  <si>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</si>
  <si>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</si>
  <si>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</si>
  <si>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</si>
  <si>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</si>
  <si>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</si>
  <si>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</si>
  <si>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</si>
  <si>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</si>
  <si>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</si>
  <si>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</si>
  <si>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</si>
  <si>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</si>
  <si>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</si>
  <si>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</si>
  <si>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</si>
  <si>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</si>
  <si>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</si>
  <si>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</si>
  <si>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</si>
  <si>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</si>
  <si>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</si>
  <si>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</si>
  <si>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</si>
  <si>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</si>
  <si>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</si>
  <si>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</si>
  <si>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</si>
  <si>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</si>
  <si>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</si>
  <si>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</si>
  <si>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</si>
  <si>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</si>
  <si>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</si>
  <si>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</si>
  <si>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</si>
  <si>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</si>
  <si>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</si>
  <si>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</si>
  <si>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</si>
  <si>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</si>
  <si>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</si>
  <si>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</si>
  <si>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</si>
  <si>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</si>
  <si>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</si>
  <si>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</si>
  <si>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</si>
  <si>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</si>
  <si>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</si>
  <si>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</si>
  <si>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</si>
  <si>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</si>
  <si>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</si>
  <si>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</si>
  <si>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</si>
  <si>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</si>
  <si>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</si>
  <si>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</si>
  <si>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</si>
  <si>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</si>
  <si>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</si>
  <si>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</si>
  <si>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</si>
  <si>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</si>
  <si>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</si>
  <si>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</si>
  <si>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</si>
  <si>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</si>
  <si>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ФЕР09-03-029-01</t>
  </si>
  <si>
    <t>Демонтаж лестниц прямолинейных и криволинейных, пожарных с ограждением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</si>
  <si>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</si>
  <si>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</si>
  <si>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</si>
  <si>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</si>
  <si>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</si>
  <si>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</si>
  <si>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</si>
  <si>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</si>
  <si>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</si>
  <si>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</si>
  <si>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</si>
  <si>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</si>
  <si>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</si>
  <si>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</si>
  <si>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</si>
  <si>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Объем=(45,92+3,4*2,5)*0,2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</si>
  <si>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</si>
  <si>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</si>
  <si>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</si>
  <si>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</si>
  <si>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</si>
  <si>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</si>
  <si>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</si>
  <si>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</si>
  <si>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</si>
  <si>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</si>
  <si>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</si>
  <si>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</si>
  <si>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</si>
  <si>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</si>
  <si>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</si>
  <si>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</si>
  <si>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</si>
  <si>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</si>
  <si>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</si>
  <si>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ФССЦ-01.7.17.04-0002</t>
  </si>
  <si>
    <t>Канат алмазный для резки по бетону и железобетону, диаметр 10,5 мм</t>
  </si>
  <si>
    <t>(Бетонные и железобетонные монолитные конструкции и работы в строительстве)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</si>
  <si>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</si>
  <si>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</si>
  <si>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</si>
  <si>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</si>
  <si>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</si>
  <si>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</si>
  <si>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</si>
  <si>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</si>
  <si>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</si>
  <si>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</si>
  <si>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</si>
  <si>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</si>
  <si>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</si>
  <si>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</si>
  <si>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</si>
  <si>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</si>
  <si>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</si>
  <si>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</si>
  <si>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</si>
  <si>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</si>
  <si>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</si>
  <si>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</si>
  <si>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</si>
  <si>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</si>
  <si>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</si>
  <si>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</si>
  <si>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</si>
  <si>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</si>
  <si>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</si>
  <si>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</si>
  <si>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</si>
  <si>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</si>
  <si>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</si>
  <si>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</si>
  <si>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</si>
  <si>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</si>
  <si>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</si>
  <si>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</si>
  <si>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</si>
  <si>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</si>
  <si>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</si>
  <si>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</si>
  <si>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</si>
  <si>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</si>
  <si>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</si>
  <si>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</si>
  <si>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</si>
  <si>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</si>
  <si>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</si>
  <si>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</si>
  <si>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</si>
  <si>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</si>
  <si>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</si>
  <si>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</si>
  <si>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</si>
  <si>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</si>
  <si>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</si>
  <si>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</si>
  <si>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</si>
  <si>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</si>
  <si>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</si>
  <si>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</si>
  <si>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</si>
  <si>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</si>
  <si>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</si>
  <si>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</si>
  <si>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</si>
  <si>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</si>
  <si>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</si>
  <si>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</si>
  <si>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</si>
  <si>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</si>
  <si>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</si>
  <si>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</si>
  <si>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</si>
  <si>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</si>
  <si>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</si>
  <si>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</si>
  <si>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</si>
  <si>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</si>
  <si>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</si>
  <si>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</si>
  <si>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</si>
  <si>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</si>
  <si>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</si>
  <si>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</si>
  <si>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</si>
  <si>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</si>
  <si>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</si>
  <si>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</si>
  <si>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</si>
  <si>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</si>
  <si>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</si>
  <si>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</si>
  <si>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</si>
  <si>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</si>
  <si>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</si>
  <si>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</si>
  <si>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</si>
  <si>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</si>
  <si>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</si>
  <si>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</si>
  <si>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</si>
  <si>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 xml:space="preserve"> (01.01.1350)</t>
  </si>
  <si>
    <t>Сетка 5Вр500-100х100-3000х1350 (1 шт.)</t>
  </si>
  <si>
    <t>Перевозка и утилизация на 30км</t>
  </si>
  <si>
    <t xml:space="preserve">Выемка техногенного грунта </t>
  </si>
  <si>
    <t>Кол.</t>
  </si>
  <si>
    <t>Примечание</t>
  </si>
  <si>
    <t>Ед. расценка без НДС</t>
  </si>
  <si>
    <t>Всего без НДС</t>
  </si>
  <si>
    <t>Демонтаж резервуара</t>
  </si>
  <si>
    <t>76,8*2,5*0,8</t>
  </si>
  <si>
    <t>Погрузо-разгрузочные работы при автомобильных перевозках: Погрузка мусора строительного вручную</t>
  </si>
  <si>
    <t>76,8*2,5*0,2</t>
  </si>
  <si>
    <t>Перевозка на 30 км и утилизация отходов 4-5 кл.опасности автомомбилями-самосвалами г.п. 10т.</t>
  </si>
  <si>
    <t>1000*2,4*0,8</t>
  </si>
  <si>
    <t>1000*2,4*0,2</t>
  </si>
  <si>
    <t>ИТОГО по расчету</t>
  </si>
  <si>
    <t>44*4,69*0,85+44*0,75*0,5</t>
  </si>
  <si>
    <r>
      <rPr>
        <sz val="11"/>
        <rFont val="Times New Roman"/>
        <family val="1"/>
        <charset val="204"/>
      </rPr>
      <t>=44*4,69
+44*0,75</t>
    </r>
  </si>
  <si>
    <t>Демонтаж железобетонных оград из панелей (П 6В (3,98*2,5*0,16, масса 1,6 т), длиной: 4 м (в т.ч. фундаментов фундамент ФО-2 (0,95*0,75*0,55, масса 0,68 т))</t>
  </si>
  <si>
    <t>40*3,98</t>
  </si>
  <si>
    <t>Погрузо-разгрузочные работы при автомобильных перевозках (панели ограждения 40шт*1,6т=64т;</t>
  </si>
  <si>
    <t>40*1,6</t>
  </si>
  <si>
    <t>40*0,68</t>
  </si>
  <si>
    <t>Перевозка и утилизация отходов IV-V класса автомобилями-самосвалами грузоподъемностью 10 т работающих вне карьера на расстояние: IV класс груза до 30 км</t>
  </si>
  <si>
    <t>1,59*40+0,39*40</t>
  </si>
  <si>
    <t>м3 строительного объема, включая подвал</t>
  </si>
  <si>
    <t>12*8*3,8</t>
  </si>
  <si>
    <t>(12*8*0,7)</t>
  </si>
  <si>
    <t>67,2*2,5</t>
  </si>
  <si>
    <t>Перевозка и утилизация отходов IV-V классаавтомобилями-самосвалами грузоподъемностью 10 т работающих вне карьера на расстояние: IV класс груза до 30 км</t>
  </si>
  <si>
    <t>24*4*3,8</t>
  </si>
  <si>
    <t>(24*4*0,22)+(56*0,6*0,6)</t>
  </si>
  <si>
    <t>41,28*2,5</t>
  </si>
  <si>
    <t>18*4*6</t>
  </si>
  <si>
    <t>Демонтаж  здания склада №75</t>
  </si>
  <si>
    <t>(122x12,3x5,5)</t>
  </si>
  <si>
    <t>(122x2+12,3x2)x0,4x0,5</t>
  </si>
  <si>
    <r>
      <rPr>
        <sz val="11"/>
        <rFont val="Times New Roman"/>
        <family val="1"/>
        <charset val="204"/>
      </rPr>
      <t>(8253,3*0,46*
+53,72*2,5)</t>
    </r>
  </si>
  <si>
    <r>
      <rPr>
        <sz val="11"/>
        <rFont val="Times New Roman"/>
        <family val="1"/>
        <charset val="204"/>
      </rPr>
      <t>Перевозка и утилизация отходов IV-V класса автомобилями-самосвалами грузоподъемностью 10 т
работающих вне карьера на расстояние: IV класс груза до 30 км</t>
    </r>
  </si>
  <si>
    <t>3796,52/2,5*1,2**+53,72</t>
  </si>
  <si>
    <r>
      <rPr>
        <sz val="11"/>
        <rFont val="Times New Roman"/>
        <family val="1"/>
        <charset val="204"/>
      </rPr>
      <t>м3
строительного объема, включая подвал</t>
    </r>
  </si>
  <si>
    <r>
      <rPr>
        <sz val="11"/>
        <rFont val="Times New Roman"/>
        <family val="1"/>
        <charset val="204"/>
      </rPr>
      <t>34,22*12,83*8=3
512, 34
надз.часть 34,22*12,83*1,5=
658, 56
подз.часть</t>
    </r>
  </si>
  <si>
    <r>
      <rPr>
        <sz val="11"/>
        <rFont val="Times New Roman"/>
        <family val="1"/>
        <charset val="204"/>
      </rPr>
      <t>(12,83*2
+34,22*2)*0,4*1,5
+ 13,3 фунд.под об-е</t>
    </r>
  </si>
  <si>
    <r>
      <rPr>
        <sz val="11"/>
        <rFont val="Times New Roman"/>
        <family val="1"/>
        <charset val="204"/>
      </rPr>
      <t>34,22*12,83*1
,5 + 69,76</t>
    </r>
  </si>
  <si>
    <r>
      <rPr>
        <sz val="11"/>
        <rFont val="Times New Roman"/>
        <family val="1"/>
        <charset val="204"/>
      </rPr>
      <t>(4170,9*0,46*
+69,76*2,5)</t>
    </r>
  </si>
  <si>
    <r>
      <rPr>
        <sz val="11"/>
        <rFont val="Times New Roman"/>
        <family val="1"/>
        <charset val="204"/>
      </rPr>
      <t xml:space="preserve">Перевозка и </t>
    </r>
    <r>
      <rPr>
        <b/>
        <sz val="11"/>
        <rFont val="Times New Roman"/>
        <family val="1"/>
        <charset val="204"/>
      </rPr>
      <t xml:space="preserve">утилизация отходов IV-V класса </t>
    </r>
    <r>
      <rPr>
        <sz val="11"/>
        <rFont val="Times New Roman"/>
        <family val="1"/>
        <charset val="204"/>
      </rPr>
      <t>автомобилями-самосвалами грузоподъемностью 10 т работающих вне карьера на расстояние: IV класс груза до 30 км</t>
    </r>
  </si>
  <si>
    <r>
      <rPr>
        <sz val="11"/>
        <rFont val="Times New Roman"/>
        <family val="1"/>
        <charset val="204"/>
      </rPr>
      <t>1918,61/2,5*1,2
+69,76</t>
    </r>
  </si>
  <si>
    <r>
      <rPr>
        <sz val="11"/>
        <rFont val="Times New Roman"/>
        <family val="1"/>
        <charset val="204"/>
      </rPr>
      <t>(6,56*20,75
+7,18*1,89)х5</t>
    </r>
  </si>
  <si>
    <t>23х6х0,5</t>
  </si>
  <si>
    <t>748*0,46+69*2,5</t>
  </si>
  <si>
    <t>Перевозка и утилизация отходов IV-V класса автомобилями-самосвалами грузоподъемностью 10 т работающих вне карьера на расстояние: I класс груза до 30 км</t>
  </si>
  <si>
    <t>375,82/2,5*1,2+69</t>
  </si>
  <si>
    <t>ед изм</t>
  </si>
  <si>
    <t>всего без НДС</t>
  </si>
  <si>
    <t>объем</t>
  </si>
  <si>
    <t>Итого с НДС</t>
  </si>
  <si>
    <t>Погрузо-разгрузочные работы при автомобильных перевозках: Погрузка мусора строительного с погрузкой эвручную</t>
  </si>
  <si>
    <t>Демонтаж. панелей ребристых площадью: свыше 5 до 10 м2.</t>
  </si>
  <si>
    <t xml:space="preserve">Демонтаж в одноэтажных зданиях стропильных ферм при длине плит покрытий: до 6 м, пролетом до 24 м, массой до 10 т и высоте зданий до 25 м / </t>
  </si>
  <si>
    <t xml:space="preserve"> Демонтаж в одноэтажных зданиях и сооружениях балок подкрановых массой: до 5 т при массе колонн до 10 т и высоте здания до 15 м /</t>
  </si>
  <si>
    <t xml:space="preserve"> Демонтаж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</t>
  </si>
  <si>
    <t xml:space="preserve"> Демонтаж оконных блоков: стальных с нащельниками из стали при высоте здания до 50 м / демонтаж</t>
  </si>
  <si>
    <t>цель</t>
  </si>
  <si>
    <t>дельта</t>
  </si>
  <si>
    <t>Устройство слоя из песка крупного ГОСТ 8736-2014, h=0,30 К упл.= 1,10 (замена техно-генного грунта)</t>
  </si>
  <si>
    <t>Устройство слоя из песка крупного ГОСТ 8736-2014, h=0,30 К упл.= 1,10</t>
  </si>
  <si>
    <t>ПГС</t>
  </si>
  <si>
    <t>Коммуникации 417 путь, в т.ч.:</t>
  </si>
  <si>
    <t>131-23-ЭС1 Электротехнические решения Точки 6-15-16-17</t>
  </si>
  <si>
    <t>131-23-ЭС2 Электротехнические решения Точки 1-2 Точки 6-7-8 Точки 28-28А-28Б-28В Точки 9-12-10-11</t>
  </si>
  <si>
    <t>417 путь, в т.ч.</t>
  </si>
  <si>
    <t>Трансбордер 417, в т.ч.</t>
  </si>
  <si>
    <t>ДЕМОНТАЖ ОБЪЕКТОВ ПО ТРАССЕ ЖД ПУТЕЙ</t>
  </si>
  <si>
    <t>Корпус 121. Демонтажные работы.</t>
  </si>
  <si>
    <t xml:space="preserve">Разборка  железобетонных конструкций фундаментов более 1 м3 из бетона марки: 300 </t>
  </si>
  <si>
    <t xml:space="preserve"> Демонтаж колонн прямоугольного сечения в стаканах фундаментов зданий при глубине заделки колонн: до 0,7 м, масса колонн до 8 т /</t>
  </si>
  <si>
    <t xml:space="preserve"> Демонтаж колонн прямоугольного сечения в стаканах фундаментов зданий при глубине заделки колонн: до 0,7 м, масса колонн до 6 т / Демонтаж</t>
  </si>
  <si>
    <t>Разборка заполнений проемов: оконных без подоконных досок</t>
  </si>
  <si>
    <t>СМР</t>
  </si>
  <si>
    <t>с ндс</t>
  </si>
  <si>
    <t>МТР</t>
  </si>
  <si>
    <t>отменен</t>
  </si>
  <si>
    <t>АС3 СМР 121 цеха</t>
  </si>
  <si>
    <t>Позиция</t>
  </si>
  <si>
    <t>Наименование и техническая характеристика</t>
  </si>
  <si>
    <t xml:space="preserve">цена руб. с НДС </t>
  </si>
  <si>
    <t>стоимость руб с НДС</t>
  </si>
  <si>
    <t>Ворота противопожарные металлические утепленные распашные Для проема 2610x3000h (EI-60)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</si>
  <si>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</si>
  <si>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</si>
  <si>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</si>
  <si>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</si>
  <si>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</si>
  <si>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Бетон класса В22,5</t>
  </si>
  <si>
    <t>Цементный раствор М100</t>
  </si>
  <si>
    <t>Цементный раствор М200</t>
  </si>
  <si>
    <t>Плиты из минеральной ваты на синтетеческом связующем</t>
  </si>
  <si>
    <t>п. м</t>
  </si>
  <si>
    <t>Уголок 75х5</t>
  </si>
  <si>
    <t>Герметик для наружных работ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</si>
  <si>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</si>
  <si>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</si>
  <si>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</si>
  <si>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</si>
  <si>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Праймер битумный</t>
  </si>
  <si>
    <t>Самосверлящие шурупы с ЕРОМ шайбой 4,8х28</t>
  </si>
  <si>
    <t>Фундаменты Фм1 (2 шт),</t>
  </si>
  <si>
    <t>Анкерные болты 1.1М24х800</t>
  </si>
  <si>
    <t>Бетон класса В10 (подготовка)</t>
  </si>
  <si>
    <t>Монолитный бетон В15 для обетонировки колонн</t>
  </si>
  <si>
    <t>-80х80х20</t>
  </si>
  <si>
    <t>Металлоконструкции (каркас)</t>
  </si>
  <si>
    <t>Колонны:</t>
  </si>
  <si>
    <t>- двутавр 30Ш1</t>
  </si>
  <si>
    <t>-[24</t>
  </si>
  <si>
    <t>Связи:</t>
  </si>
  <si>
    <t>-трубы квадратные 140х6</t>
  </si>
  <si>
    <t>Факверк, ригели, детали крепления:</t>
  </si>
  <si>
    <t>83</t>
  </si>
  <si>
    <t>-трубы квадратные 120х4</t>
  </si>
  <si>
    <t>84</t>
  </si>
  <si>
    <t>0</t>
  </si>
  <si>
    <t>85</t>
  </si>
  <si>
    <t>86</t>
  </si>
  <si>
    <t>Грунтовка по металлу ГФ-021</t>
  </si>
  <si>
    <t>87</t>
  </si>
  <si>
    <t>Эмаль по металлу ПФ 115</t>
  </si>
  <si>
    <t>89</t>
  </si>
  <si>
    <t>Фасонные элементы</t>
  </si>
  <si>
    <t>90</t>
  </si>
  <si>
    <t>91</t>
  </si>
  <si>
    <t>92</t>
  </si>
  <si>
    <t>93</t>
  </si>
  <si>
    <t>94</t>
  </si>
  <si>
    <t>95</t>
  </si>
  <si>
    <t>96</t>
  </si>
  <si>
    <t>Болты М20х100 с гайкой и шайбой</t>
  </si>
  <si>
    <t>ИТОГО руб с НДС</t>
  </si>
  <si>
    <t>Саморезы HSP-S19 5,5/6,3х160</t>
  </si>
  <si>
    <t>Бетон класса В25, W6, F150</t>
  </si>
  <si>
    <t>Щебень строительный фракции 20-40 мм</t>
  </si>
  <si>
    <t>лист б-12</t>
  </si>
  <si>
    <t>лист б-30</t>
  </si>
  <si>
    <r>
      <t>Стеновае сэндвич-панели 5580х</t>
    </r>
    <r>
      <rPr>
        <sz val="11"/>
        <color rgb="FFFF0000"/>
        <rFont val="Times New Roman"/>
        <family val="1"/>
        <charset val="204"/>
      </rPr>
      <t xml:space="preserve">1020 ошибка в проекте </t>
    </r>
    <r>
      <rPr>
        <sz val="11"/>
        <rFont val="Times New Roman"/>
        <family val="1"/>
        <charset val="204"/>
      </rPr>
      <t>1190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х120 с минераловатным утеплителем толщиной 120 мм с комплектующими элементами</t>
    </r>
  </si>
  <si>
    <t>Асфальтобетон типа Д марки III</t>
  </si>
  <si>
    <t>Плиты "Техноплекс" 35 б=100</t>
  </si>
  <si>
    <t>Арматура ø8 А500С</t>
  </si>
  <si>
    <t>Герметик ТехноНиколь ПУ Flor</t>
  </si>
  <si>
    <t>Плиты ТехноНиколь XPS б=50 мм</t>
  </si>
  <si>
    <t>Утеплитель Rockwool марки РУФБАТТСС Y=115 кг/м3 б=50 мм</t>
  </si>
  <si>
    <t>Утеплитель Rockwool марки РУФБАТТСС Y=135 кг/м3 б= 50 мм</t>
  </si>
  <si>
    <t>Саморез HSP-14R-S195,5/6,3x160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</si>
  <si>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</si>
  <si>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</si>
  <si>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</si>
  <si>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HUS6x100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</si>
  <si>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</si>
  <si>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</si>
  <si>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</si>
  <si>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</si>
  <si>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</si>
  <si>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</si>
  <si>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</si>
  <si>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</si>
  <si>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</si>
  <si>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Фундаментные балки ФБ-1 (2 шт), ФБ-2 (1 шт), ФБ-3 (1 шт),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</si>
  <si>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</si>
  <si>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</si>
  <si>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</si>
  <si>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</si>
  <si>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</si>
  <si>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</si>
  <si>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</si>
  <si>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- L90х7</t>
  </si>
  <si>
    <t>лист б-8</t>
  </si>
  <si>
    <t xml:space="preserve"> L140X9</t>
  </si>
  <si>
    <t>Анкер-шурупы HUS3-H 10х150</t>
  </si>
  <si>
    <t xml:space="preserve"> Распорный анкер HSL-3M16x25</t>
  </si>
  <si>
    <t>Сталь оцинкованная t=0,6 с полимерным покрытием b=480x1000</t>
  </si>
  <si>
    <t>Сталь оцинкованная t=0,6 с полимерным покрытием b=270x1000</t>
  </si>
  <si>
    <t>Сталь оцинкованная t=0,6 с полимерным покрытием b=195x1000</t>
  </si>
  <si>
    <t>Сталь оцинкованная t=0,6 с полимерным покрытием b=820x1000</t>
  </si>
  <si>
    <t>Сталь оцинкованная t=0,6 с полимерным покрытием</t>
  </si>
  <si>
    <r>
      <t xml:space="preserve">Арматура </t>
    </r>
    <r>
      <rPr>
        <i/>
        <sz val="11"/>
        <rFont val="Times New Roman"/>
        <family val="1"/>
        <charset val="204"/>
      </rPr>
      <t>ø10</t>
    </r>
    <r>
      <rPr>
        <sz val="11"/>
        <rFont val="Times New Roman"/>
        <family val="1"/>
        <charset val="204"/>
      </rPr>
      <t xml:space="preserve"> А500С</t>
    </r>
  </si>
  <si>
    <r>
      <t xml:space="preserve">Сетка из арматуры </t>
    </r>
    <r>
      <rPr>
        <i/>
        <sz val="11"/>
        <rFont val="Times New Roman"/>
        <family val="1"/>
        <charset val="204"/>
      </rPr>
      <t>ø4</t>
    </r>
    <r>
      <rPr>
        <sz val="11"/>
        <rFont val="Times New Roman"/>
        <family val="1"/>
        <charset val="204"/>
      </rPr>
      <t xml:space="preserve"> BpI 100х100</t>
    </r>
  </si>
  <si>
    <t>цена без НДС, ед.расц</t>
  </si>
  <si>
    <t>цена без НДС всего</t>
  </si>
  <si>
    <t>К</t>
  </si>
  <si>
    <t>ед.расц безНДС</t>
  </si>
  <si>
    <t>всего с НДС</t>
  </si>
  <si>
    <t>% наценки</t>
  </si>
  <si>
    <t>отм.част.</t>
  </si>
  <si>
    <t>отмена</t>
  </si>
  <si>
    <t>№пп</t>
  </si>
  <si>
    <t>ед.изм.</t>
  </si>
  <si>
    <t>лист комм. Расценки</t>
  </si>
  <si>
    <t>Том РД</t>
  </si>
  <si>
    <t>лист РД по ПДФ</t>
  </si>
  <si>
    <t>ссылка на облако РД на конкурс</t>
  </si>
  <si>
    <t>https://cloud.mail.ru/public/HJdz/HY2X7U2GW</t>
  </si>
  <si>
    <t>Позиция комм.расценки СМР/материалов</t>
  </si>
  <si>
    <t>позиция в РД работ/материалов</t>
  </si>
  <si>
    <t>Разработка грунта с погрузкой на автомобили-самосвалы экскаваторами с ковшом вместимостью: 0,5 (0,5-0,63) м3, группа грунтов 2 (обваловка)</t>
  </si>
  <si>
    <t>мат 417 жд</t>
  </si>
  <si>
    <t>порядковый номер СО</t>
  </si>
  <si>
    <t>мат ком-ции 417</t>
  </si>
  <si>
    <t>25. Песок строительый</t>
  </si>
  <si>
    <t>26,27. ПП10-2</t>
  </si>
  <si>
    <t>14. КС 10.6</t>
  </si>
  <si>
    <t>24-25. 2ПП20-2</t>
  </si>
  <si>
    <t>15-22. ПН15</t>
  </si>
  <si>
    <t>15-22. 2ПП 15-2</t>
  </si>
  <si>
    <t>15-22. КС 10.6</t>
  </si>
  <si>
    <t>КЦД-10а</t>
  </si>
  <si>
    <t>КЦ-10-3</t>
  </si>
  <si>
    <t>КЦ-10-6</t>
  </si>
  <si>
    <t>КЦ-10-9</t>
  </si>
  <si>
    <t>КЦ10-9б</t>
  </si>
  <si>
    <t>КПЦ3-10</t>
  </si>
  <si>
    <t>15. Дождеприемная решетка тип –ДБ</t>
  </si>
  <si>
    <t>17. Муфта защитная полиэтиленовая D=1300 мм L=650,0 мм (для труб ø1200 мм)</t>
  </si>
  <si>
    <t>17. Муфта защитная полиэтиленовая D=365 мм L=270,0 мм для прохода труб сквозь бетонную стенку колодца (для труб ø315 мм)</t>
  </si>
  <si>
    <t>11,12,13</t>
  </si>
  <si>
    <t>п9-13</t>
  </si>
  <si>
    <t>131-23-ГП2</t>
  </si>
  <si>
    <t>131-23-НВК4</t>
  </si>
  <si>
    <t xml:space="preserve">131-23-НВК3 </t>
  </si>
  <si>
    <t xml:space="preserve">131-23-НВК5 </t>
  </si>
  <si>
    <t>131-23-НВК5</t>
  </si>
  <si>
    <t>131-23-НВК2</t>
  </si>
  <si>
    <t>мат ГСН</t>
  </si>
  <si>
    <t>2.8</t>
  </si>
  <si>
    <t>мат ТС2</t>
  </si>
  <si>
    <t>мат ТС3</t>
  </si>
  <si>
    <t>131-23-ГСН</t>
  </si>
  <si>
    <t>131-23-ТС2</t>
  </si>
  <si>
    <t>131-23-ТС3</t>
  </si>
  <si>
    <t>мат эсткд</t>
  </si>
  <si>
    <t>в рд нет со и конструктива на это</t>
  </si>
  <si>
    <t>131-23-ПЖ</t>
  </si>
  <si>
    <t>последняя строка</t>
  </si>
  <si>
    <t>мат трнсбрдр(2)</t>
  </si>
  <si>
    <t>131-23-ГП1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</si>
</sst>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  <numFmt numFmtId="177" formatCode="0.0000000"/>
    <numFmt numFmtId="178" formatCode="0.000000"/>
  </numFmts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ont="0" applyFill="0" applyBorder="0" applyAlignment="0" applyProtection="0">
      <alignment vertical="top"/>
    </xf>
    <xf numFmtId="0" fontId="57" fillId="0" borderId="0" applyNumberFormat="0" applyFill="0" applyBorder="0" applyAlignment="0" applyProtection="0"/>
  </cellStyleXfs>
  <cellXfs count="103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Alignment="1">
      <alignment horizontal="left" vertical="center"/>
    </xf>
    <xf numFmtId="0" fontId="17" fillId="7" borderId="0" xfId="0" applyFont="1" applyFill="1"/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43" fontId="11" fillId="0" borderId="1" xfId="1" applyFont="1" applyFill="1" applyBorder="1" applyAlignment="1">
      <alignment vertical="center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/>
    </xf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Border="1" applyAlignment="1">
      <alignment vertical="center" wrapText="1"/>
    </xf>
    <xf numFmtId="165" fontId="17" fillId="0" borderId="0" xfId="1" applyNumberFormat="1" applyFont="1" applyFill="1"/>
    <xf numFmtId="0" fontId="0" fillId="0" borderId="12" xfId="0" applyBorder="1"/>
    <xf numFmtId="169" fontId="18" fillId="0" borderId="12" xfId="0" applyNumberFormat="1" applyFont="1" applyBorder="1" applyAlignment="1">
      <alignment horizontal="right" vertical="center" wrapText="1"/>
    </xf>
    <xf numFmtId="0" fontId="21" fillId="0" borderId="0" xfId="0" applyFont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Border="1" applyAlignment="1">
      <alignment vertical="center" wrapText="1"/>
    </xf>
    <xf numFmtId="1" fontId="11" fillId="0" borderId="1" xfId="3" applyNumberFormat="1" applyFont="1" applyBorder="1" applyAlignment="1">
      <alignment horizontal="center" vertical="center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173" fontId="11" fillId="0" borderId="1" xfId="3" applyNumberFormat="1" applyFont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Border="1" applyAlignment="1">
      <alignment horizontal="center" vertical="center"/>
    </xf>
    <xf numFmtId="167" fontId="11" fillId="0" borderId="1" xfId="3" applyNumberFormat="1" applyFont="1" applyBorder="1" applyAlignment="1">
      <alignment horizontal="center" vertical="center"/>
    </xf>
    <xf numFmtId="2" fontId="11" fillId="0" borderId="1" xfId="3" applyNumberFormat="1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left" vertical="center" wrapText="1"/>
    </xf>
    <xf numFmtId="166" fontId="13" fillId="0" borderId="1" xfId="0" applyNumberFormat="1" applyFont="1" applyBorder="1" applyAlignment="1">
      <alignment horizontal="left" vertical="center" wrapText="1"/>
    </xf>
    <xf numFmtId="0" fontId="13" fillId="0" borderId="1" xfId="4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right" vertical="center" wrapText="1"/>
    </xf>
    <xf numFmtId="168" fontId="11" fillId="0" borderId="1" xfId="0" applyNumberFormat="1" applyFont="1" applyBorder="1" applyAlignment="1">
      <alignment horizontal="right" vertical="center" wrapText="1"/>
    </xf>
    <xf numFmtId="167" fontId="11" fillId="0" borderId="1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0" fontId="13" fillId="0" borderId="3" xfId="4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0" borderId="3" xfId="4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Border="1" applyAlignment="1">
      <alignment horizontal="right" vertical="center" wrapText="1"/>
    </xf>
    <xf numFmtId="49" fontId="11" fillId="0" borderId="1" xfId="3" applyNumberFormat="1" applyFont="1" applyBorder="1" applyAlignment="1">
      <alignment horizontal="right" vertical="center"/>
    </xf>
    <xf numFmtId="0" fontId="32" fillId="0" borderId="1" xfId="4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4" applyFont="1" applyBorder="1" applyAlignment="1">
      <alignment horizontal="left" vertical="center" wrapText="1"/>
    </xf>
    <xf numFmtId="1" fontId="11" fillId="0" borderId="7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49" fontId="33" fillId="0" borderId="0" xfId="0" applyNumberFormat="1" applyFont="1"/>
    <xf numFmtId="49" fontId="33" fillId="0" borderId="0" xfId="0" applyNumberFormat="1" applyFont="1" applyAlignment="1">
      <alignment horizontal="right"/>
    </xf>
    <xf numFmtId="0" fontId="33" fillId="0" borderId="0" xfId="0" applyFont="1"/>
    <xf numFmtId="49" fontId="33" fillId="0" borderId="0" xfId="0" applyNumberFormat="1" applyFont="1" applyAlignment="1">
      <alignment horizontal="left" vertical="top"/>
    </xf>
    <xf numFmtId="49" fontId="33" fillId="0" borderId="0" xfId="0" applyNumberFormat="1" applyFont="1" applyAlignment="1">
      <alignment vertical="top"/>
    </xf>
    <xf numFmtId="49" fontId="33" fillId="0" borderId="0" xfId="0" applyNumberFormat="1" applyFont="1" applyAlignment="1">
      <alignment wrapText="1"/>
    </xf>
    <xf numFmtId="0" fontId="33" fillId="0" borderId="0" xfId="0" applyFont="1" applyAlignment="1">
      <alignment wrapText="1"/>
    </xf>
    <xf numFmtId="49" fontId="34" fillId="0" borderId="0" xfId="0" applyNumberFormat="1" applyFont="1" applyAlignment="1">
      <alignment vertical="top" wrapText="1"/>
    </xf>
    <xf numFmtId="49" fontId="33" fillId="0" borderId="0" xfId="0" applyNumberFormat="1" applyFont="1" applyAlignment="1">
      <alignment vertical="top" wrapText="1"/>
    </xf>
    <xf numFmtId="49" fontId="33" fillId="0" borderId="0" xfId="0" applyNumberFormat="1" applyFont="1" applyAlignment="1">
      <alignment horizontal="left"/>
    </xf>
    <xf numFmtId="49" fontId="35" fillId="0" borderId="0" xfId="0" applyNumberFormat="1" applyFont="1" applyAlignment="1">
      <alignment horizontal="center" vertical="top"/>
    </xf>
    <xf numFmtId="49" fontId="36" fillId="0" borderId="0" xfId="0" applyNumberFormat="1" applyFont="1" applyAlignment="1">
      <alignment horizontal="center"/>
    </xf>
    <xf numFmtId="49" fontId="37" fillId="0" borderId="12" xfId="0" applyNumberFormat="1" applyFont="1" applyBorder="1" applyAlignment="1">
      <alignment horizontal="center"/>
    </xf>
    <xf numFmtId="49" fontId="37" fillId="0" borderId="0" xfId="0" applyNumberFormat="1" applyFont="1"/>
    <xf numFmtId="49" fontId="35" fillId="0" borderId="0" xfId="0" applyNumberFormat="1" applyFont="1"/>
    <xf numFmtId="49" fontId="37" fillId="0" borderId="0" xfId="0" applyNumberFormat="1" applyFont="1" applyAlignment="1">
      <alignment horizontal="right" vertical="top"/>
    </xf>
    <xf numFmtId="49" fontId="35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left"/>
    </xf>
    <xf numFmtId="49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4" fontId="33" fillId="0" borderId="12" xfId="0" applyNumberFormat="1" applyFont="1" applyBorder="1"/>
    <xf numFmtId="49" fontId="37" fillId="0" borderId="12" xfId="0" applyNumberFormat="1" applyFont="1" applyBorder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vertical="center" wrapText="1"/>
    </xf>
    <xf numFmtId="0" fontId="35" fillId="0" borderId="0" xfId="0" applyFont="1"/>
    <xf numFmtId="4" fontId="33" fillId="0" borderId="0" xfId="0" applyNumberFormat="1" applyFont="1"/>
    <xf numFmtId="49" fontId="37" fillId="0" borderId="0" xfId="0" applyNumberFormat="1" applyFont="1" applyAlignment="1">
      <alignment horizontal="right"/>
    </xf>
    <xf numFmtId="0" fontId="38" fillId="0" borderId="0" xfId="0" applyFont="1"/>
    <xf numFmtId="49" fontId="33" fillId="0" borderId="12" xfId="0" applyNumberFormat="1" applyFont="1" applyBorder="1" applyAlignment="1">
      <alignment horizontal="right"/>
    </xf>
    <xf numFmtId="49" fontId="37" fillId="0" borderId="8" xfId="0" applyNumberFormat="1" applyFont="1" applyBorder="1" applyAlignment="1">
      <alignment horizontal="right"/>
    </xf>
    <xf numFmtId="49" fontId="37" fillId="0" borderId="0" xfId="0" applyNumberFormat="1" applyFont="1" applyAlignment="1">
      <alignment vertical="center"/>
    </xf>
    <xf numFmtId="0" fontId="37" fillId="0" borderId="1" xfId="0" applyFont="1" applyBorder="1" applyAlignment="1">
      <alignment horizontal="center" vertical="center" wrapText="1"/>
    </xf>
    <xf numFmtId="49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49" fontId="40" fillId="0" borderId="14" xfId="0" applyNumberFormat="1" applyFont="1" applyBorder="1" applyAlignment="1">
      <alignment horizontal="center" vertical="top" wrapText="1"/>
    </xf>
    <xf numFmtId="49" fontId="40" fillId="0" borderId="15" xfId="0" applyNumberFormat="1" applyFont="1" applyBorder="1" applyAlignment="1">
      <alignment horizontal="left" vertical="top" wrapText="1"/>
    </xf>
    <xf numFmtId="49" fontId="40" fillId="0" borderId="15" xfId="0" applyNumberFormat="1" applyFont="1" applyBorder="1" applyAlignment="1">
      <alignment horizontal="center" vertical="top" wrapText="1"/>
    </xf>
    <xf numFmtId="0" fontId="40" fillId="0" borderId="15" xfId="0" applyFont="1" applyBorder="1" applyAlignment="1">
      <alignment horizontal="center" vertical="top" wrapText="1"/>
    </xf>
    <xf numFmtId="1" fontId="40" fillId="0" borderId="15" xfId="0" applyNumberFormat="1" applyFont="1" applyBorder="1" applyAlignment="1">
      <alignment horizontal="center" vertical="top" wrapText="1"/>
    </xf>
    <xf numFmtId="0" fontId="40" fillId="0" borderId="15" xfId="0" applyFont="1" applyBorder="1" applyAlignment="1">
      <alignment horizontal="right" vertical="top" wrapText="1"/>
    </xf>
    <xf numFmtId="0" fontId="40" fillId="0" borderId="5" xfId="0" applyFont="1" applyBorder="1" applyAlignment="1">
      <alignment horizontal="right" vertical="top" wrapText="1"/>
    </xf>
    <xf numFmtId="49" fontId="37" fillId="0" borderId="11" xfId="0" applyNumberFormat="1" applyFont="1" applyBorder="1" applyAlignment="1">
      <alignment vertical="center" wrapText="1"/>
    </xf>
    <xf numFmtId="49" fontId="37" fillId="0" borderId="0" xfId="0" applyNumberFormat="1" applyFont="1" applyAlignment="1">
      <alignment horizontal="right" vertical="top" wrapText="1"/>
    </xf>
    <xf numFmtId="0" fontId="37" fillId="0" borderId="0" xfId="0" applyFont="1" applyAlignment="1">
      <alignment wrapText="1"/>
    </xf>
    <xf numFmtId="49" fontId="37" fillId="0" borderId="11" xfId="0" applyNumberFormat="1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center" vertical="top" wrapText="1"/>
    </xf>
    <xf numFmtId="2" fontId="37" fillId="0" borderId="0" xfId="0" applyNumberFormat="1" applyFont="1" applyAlignment="1">
      <alignment horizontal="right" vertical="top" wrapText="1"/>
    </xf>
    <xf numFmtId="2" fontId="37" fillId="0" borderId="0" xfId="0" applyNumberFormat="1" applyFont="1" applyAlignment="1">
      <alignment horizontal="center" vertical="top" wrapText="1"/>
    </xf>
    <xf numFmtId="4" fontId="37" fillId="0" borderId="0" xfId="0" applyNumberFormat="1" applyFont="1" applyAlignment="1">
      <alignment horizontal="right" vertical="top" wrapText="1"/>
    </xf>
    <xf numFmtId="4" fontId="37" fillId="0" borderId="9" xfId="0" applyNumberFormat="1" applyFont="1" applyBorder="1" applyAlignment="1">
      <alignment horizontal="right" vertical="top" wrapText="1"/>
    </xf>
    <xf numFmtId="49" fontId="37" fillId="0" borderId="11" xfId="0" applyNumberFormat="1" applyFont="1" applyBorder="1" applyAlignment="1">
      <alignment horizontal="right" vertical="top" wrapText="1"/>
    </xf>
    <xf numFmtId="168" fontId="37" fillId="0" borderId="0" xfId="0" applyNumberFormat="1" applyFont="1" applyAlignment="1">
      <alignment horizontal="center" vertical="top" wrapText="1"/>
    </xf>
    <xf numFmtId="0" fontId="37" fillId="0" borderId="0" xfId="0" applyFont="1" applyAlignment="1">
      <alignment horizontal="right" vertical="top" wrapText="1"/>
    </xf>
    <xf numFmtId="0" fontId="37" fillId="0" borderId="9" xfId="0" applyFont="1" applyBorder="1" applyAlignment="1">
      <alignment horizontal="right" vertical="top" wrapText="1"/>
    </xf>
    <xf numFmtId="49" fontId="37" fillId="0" borderId="15" xfId="0" applyNumberFormat="1" applyFont="1" applyBorder="1" applyAlignment="1">
      <alignment horizontal="center" vertical="top" wrapText="1"/>
    </xf>
    <xf numFmtId="0" fontId="37" fillId="0" borderId="15" xfId="0" applyFont="1" applyBorder="1" applyAlignment="1">
      <alignment horizontal="center" vertical="top" wrapText="1"/>
    </xf>
    <xf numFmtId="2" fontId="37" fillId="0" borderId="15" xfId="0" applyNumberFormat="1" applyFont="1" applyBorder="1" applyAlignment="1">
      <alignment horizontal="right" vertical="top" wrapText="1"/>
    </xf>
    <xf numFmtId="4" fontId="37" fillId="0" borderId="15" xfId="0" applyNumberFormat="1" applyFont="1" applyBorder="1" applyAlignment="1">
      <alignment horizontal="right" vertical="top" wrapText="1"/>
    </xf>
    <xf numFmtId="4" fontId="37" fillId="0" borderId="5" xfId="0" applyNumberFormat="1" applyFont="1" applyBorder="1" applyAlignment="1">
      <alignment horizontal="right" vertical="top" wrapText="1"/>
    </xf>
    <xf numFmtId="1" fontId="37" fillId="0" borderId="0" xfId="0" applyNumberFormat="1" applyFont="1" applyAlignment="1">
      <alignment horizontal="center" vertical="top" wrapText="1"/>
    </xf>
    <xf numFmtId="49" fontId="40" fillId="0" borderId="11" xfId="0" applyNumberFormat="1" applyFont="1" applyBorder="1" applyAlignment="1">
      <alignment horizontal="center" vertical="top" wrapText="1"/>
    </xf>
    <xf numFmtId="49" fontId="40" fillId="0" borderId="0" xfId="0" applyNumberFormat="1" applyFont="1" applyAlignment="1">
      <alignment horizontal="left" vertical="top" wrapText="1"/>
    </xf>
    <xf numFmtId="4" fontId="40" fillId="0" borderId="15" xfId="0" applyNumberFormat="1" applyFont="1" applyBorder="1" applyAlignment="1">
      <alignment horizontal="right" vertical="top" wrapText="1"/>
    </xf>
    <xf numFmtId="4" fontId="40" fillId="0" borderId="5" xfId="0" applyNumberFormat="1" applyFont="1" applyBorder="1" applyAlignment="1">
      <alignment horizontal="right" vertical="top" wrapText="1"/>
    </xf>
    <xf numFmtId="2" fontId="40" fillId="0" borderId="15" xfId="0" applyNumberFormat="1" applyFont="1" applyBorder="1" applyAlignment="1">
      <alignment horizontal="center" vertical="top" wrapText="1"/>
    </xf>
    <xf numFmtId="2" fontId="40" fillId="0" borderId="15" xfId="0" applyNumberFormat="1" applyFont="1" applyBorder="1" applyAlignment="1">
      <alignment horizontal="right" vertical="top" wrapText="1"/>
    </xf>
    <xf numFmtId="49" fontId="37" fillId="0" borderId="11" xfId="0" applyNumberFormat="1" applyFont="1" applyBorder="1" applyAlignment="1">
      <alignment horizontal="center" vertical="top" wrapText="1"/>
    </xf>
    <xf numFmtId="49" fontId="37" fillId="0" borderId="0" xfId="0" applyNumberFormat="1" applyFont="1" applyAlignment="1">
      <alignment horizontal="left" vertical="top" wrapText="1"/>
    </xf>
    <xf numFmtId="168" fontId="40" fillId="0" borderId="15" xfId="0" applyNumberFormat="1" applyFont="1" applyBorder="1" applyAlignment="1">
      <alignment horizontal="center" vertical="top" wrapText="1"/>
    </xf>
    <xf numFmtId="169" fontId="37" fillId="0" borderId="0" xfId="0" applyNumberFormat="1" applyFont="1" applyAlignment="1">
      <alignment horizontal="center" vertical="top" wrapText="1"/>
    </xf>
    <xf numFmtId="177" fontId="37" fillId="0" borderId="0" xfId="0" applyNumberFormat="1" applyFont="1" applyAlignment="1">
      <alignment horizontal="center" vertical="top" wrapText="1"/>
    </xf>
    <xf numFmtId="2" fontId="40" fillId="0" borderId="5" xfId="0" applyNumberFormat="1" applyFont="1" applyBorder="1" applyAlignment="1">
      <alignment horizontal="right" vertical="top" wrapText="1"/>
    </xf>
    <xf numFmtId="167" fontId="40" fillId="0" borderId="15" xfId="0" applyNumberFormat="1" applyFont="1" applyBorder="1" applyAlignment="1">
      <alignment horizontal="center" vertical="top" wrapText="1"/>
    </xf>
    <xf numFmtId="178" fontId="37" fillId="0" borderId="0" xfId="0" applyNumberFormat="1" applyFont="1" applyAlignment="1">
      <alignment horizontal="center" vertical="top" wrapText="1"/>
    </xf>
    <xf numFmtId="167" fontId="37" fillId="0" borderId="0" xfId="0" applyNumberFormat="1" applyFont="1" applyAlignment="1">
      <alignment horizontal="center" vertical="top" wrapText="1"/>
    </xf>
    <xf numFmtId="170" fontId="37" fillId="0" borderId="0" xfId="0" applyNumberFormat="1" applyFont="1" applyAlignment="1">
      <alignment horizontal="center" vertical="top" wrapText="1"/>
    </xf>
    <xf numFmtId="2" fontId="37" fillId="0" borderId="9" xfId="0" applyNumberFormat="1" applyFont="1" applyBorder="1" applyAlignment="1">
      <alignment horizontal="right" vertical="top" wrapText="1"/>
    </xf>
    <xf numFmtId="2" fontId="37" fillId="0" borderId="5" xfId="0" applyNumberFormat="1" applyFont="1" applyBorder="1" applyAlignment="1">
      <alignment horizontal="right" vertical="top" wrapText="1"/>
    </xf>
    <xf numFmtId="49" fontId="40" fillId="0" borderId="0" xfId="0" applyNumberFormat="1" applyFont="1" applyAlignment="1">
      <alignment horizontal="center" vertical="top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40" fillId="0" borderId="0" xfId="0" applyFont="1" applyAlignment="1">
      <alignment horizontal="right" vertical="top" wrapText="1"/>
    </xf>
    <xf numFmtId="49" fontId="37" fillId="0" borderId="0" xfId="0" applyNumberFormat="1" applyFont="1" applyAlignment="1">
      <alignment vertical="top"/>
    </xf>
    <xf numFmtId="0" fontId="37" fillId="0" borderId="0" xfId="0" applyFont="1" applyAlignment="1">
      <alignment vertical="top"/>
    </xf>
    <xf numFmtId="0" fontId="37" fillId="17" borderId="0" xfId="0" applyFont="1" applyFill="1"/>
    <xf numFmtId="49" fontId="37" fillId="0" borderId="14" xfId="0" applyNumberFormat="1" applyFont="1" applyBorder="1"/>
    <xf numFmtId="49" fontId="40" fillId="0" borderId="15" xfId="0" applyNumberFormat="1" applyFont="1" applyBorder="1" applyAlignment="1">
      <alignment horizontal="right" vertical="top" wrapText="1"/>
    </xf>
    <xf numFmtId="0" fontId="40" fillId="0" borderId="15" xfId="0" applyFont="1" applyBorder="1" applyAlignment="1">
      <alignment horizontal="right" vertical="top"/>
    </xf>
    <xf numFmtId="0" fontId="40" fillId="0" borderId="15" xfId="0" applyFont="1" applyBorder="1" applyAlignment="1">
      <alignment horizontal="center" vertical="top"/>
    </xf>
    <xf numFmtId="0" fontId="40" fillId="0" borderId="5" xfId="0" applyFont="1" applyBorder="1" applyAlignment="1">
      <alignment horizontal="right" vertical="top"/>
    </xf>
    <xf numFmtId="49" fontId="37" fillId="0" borderId="11" xfId="0" applyNumberFormat="1" applyFont="1" applyBorder="1"/>
    <xf numFmtId="4" fontId="37" fillId="0" borderId="0" xfId="0" applyNumberFormat="1" applyFont="1" applyAlignment="1">
      <alignment horizontal="right" vertical="top"/>
    </xf>
    <xf numFmtId="0" fontId="37" fillId="0" borderId="0" xfId="0" applyFont="1" applyAlignment="1">
      <alignment horizontal="center" vertical="top"/>
    </xf>
    <xf numFmtId="4" fontId="37" fillId="0" borderId="9" xfId="0" applyNumberFormat="1" applyFont="1" applyBorder="1" applyAlignment="1">
      <alignment horizontal="right" vertical="top"/>
    </xf>
    <xf numFmtId="0" fontId="37" fillId="0" borderId="0" xfId="0" applyFont="1" applyAlignment="1">
      <alignment horizontal="right" vertical="top"/>
    </xf>
    <xf numFmtId="0" fontId="37" fillId="0" borderId="9" xfId="0" applyFont="1" applyBorder="1" applyAlignment="1">
      <alignment horizontal="right" vertical="top"/>
    </xf>
    <xf numFmtId="49" fontId="40" fillId="0" borderId="0" xfId="0" applyNumberFormat="1" applyFont="1" applyAlignment="1">
      <alignment horizontal="right" vertical="top" wrapText="1"/>
    </xf>
    <xf numFmtId="4" fontId="40" fillId="0" borderId="0" xfId="0" applyNumberFormat="1" applyFont="1" applyAlignment="1">
      <alignment horizontal="right" vertical="top"/>
    </xf>
    <xf numFmtId="0" fontId="40" fillId="0" borderId="0" xfId="0" applyFont="1" applyAlignment="1">
      <alignment horizontal="center" vertical="top"/>
    </xf>
    <xf numFmtId="4" fontId="40" fillId="0" borderId="9" xfId="0" applyNumberFormat="1" applyFont="1" applyBorder="1" applyAlignment="1">
      <alignment horizontal="right" vertical="top"/>
    </xf>
    <xf numFmtId="2" fontId="40" fillId="0" borderId="0" xfId="0" applyNumberFormat="1" applyFont="1" applyAlignment="1">
      <alignment horizontal="center" vertical="top"/>
    </xf>
    <xf numFmtId="3" fontId="40" fillId="0" borderId="0" xfId="0" applyNumberFormat="1" applyFont="1" applyAlignment="1">
      <alignment horizontal="right" vertical="top"/>
    </xf>
    <xf numFmtId="49" fontId="37" fillId="0" borderId="15" xfId="0" applyNumberFormat="1" applyFont="1" applyBorder="1"/>
    <xf numFmtId="0" fontId="37" fillId="0" borderId="15" xfId="0" applyFont="1" applyBorder="1"/>
    <xf numFmtId="0" fontId="33" fillId="0" borderId="0" xfId="0" applyFont="1" applyAlignment="1">
      <alignment horizontal="right" vertical="top"/>
    </xf>
    <xf numFmtId="0" fontId="33" fillId="0" borderId="0" xfId="0" applyFont="1" applyAlignment="1">
      <alignment vertical="top"/>
    </xf>
    <xf numFmtId="0" fontId="33" fillId="0" borderId="0" xfId="0" applyFont="1" applyAlignment="1">
      <alignment vertical="top" wrapText="1"/>
    </xf>
    <xf numFmtId="0" fontId="35" fillId="0" borderId="0" xfId="0" applyFont="1" applyAlignment="1">
      <alignment horizontal="center" vertical="center"/>
    </xf>
    <xf numFmtId="0" fontId="40" fillId="0" borderId="0" xfId="0" applyFont="1" applyAlignment="1">
      <alignment vertical="top" wrapText="1"/>
    </xf>
    <xf numFmtId="0" fontId="37" fillId="0" borderId="0" xfId="0" applyFont="1"/>
    <xf numFmtId="169" fontId="40" fillId="0" borderId="15" xfId="0" applyNumberFormat="1" applyFont="1" applyBorder="1" applyAlignment="1">
      <alignment horizontal="center" vertical="top" wrapText="1"/>
    </xf>
    <xf numFmtId="0" fontId="40" fillId="0" borderId="9" xfId="0" applyFont="1" applyBorder="1" applyAlignment="1">
      <alignment horizontal="right" vertical="top"/>
    </xf>
    <xf numFmtId="2" fontId="37" fillId="0" borderId="0" xfId="0" applyNumberFormat="1" applyFont="1" applyAlignment="1">
      <alignment horizontal="right" vertical="top"/>
    </xf>
    <xf numFmtId="43" fontId="11" fillId="4" borderId="1" xfId="1" applyFont="1" applyFill="1" applyBorder="1" applyAlignment="1">
      <alignment horizontal="center" vertical="center" wrapText="1"/>
    </xf>
    <xf numFmtId="49" fontId="40" fillId="4" borderId="14" xfId="0" applyNumberFormat="1" applyFont="1" applyFill="1" applyBorder="1" applyAlignment="1">
      <alignment horizontal="center" vertical="top" wrapText="1"/>
    </xf>
    <xf numFmtId="49" fontId="40" fillId="4" borderId="15" xfId="0" applyNumberFormat="1" applyFont="1" applyFill="1" applyBorder="1" applyAlignment="1">
      <alignment horizontal="left" vertical="top" wrapText="1"/>
    </xf>
    <xf numFmtId="49" fontId="40" fillId="4" borderId="15" xfId="0" applyNumberFormat="1" applyFont="1" applyFill="1" applyBorder="1" applyAlignment="1">
      <alignment horizontal="center" vertical="top" wrapText="1"/>
    </xf>
    <xf numFmtId="0" fontId="40" fillId="4" borderId="15" xfId="0" applyFont="1" applyFill="1" applyBorder="1" applyAlignment="1">
      <alignment horizontal="center" vertical="top" wrapText="1"/>
    </xf>
    <xf numFmtId="1" fontId="40" fillId="4" borderId="15" xfId="0" applyNumberFormat="1" applyFont="1" applyFill="1" applyBorder="1" applyAlignment="1">
      <alignment horizontal="center" vertical="top" wrapText="1"/>
    </xf>
    <xf numFmtId="2" fontId="40" fillId="4" borderId="15" xfId="0" applyNumberFormat="1" applyFont="1" applyFill="1" applyBorder="1" applyAlignment="1">
      <alignment horizontal="right" vertical="top" wrapText="1"/>
    </xf>
    <xf numFmtId="4" fontId="40" fillId="4" borderId="15" xfId="0" applyNumberFormat="1" applyFont="1" applyFill="1" applyBorder="1" applyAlignment="1">
      <alignment horizontal="right" vertical="top" wrapText="1"/>
    </xf>
    <xf numFmtId="2" fontId="40" fillId="4" borderId="15" xfId="0" applyNumberFormat="1" applyFont="1" applyFill="1" applyBorder="1" applyAlignment="1">
      <alignment horizontal="center" vertical="top" wrapText="1"/>
    </xf>
    <xf numFmtId="4" fontId="40" fillId="4" borderId="5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4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vertical="center" wrapText="1"/>
    </xf>
    <xf numFmtId="43" fontId="12" fillId="4" borderId="1" xfId="1" applyFont="1" applyFill="1" applyBorder="1" applyAlignment="1">
      <alignment horizontal="center" vertical="center" wrapText="1"/>
    </xf>
    <xf numFmtId="167" fontId="11" fillId="4" borderId="1" xfId="0" applyNumberFormat="1" applyFont="1" applyFill="1" applyBorder="1" applyAlignment="1">
      <alignment vertical="center" wrapText="1"/>
    </xf>
    <xf numFmtId="167" fontId="6" fillId="4" borderId="1" xfId="0" applyNumberFormat="1" applyFont="1" applyFill="1" applyBorder="1" applyAlignment="1">
      <alignment vertical="center" wrapText="1"/>
    </xf>
    <xf numFmtId="164" fontId="0" fillId="7" borderId="0" xfId="0" applyNumberFormat="1" applyFill="1"/>
    <xf numFmtId="0" fontId="6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0" fontId="11" fillId="18" borderId="1" xfId="0" applyFont="1" applyFill="1" applyBorder="1"/>
    <xf numFmtId="0" fontId="13" fillId="18" borderId="1" xfId="0" applyFont="1" applyFill="1" applyBorder="1"/>
    <xf numFmtId="43" fontId="13" fillId="18" borderId="1" xfId="1" applyFont="1" applyFill="1" applyBorder="1"/>
    <xf numFmtId="0" fontId="42" fillId="0" borderId="0" xfId="0" applyFont="1" applyAlignment="1">
      <alignment horizontal="left" vertical="top"/>
    </xf>
    <xf numFmtId="0" fontId="44" fillId="0" borderId="1" xfId="0" applyFont="1" applyBorder="1" applyAlignment="1">
      <alignment horizontal="center" vertical="center"/>
    </xf>
    <xf numFmtId="43" fontId="42" fillId="0" borderId="1" xfId="1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42" fillId="0" borderId="3" xfId="0" applyFont="1" applyBorder="1" applyAlignment="1">
      <alignment horizontal="center" vertical="center" wrapText="1"/>
    </xf>
    <xf numFmtId="164" fontId="42" fillId="0" borderId="1" xfId="0" applyNumberFormat="1" applyFont="1" applyBorder="1" applyAlignment="1">
      <alignment horizontal="left" vertical="top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43" fontId="42" fillId="0" borderId="1" xfId="1" applyFont="1" applyBorder="1" applyAlignment="1">
      <alignment vertical="top"/>
    </xf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43" fontId="42" fillId="0" borderId="0" xfId="1" applyFont="1" applyAlignment="1">
      <alignment horizontal="left" vertical="top"/>
    </xf>
    <xf numFmtId="0" fontId="7" fillId="0" borderId="3" xfId="0" applyFont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 vertical="center" shrinkToFit="1"/>
    </xf>
    <xf numFmtId="1" fontId="44" fillId="0" borderId="3" xfId="0" applyNumberFormat="1" applyFont="1" applyBorder="1" applyAlignment="1">
      <alignment horizontal="center" vertical="center" shrinkToFit="1"/>
    </xf>
    <xf numFmtId="1" fontId="42" fillId="0" borderId="1" xfId="0" applyNumberFormat="1" applyFont="1" applyBorder="1" applyAlignment="1">
      <alignment vertical="center" shrinkToFit="1"/>
    </xf>
    <xf numFmtId="1" fontId="42" fillId="0" borderId="3" xfId="0" applyNumberFormat="1" applyFont="1" applyBorder="1" applyAlignment="1">
      <alignment vertical="center" shrinkToFit="1"/>
    </xf>
    <xf numFmtId="1" fontId="42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2" fontId="42" fillId="0" borderId="1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167" fontId="42" fillId="0" borderId="1" xfId="0" applyNumberFormat="1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44" fillId="0" borderId="1" xfId="0" applyNumberFormat="1" applyFont="1" applyBorder="1" applyAlignment="1">
      <alignment horizontal="center" vertical="center" shrinkToFit="1"/>
    </xf>
    <xf numFmtId="43" fontId="44" fillId="0" borderId="1" xfId="1" applyFont="1" applyBorder="1" applyAlignment="1">
      <alignment horizontal="left" vertical="top"/>
    </xf>
    <xf numFmtId="164" fontId="44" fillId="0" borderId="1" xfId="0" applyNumberFormat="1" applyFont="1" applyBorder="1" applyAlignment="1">
      <alignment horizontal="left" vertical="top"/>
    </xf>
    <xf numFmtId="0" fontId="44" fillId="0" borderId="0" xfId="0" applyFont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1" fontId="42" fillId="4" borderId="1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left" vertical="center" wrapText="1"/>
    </xf>
    <xf numFmtId="167" fontId="42" fillId="4" borderId="1" xfId="0" applyNumberFormat="1" applyFont="1" applyFill="1" applyBorder="1" applyAlignment="1">
      <alignment horizontal="center" vertical="center" shrinkToFit="1"/>
    </xf>
    <xf numFmtId="0" fontId="42" fillId="4" borderId="3" xfId="0" applyFont="1" applyFill="1" applyBorder="1" applyAlignment="1">
      <alignment horizontal="center" vertical="center" wrapText="1"/>
    </xf>
    <xf numFmtId="43" fontId="42" fillId="4" borderId="1" xfId="1" applyFont="1" applyFill="1" applyBorder="1" applyAlignment="1">
      <alignment horizontal="left" vertical="top"/>
    </xf>
    <xf numFmtId="164" fontId="42" fillId="4" borderId="1" xfId="0" applyNumberFormat="1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center" vertical="center" wrapText="1"/>
    </xf>
    <xf numFmtId="2" fontId="42" fillId="4" borderId="1" xfId="0" applyNumberFormat="1" applyFont="1" applyFill="1" applyBorder="1" applyAlignment="1">
      <alignment horizontal="center" vertical="center" shrinkToFit="1"/>
    </xf>
    <xf numFmtId="0" fontId="42" fillId="4" borderId="1" xfId="0" applyFont="1" applyFill="1" applyBorder="1" applyAlignment="1">
      <alignment horizontal="left" vertical="center" wrapText="1"/>
    </xf>
    <xf numFmtId="1" fontId="42" fillId="4" borderId="1" xfId="0" applyNumberFormat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/>
    </xf>
    <xf numFmtId="1" fontId="42" fillId="4" borderId="6" xfId="0" applyNumberFormat="1" applyFont="1" applyFill="1" applyBorder="1" applyAlignment="1">
      <alignment horizontal="center" vertical="center" wrapText="1"/>
    </xf>
    <xf numFmtId="0" fontId="42" fillId="4" borderId="6" xfId="0" applyFont="1" applyFill="1" applyBorder="1" applyAlignment="1">
      <alignment horizontal="left" vertical="center" wrapText="1"/>
    </xf>
    <xf numFmtId="0" fontId="42" fillId="4" borderId="6" xfId="0" applyFont="1" applyFill="1" applyBorder="1" applyAlignment="1">
      <alignment horizontal="center" vertical="center" wrapText="1"/>
    </xf>
    <xf numFmtId="0" fontId="42" fillId="4" borderId="14" xfId="0" applyFont="1" applyFill="1" applyBorder="1" applyAlignment="1">
      <alignment horizontal="center" vertical="center"/>
    </xf>
    <xf numFmtId="0" fontId="37" fillId="17" borderId="1" xfId="0" applyFont="1" applyFill="1" applyBorder="1"/>
    <xf numFmtId="4" fontId="40" fillId="5" borderId="9" xfId="0" applyNumberFormat="1" applyFont="1" applyFill="1" applyBorder="1" applyAlignment="1">
      <alignment horizontal="right" vertical="top"/>
    </xf>
    <xf numFmtId="9" fontId="0" fillId="0" borderId="1" xfId="0" applyNumberFormat="1" applyBorder="1"/>
    <xf numFmtId="1" fontId="42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left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2" fillId="2" borderId="3" xfId="0" applyFont="1" applyFill="1" applyBorder="1" applyAlignment="1">
      <alignment horizontal="center" vertical="center"/>
    </xf>
    <xf numFmtId="43" fontId="42" fillId="2" borderId="1" xfId="1" applyFont="1" applyFill="1" applyBorder="1" applyAlignment="1">
      <alignment horizontal="left" vertical="top"/>
    </xf>
    <xf numFmtId="164" fontId="42" fillId="2" borderId="1" xfId="0" applyNumberFormat="1" applyFont="1" applyFill="1" applyBorder="1" applyAlignment="1">
      <alignment horizontal="left" vertical="top"/>
    </xf>
    <xf numFmtId="1" fontId="42" fillId="19" borderId="1" xfId="0" applyNumberFormat="1" applyFont="1" applyFill="1" applyBorder="1" applyAlignment="1">
      <alignment horizontal="center" vertical="center" wrapText="1"/>
    </xf>
    <xf numFmtId="0" fontId="42" fillId="19" borderId="1" xfId="0" applyFont="1" applyFill="1" applyBorder="1" applyAlignment="1">
      <alignment horizontal="left" vertical="center" wrapText="1"/>
    </xf>
    <xf numFmtId="0" fontId="42" fillId="19" borderId="1" xfId="0" applyFont="1" applyFill="1" applyBorder="1" applyAlignment="1">
      <alignment horizontal="center" vertical="center" wrapText="1"/>
    </xf>
    <xf numFmtId="0" fontId="42" fillId="19" borderId="3" xfId="0" applyFont="1" applyFill="1" applyBorder="1" applyAlignment="1">
      <alignment horizontal="center" vertical="center"/>
    </xf>
    <xf numFmtId="43" fontId="42" fillId="19" borderId="1" xfId="1" applyFont="1" applyFill="1" applyBorder="1" applyAlignment="1">
      <alignment horizontal="left" vertical="top"/>
    </xf>
    <xf numFmtId="164" fontId="42" fillId="19" borderId="1" xfId="0" applyNumberFormat="1" applyFont="1" applyFill="1" applyBorder="1" applyAlignment="1">
      <alignment horizontal="left" vertical="top"/>
    </xf>
    <xf numFmtId="1" fontId="42" fillId="19" borderId="1" xfId="0" applyNumberFormat="1" applyFont="1" applyFill="1" applyBorder="1" applyAlignment="1">
      <alignment horizontal="center" vertical="center" shrinkToFit="1"/>
    </xf>
    <xf numFmtId="0" fontId="6" fillId="19" borderId="1" xfId="0" applyFont="1" applyFill="1" applyBorder="1" applyAlignment="1">
      <alignment horizontal="center" vertical="center" wrapText="1"/>
    </xf>
    <xf numFmtId="0" fontId="6" fillId="19" borderId="3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left" vertical="center" wrapText="1"/>
    </xf>
    <xf numFmtId="0" fontId="42" fillId="19" borderId="3" xfId="0" applyFont="1" applyFill="1" applyBorder="1" applyAlignment="1">
      <alignment horizontal="center" vertical="center" wrapText="1"/>
    </xf>
    <xf numFmtId="167" fontId="42" fillId="19" borderId="1" xfId="0" applyNumberFormat="1" applyFont="1" applyFill="1" applyBorder="1" applyAlignment="1">
      <alignment horizontal="center" vertical="center" shrinkToFit="1"/>
    </xf>
    <xf numFmtId="2" fontId="42" fillId="19" borderId="1" xfId="0" applyNumberFormat="1" applyFont="1" applyFill="1" applyBorder="1" applyAlignment="1">
      <alignment horizontal="center" vertical="center" shrinkToFit="1"/>
    </xf>
    <xf numFmtId="1" fontId="42" fillId="20" borderId="1" xfId="0" applyNumberFormat="1" applyFont="1" applyFill="1" applyBorder="1" applyAlignment="1">
      <alignment horizontal="center" vertical="center" wrapText="1"/>
    </xf>
    <xf numFmtId="0" fontId="42" fillId="20" borderId="1" xfId="0" applyFont="1" applyFill="1" applyBorder="1" applyAlignment="1">
      <alignment horizontal="left" vertical="center" wrapText="1"/>
    </xf>
    <xf numFmtId="0" fontId="42" fillId="20" borderId="1" xfId="0" applyFont="1" applyFill="1" applyBorder="1" applyAlignment="1">
      <alignment horizontal="center" vertical="center" wrapText="1"/>
    </xf>
    <xf numFmtId="0" fontId="42" fillId="20" borderId="3" xfId="0" applyFont="1" applyFill="1" applyBorder="1" applyAlignment="1">
      <alignment horizontal="center" vertical="center"/>
    </xf>
    <xf numFmtId="43" fontId="42" fillId="20" borderId="1" xfId="1" applyFont="1" applyFill="1" applyBorder="1" applyAlignment="1">
      <alignment horizontal="left" vertical="top"/>
    </xf>
    <xf numFmtId="164" fontId="42" fillId="20" borderId="1" xfId="0" applyNumberFormat="1" applyFont="1" applyFill="1" applyBorder="1" applyAlignment="1">
      <alignment horizontal="left" vertical="top"/>
    </xf>
    <xf numFmtId="1" fontId="42" fillId="20" borderId="1" xfId="0" applyNumberFormat="1" applyFont="1" applyFill="1" applyBorder="1" applyAlignment="1">
      <alignment horizontal="center" vertical="center" shrinkToFit="1"/>
    </xf>
    <xf numFmtId="0" fontId="6" fillId="20" borderId="1" xfId="0" applyFont="1" applyFill="1" applyBorder="1" applyAlignment="1">
      <alignment horizontal="left" vertical="center" wrapText="1"/>
    </xf>
    <xf numFmtId="0" fontId="6" fillId="20" borderId="1" xfId="0" applyFont="1" applyFill="1" applyBorder="1" applyAlignment="1">
      <alignment horizontal="center" vertical="center" wrapText="1"/>
    </xf>
    <xf numFmtId="2" fontId="42" fillId="20" borderId="1" xfId="0" applyNumberFormat="1" applyFont="1" applyFill="1" applyBorder="1" applyAlignment="1">
      <alignment horizontal="center" vertical="center" shrinkToFit="1"/>
    </xf>
    <xf numFmtId="0" fontId="42" fillId="20" borderId="3" xfId="0" applyFont="1" applyFill="1" applyBorder="1" applyAlignment="1">
      <alignment horizontal="center" vertical="center" wrapText="1"/>
    </xf>
    <xf numFmtId="43" fontId="44" fillId="0" borderId="1" xfId="1" applyFont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43" fontId="42" fillId="6" borderId="1" xfId="1" applyFont="1" applyFill="1" applyBorder="1" applyAlignment="1">
      <alignment horizontal="left" vertical="top"/>
    </xf>
    <xf numFmtId="164" fontId="42" fillId="6" borderId="1" xfId="0" applyNumberFormat="1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center" wrapText="1"/>
    </xf>
    <xf numFmtId="1" fontId="42" fillId="6" borderId="1" xfId="0" applyNumberFormat="1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left" vertical="center" wrapText="1"/>
    </xf>
    <xf numFmtId="0" fontId="42" fillId="6" borderId="3" xfId="0" applyFont="1" applyFill="1" applyBorder="1" applyAlignment="1">
      <alignment horizontal="center" vertical="center"/>
    </xf>
    <xf numFmtId="164" fontId="42" fillId="0" borderId="0" xfId="0" applyNumberFormat="1" applyFont="1" applyAlignment="1">
      <alignment horizontal="left" vertical="top"/>
    </xf>
    <xf numFmtId="0" fontId="11" fillId="19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vertical="center" wrapText="1"/>
    </xf>
    <xf numFmtId="0" fontId="11" fillId="19" borderId="1" xfId="0" applyFont="1" applyFill="1" applyBorder="1" applyAlignment="1">
      <alignment vertical="center"/>
    </xf>
    <xf numFmtId="43" fontId="11" fillId="19" borderId="1" xfId="1" applyFont="1" applyFill="1" applyBorder="1" applyAlignment="1">
      <alignment vertical="center"/>
    </xf>
    <xf numFmtId="0" fontId="6" fillId="19" borderId="1" xfId="4" applyFont="1" applyFill="1" applyBorder="1" applyAlignment="1">
      <alignment horizontal="left" vertical="center" wrapText="1"/>
    </xf>
    <xf numFmtId="2" fontId="6" fillId="19" borderId="1" xfId="0" applyNumberFormat="1" applyFont="1" applyFill="1" applyBorder="1" applyAlignment="1">
      <alignment vertical="center" wrapText="1"/>
    </xf>
    <xf numFmtId="1" fontId="6" fillId="19" borderId="1" xfId="0" applyNumberFormat="1" applyFont="1" applyFill="1" applyBorder="1" applyAlignment="1">
      <alignment vertical="center" wrapText="1"/>
    </xf>
    <xf numFmtId="0" fontId="6" fillId="19" borderId="1" xfId="0" applyFont="1" applyFill="1" applyBorder="1" applyAlignment="1">
      <alignment horizontal="center" wrapText="1"/>
    </xf>
    <xf numFmtId="167" fontId="6" fillId="19" borderId="1" xfId="0" applyNumberFormat="1" applyFont="1" applyFill="1" applyBorder="1" applyAlignment="1">
      <alignment vertical="center" wrapText="1"/>
    </xf>
    <xf numFmtId="0" fontId="11" fillId="19" borderId="1" xfId="0" applyFont="1" applyFill="1" applyBorder="1" applyAlignment="1">
      <alignment horizontal="center" vertical="center" wrapText="1"/>
    </xf>
    <xf numFmtId="0" fontId="11" fillId="19" borderId="1" xfId="4" applyFont="1" applyFill="1" applyBorder="1" applyAlignment="1">
      <alignment horizontal="left" vertical="center" wrapText="1"/>
    </xf>
    <xf numFmtId="167" fontId="11" fillId="19" borderId="1" xfId="0" applyNumberFormat="1" applyFont="1" applyFill="1" applyBorder="1" applyAlignment="1">
      <alignment horizontal="right" vertical="center" wrapText="1"/>
    </xf>
    <xf numFmtId="172" fontId="11" fillId="19" borderId="1" xfId="1" applyNumberFormat="1" applyFont="1" applyFill="1" applyBorder="1" applyAlignment="1">
      <alignment vertical="center"/>
    </xf>
    <xf numFmtId="43" fontId="12" fillId="19" borderId="1" xfId="1" applyFont="1" applyFill="1" applyBorder="1" applyAlignment="1">
      <alignment horizontal="center" vertical="center"/>
    </xf>
    <xf numFmtId="0" fontId="6" fillId="19" borderId="1" xfId="3" applyFont="1" applyFill="1" applyBorder="1" applyAlignment="1">
      <alignment horizontal="center" vertical="center" wrapText="1"/>
    </xf>
    <xf numFmtId="1" fontId="6" fillId="19" borderId="1" xfId="3" applyNumberFormat="1" applyFont="1" applyFill="1" applyBorder="1" applyAlignment="1">
      <alignment horizontal="right" vertical="center"/>
    </xf>
    <xf numFmtId="165" fontId="11" fillId="19" borderId="1" xfId="1" applyNumberFormat="1" applyFont="1" applyFill="1" applyBorder="1" applyAlignment="1">
      <alignment vertical="center"/>
    </xf>
    <xf numFmtId="2" fontId="6" fillId="19" borderId="1" xfId="0" applyNumberFormat="1" applyFont="1" applyFill="1" applyBorder="1" applyAlignment="1">
      <alignment horizontal="right" vertical="center" wrapText="1"/>
    </xf>
    <xf numFmtId="0" fontId="6" fillId="19" borderId="3" xfId="4" applyFont="1" applyFill="1" applyBorder="1" applyAlignment="1">
      <alignment horizontal="left" vertical="center" wrapText="1"/>
    </xf>
    <xf numFmtId="0" fontId="6" fillId="6" borderId="1" xfId="4" applyFont="1" applyFill="1" applyBorder="1" applyAlignment="1">
      <alignment horizontal="left" vertical="center" wrapText="1"/>
    </xf>
    <xf numFmtId="2" fontId="6" fillId="6" borderId="1" xfId="0" applyNumberFormat="1" applyFont="1" applyFill="1" applyBorder="1" applyAlignment="1">
      <alignment vertical="center" wrapText="1"/>
    </xf>
    <xf numFmtId="43" fontId="11" fillId="6" borderId="1" xfId="1" applyFont="1" applyFill="1" applyBorder="1" applyAlignment="1">
      <alignment vertical="center"/>
    </xf>
    <xf numFmtId="43" fontId="12" fillId="6" borderId="1" xfId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1" fontId="42" fillId="7" borderId="1" xfId="0" applyNumberFormat="1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43" fontId="42" fillId="7" borderId="1" xfId="1" applyFont="1" applyFill="1" applyBorder="1" applyAlignment="1">
      <alignment horizontal="left" vertical="top"/>
    </xf>
    <xf numFmtId="164" fontId="42" fillId="7" borderId="1" xfId="0" applyNumberFormat="1" applyFont="1" applyFill="1" applyBorder="1" applyAlignment="1">
      <alignment horizontal="left" vertical="top"/>
    </xf>
    <xf numFmtId="2" fontId="42" fillId="7" borderId="1" xfId="0" applyNumberFormat="1" applyFont="1" applyFill="1" applyBorder="1" applyAlignment="1">
      <alignment horizontal="center" vertical="center" shrinkToFit="1"/>
    </xf>
    <xf numFmtId="0" fontId="42" fillId="7" borderId="1" xfId="0" applyFont="1" applyFill="1" applyBorder="1" applyAlignment="1">
      <alignment horizontal="center" vertical="center" wrapText="1"/>
    </xf>
    <xf numFmtId="0" fontId="42" fillId="7" borderId="3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43" fontId="10" fillId="7" borderId="8" xfId="1" applyFont="1" applyFill="1" applyBorder="1" applyAlignment="1">
      <alignment horizontal="center" vertical="center" wrapText="1"/>
    </xf>
    <xf numFmtId="43" fontId="11" fillId="7" borderId="8" xfId="1" applyFont="1" applyFill="1" applyBorder="1" applyAlignment="1">
      <alignment vertical="center"/>
    </xf>
    <xf numFmtId="0" fontId="7" fillId="7" borderId="7" xfId="0" applyFont="1" applyFill="1" applyBorder="1" applyAlignment="1">
      <alignment horizontal="center" vertical="center" wrapText="1"/>
    </xf>
    <xf numFmtId="0" fontId="7" fillId="7" borderId="3" xfId="4" applyFont="1" applyFill="1" applyBorder="1" applyAlignment="1">
      <alignment horizontal="left" vertical="center" wrapText="1"/>
    </xf>
    <xf numFmtId="0" fontId="7" fillId="7" borderId="8" xfId="0" applyFont="1" applyFill="1" applyBorder="1" applyAlignment="1">
      <alignment horizontal="center" vertical="center" wrapText="1"/>
    </xf>
    <xf numFmtId="2" fontId="7" fillId="7" borderId="8" xfId="0" applyNumberFormat="1" applyFont="1" applyFill="1" applyBorder="1" applyAlignment="1">
      <alignment vertical="center" wrapText="1"/>
    </xf>
    <xf numFmtId="43" fontId="46" fillId="7" borderId="8" xfId="1" applyFont="1" applyFill="1" applyBorder="1" applyAlignment="1">
      <alignment horizontal="center" vertical="center" wrapText="1"/>
    </xf>
    <xf numFmtId="43" fontId="13" fillId="7" borderId="8" xfId="1" applyFont="1" applyFill="1" applyBorder="1" applyAlignment="1">
      <alignment vertical="center"/>
    </xf>
    <xf numFmtId="167" fontId="6" fillId="7" borderId="8" xfId="0" applyNumberFormat="1" applyFont="1" applyFill="1" applyBorder="1" applyAlignment="1">
      <alignment vertical="center" wrapText="1"/>
    </xf>
    <xf numFmtId="167" fontId="7" fillId="7" borderId="8" xfId="0" applyNumberFormat="1" applyFont="1" applyFill="1" applyBorder="1" applyAlignment="1">
      <alignment vertical="center" wrapText="1"/>
    </xf>
    <xf numFmtId="1" fontId="6" fillId="7" borderId="8" xfId="0" applyNumberFormat="1" applyFont="1" applyFill="1" applyBorder="1" applyAlignment="1">
      <alignment vertical="center" wrapText="1"/>
    </xf>
    <xf numFmtId="1" fontId="7" fillId="7" borderId="8" xfId="0" applyNumberFormat="1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vertical="center" wrapText="1"/>
    </xf>
    <xf numFmtId="43" fontId="13" fillId="0" borderId="8" xfId="1" applyFont="1" applyFill="1" applyBorder="1" applyAlignment="1">
      <alignment vertical="center"/>
    </xf>
    <xf numFmtId="0" fontId="4" fillId="0" borderId="0" xfId="0" applyFont="1"/>
    <xf numFmtId="167" fontId="7" fillId="7" borderId="1" xfId="0" applyNumberFormat="1" applyFont="1" applyFill="1" applyBorder="1" applyAlignment="1">
      <alignment vertical="center" wrapText="1"/>
    </xf>
    <xf numFmtId="43" fontId="46" fillId="7" borderId="1" xfId="1" applyFont="1" applyFill="1" applyBorder="1" applyAlignment="1">
      <alignment horizontal="center" vertical="center" wrapText="1"/>
    </xf>
    <xf numFmtId="43" fontId="13" fillId="7" borderId="1" xfId="1" applyFont="1" applyFill="1" applyBorder="1" applyAlignment="1">
      <alignment vertical="center"/>
    </xf>
    <xf numFmtId="43" fontId="11" fillId="0" borderId="8" xfId="1" applyFont="1" applyBorder="1" applyAlignment="1">
      <alignment vertical="center"/>
    </xf>
    <xf numFmtId="43" fontId="13" fillId="0" borderId="1" xfId="1" applyFont="1" applyFill="1" applyBorder="1" applyAlignment="1">
      <alignment vertical="center"/>
    </xf>
    <xf numFmtId="0" fontId="7" fillId="7" borderId="0" xfId="0" applyFont="1" applyFill="1" applyBorder="1" applyAlignment="1">
      <alignment horizontal="center" vertical="center" wrapText="1"/>
    </xf>
    <xf numFmtId="0" fontId="7" fillId="7" borderId="14" xfId="4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center" vertical="center" wrapText="1"/>
    </xf>
    <xf numFmtId="2" fontId="7" fillId="7" borderId="15" xfId="0" applyNumberFormat="1" applyFont="1" applyFill="1" applyBorder="1" applyAlignment="1">
      <alignment vertical="center" wrapText="1"/>
    </xf>
    <xf numFmtId="43" fontId="46" fillId="7" borderId="5" xfId="1" applyFont="1" applyFill="1" applyBorder="1" applyAlignment="1">
      <alignment horizontal="center" vertical="center" wrapText="1"/>
    </xf>
    <xf numFmtId="164" fontId="2" fillId="0" borderId="0" xfId="0" applyNumberFormat="1" applyFont="1"/>
    <xf numFmtId="167" fontId="6" fillId="0" borderId="8" xfId="0" applyNumberFormat="1" applyFont="1" applyBorder="1" applyAlignment="1">
      <alignment vertical="center" wrapText="1"/>
    </xf>
    <xf numFmtId="43" fontId="11" fillId="0" borderId="4" xfId="1" applyFont="1" applyBorder="1" applyAlignment="1">
      <alignment vertical="center"/>
    </xf>
    <xf numFmtId="1" fontId="6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vertical="center" wrapText="1"/>
    </xf>
    <xf numFmtId="49" fontId="6" fillId="7" borderId="8" xfId="3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center" wrapText="1"/>
    </xf>
    <xf numFmtId="0" fontId="47" fillId="7" borderId="1" xfId="0" applyFont="1" applyFill="1" applyBorder="1" applyAlignment="1">
      <alignment horizontal="center" vertical="center"/>
    </xf>
    <xf numFmtId="43" fontId="47" fillId="7" borderId="1" xfId="1" applyFont="1" applyFill="1" applyBorder="1" applyAlignment="1">
      <alignment vertical="center"/>
    </xf>
    <xf numFmtId="43" fontId="47" fillId="7" borderId="1" xfId="1" applyFont="1" applyFill="1" applyBorder="1" applyAlignment="1">
      <alignment horizontal="right" vertical="center"/>
    </xf>
    <xf numFmtId="43" fontId="32" fillId="7" borderId="1" xfId="1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horizontal="center" vertical="center"/>
    </xf>
    <xf numFmtId="43" fontId="11" fillId="7" borderId="1" xfId="1" applyFont="1" applyFill="1" applyBorder="1" applyAlignment="1">
      <alignment horizontal="right" vertical="center"/>
    </xf>
    <xf numFmtId="43" fontId="14" fillId="8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165" fontId="11" fillId="0" borderId="8" xfId="1" applyNumberFormat="1" applyFont="1" applyFill="1" applyBorder="1" applyAlignment="1">
      <alignment vertical="center"/>
    </xf>
    <xf numFmtId="43" fontId="11" fillId="0" borderId="4" xfId="1" applyFont="1" applyFill="1" applyBorder="1" applyAlignment="1">
      <alignment vertical="center"/>
    </xf>
    <xf numFmtId="0" fontId="47" fillId="7" borderId="1" xfId="0" applyFont="1" applyFill="1" applyBorder="1" applyAlignment="1">
      <alignment vertical="center"/>
    </xf>
    <xf numFmtId="0" fontId="4" fillId="7" borderId="0" xfId="0" applyFont="1" applyFill="1"/>
    <xf numFmtId="43" fontId="13" fillId="11" borderId="1" xfId="1" applyFont="1" applyFill="1" applyBorder="1" applyAlignment="1">
      <alignment vertical="center"/>
    </xf>
    <xf numFmtId="0" fontId="11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/>
    </xf>
    <xf numFmtId="3" fontId="7" fillId="8" borderId="1" xfId="0" applyNumberFormat="1" applyFont="1" applyFill="1" applyBorder="1" applyAlignment="1">
      <alignment horizontal="center" vertical="center" wrapText="1"/>
    </xf>
    <xf numFmtId="165" fontId="2" fillId="0" borderId="0" xfId="1" applyNumberFormat="1" applyFont="1"/>
    <xf numFmtId="49" fontId="7" fillId="8" borderId="1" xfId="3" applyNumberFormat="1" applyFont="1" applyFill="1" applyBorder="1" applyAlignment="1">
      <alignment vertical="center" wrapText="1"/>
    </xf>
    <xf numFmtId="49" fontId="13" fillId="11" borderId="1" xfId="0" applyNumberFormat="1" applyFont="1" applyFill="1" applyBorder="1" applyAlignment="1">
      <alignment vertical="center" wrapText="1"/>
    </xf>
    <xf numFmtId="0" fontId="13" fillId="11" borderId="1" xfId="0" applyFont="1" applyFill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49" fontId="49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43" fontId="48" fillId="0" borderId="1" xfId="1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3" fontId="48" fillId="0" borderId="1" xfId="1" applyFont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" fontId="43" fillId="0" borderId="1" xfId="0" applyNumberFormat="1" applyFont="1" applyBorder="1" applyAlignment="1">
      <alignment horizontal="center" vertical="center" wrapText="1"/>
    </xf>
    <xf numFmtId="169" fontId="43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43" fontId="50" fillId="0" borderId="1" xfId="1" applyFont="1" applyBorder="1" applyAlignment="1">
      <alignment horizontal="center" vertical="center"/>
    </xf>
    <xf numFmtId="4" fontId="43" fillId="0" borderId="1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49" fontId="43" fillId="19" borderId="1" xfId="0" applyNumberFormat="1" applyFont="1" applyFill="1" applyBorder="1" applyAlignment="1">
      <alignment horizontal="center" vertical="center" wrapText="1"/>
    </xf>
    <xf numFmtId="0" fontId="43" fillId="19" borderId="1" xfId="0" applyFont="1" applyFill="1" applyBorder="1" applyAlignment="1">
      <alignment horizontal="center" vertical="center" wrapText="1"/>
    </xf>
    <xf numFmtId="1" fontId="43" fillId="19" borderId="1" xfId="0" applyNumberFormat="1" applyFont="1" applyFill="1" applyBorder="1" applyAlignment="1">
      <alignment horizontal="center" vertical="center" wrapText="1"/>
    </xf>
    <xf numFmtId="2" fontId="43" fillId="19" borderId="1" xfId="0" applyNumberFormat="1" applyFont="1" applyFill="1" applyBorder="1" applyAlignment="1">
      <alignment horizontal="center" vertical="center" wrapText="1"/>
    </xf>
    <xf numFmtId="0" fontId="50" fillId="19" borderId="1" xfId="0" applyFont="1" applyFill="1" applyBorder="1" applyAlignment="1">
      <alignment horizontal="center" vertical="center"/>
    </xf>
    <xf numFmtId="4" fontId="43" fillId="19" borderId="1" xfId="0" applyNumberFormat="1" applyFont="1" applyFill="1" applyBorder="1" applyAlignment="1">
      <alignment horizontal="center" vertical="center" wrapText="1"/>
    </xf>
    <xf numFmtId="43" fontId="50" fillId="19" borderId="1" xfId="1" applyFont="1" applyFill="1" applyBorder="1" applyAlignment="1">
      <alignment horizontal="center" vertical="center"/>
    </xf>
    <xf numFmtId="169" fontId="43" fillId="19" borderId="1" xfId="0" applyNumberFormat="1" applyFont="1" applyFill="1" applyBorder="1" applyAlignment="1">
      <alignment horizontal="center" vertical="center" wrapText="1"/>
    </xf>
    <xf numFmtId="167" fontId="43" fillId="19" borderId="1" xfId="0" applyNumberFormat="1" applyFont="1" applyFill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wrapText="1"/>
    </xf>
    <xf numFmtId="49" fontId="43" fillId="4" borderId="1" xfId="0" applyNumberFormat="1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1" fontId="43" fillId="4" borderId="1" xfId="0" applyNumberFormat="1" applyFont="1" applyFill="1" applyBorder="1" applyAlignment="1">
      <alignment horizontal="center" vertical="center" wrapText="1"/>
    </xf>
    <xf numFmtId="2" fontId="43" fillId="4" borderId="1" xfId="0" applyNumberFormat="1" applyFont="1" applyFill="1" applyBorder="1" applyAlignment="1">
      <alignment horizontal="center" vertical="center" wrapText="1"/>
    </xf>
    <xf numFmtId="4" fontId="43" fillId="4" borderId="1" xfId="0" applyNumberFormat="1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/>
    </xf>
    <xf numFmtId="43" fontId="50" fillId="4" borderId="1" xfId="1" applyFont="1" applyFill="1" applyBorder="1" applyAlignment="1">
      <alignment horizontal="center" vertical="center"/>
    </xf>
    <xf numFmtId="168" fontId="43" fillId="0" borderId="1" xfId="0" applyNumberFormat="1" applyFont="1" applyBorder="1" applyAlignment="1">
      <alignment horizontal="center" vertical="center" wrapText="1"/>
    </xf>
    <xf numFmtId="167" fontId="43" fillId="0" borderId="1" xfId="0" applyNumberFormat="1" applyFont="1" applyBorder="1" applyAlignment="1">
      <alignment horizontal="center" vertical="center" wrapText="1"/>
    </xf>
    <xf numFmtId="168" fontId="43" fillId="19" borderId="1" xfId="0" applyNumberFormat="1" applyFont="1" applyFill="1" applyBorder="1" applyAlignment="1">
      <alignment horizontal="center" vertical="center" wrapText="1"/>
    </xf>
    <xf numFmtId="49" fontId="43" fillId="6" borderId="1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1" fontId="43" fillId="6" borderId="1" xfId="0" applyNumberFormat="1" applyFont="1" applyFill="1" applyBorder="1" applyAlignment="1">
      <alignment horizontal="center" vertical="center" wrapText="1"/>
    </xf>
    <xf numFmtId="169" fontId="43" fillId="6" borderId="1" xfId="0" applyNumberFormat="1" applyFont="1" applyFill="1" applyBorder="1" applyAlignment="1">
      <alignment horizontal="center" vertical="center" wrapText="1"/>
    </xf>
    <xf numFmtId="0" fontId="50" fillId="6" borderId="1" xfId="0" applyFont="1" applyFill="1" applyBorder="1" applyAlignment="1">
      <alignment horizontal="center" vertical="center"/>
    </xf>
    <xf numFmtId="43" fontId="50" fillId="6" borderId="1" xfId="1" applyFont="1" applyFill="1" applyBorder="1" applyAlignment="1">
      <alignment horizontal="center" vertical="center"/>
    </xf>
    <xf numFmtId="4" fontId="43" fillId="6" borderId="1" xfId="0" applyNumberFormat="1" applyFont="1" applyFill="1" applyBorder="1" applyAlignment="1">
      <alignment horizontal="center" vertical="center" wrapText="1"/>
    </xf>
    <xf numFmtId="2" fontId="43" fillId="6" borderId="1" xfId="0" applyNumberFormat="1" applyFont="1" applyFill="1" applyBorder="1" applyAlignment="1">
      <alignment horizontal="center" vertical="center" wrapText="1"/>
    </xf>
    <xf numFmtId="49" fontId="43" fillId="21" borderId="1" xfId="0" applyNumberFormat="1" applyFont="1" applyFill="1" applyBorder="1" applyAlignment="1">
      <alignment horizontal="center" vertical="center" wrapText="1"/>
    </xf>
    <xf numFmtId="0" fontId="43" fillId="21" borderId="1" xfId="0" applyFont="1" applyFill="1" applyBorder="1" applyAlignment="1">
      <alignment horizontal="center" vertical="center" wrapText="1"/>
    </xf>
    <xf numFmtId="1" fontId="43" fillId="21" borderId="1" xfId="0" applyNumberFormat="1" applyFont="1" applyFill="1" applyBorder="1" applyAlignment="1">
      <alignment horizontal="center" vertical="center" wrapText="1"/>
    </xf>
    <xf numFmtId="0" fontId="50" fillId="21" borderId="1" xfId="0" applyFont="1" applyFill="1" applyBorder="1" applyAlignment="1">
      <alignment horizontal="center" vertical="center"/>
    </xf>
    <xf numFmtId="43" fontId="50" fillId="21" borderId="1" xfId="1" applyFont="1" applyFill="1" applyBorder="1" applyAlignment="1">
      <alignment horizontal="center" vertical="center"/>
    </xf>
    <xf numFmtId="4" fontId="43" fillId="21" borderId="1" xfId="0" applyNumberFormat="1" applyFont="1" applyFill="1" applyBorder="1" applyAlignment="1">
      <alignment horizontal="center" vertical="center" wrapText="1"/>
    </xf>
    <xf numFmtId="49" fontId="43" fillId="7" borderId="1" xfId="0" applyNumberFormat="1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center" vertical="center" wrapText="1"/>
    </xf>
    <xf numFmtId="1" fontId="43" fillId="7" borderId="1" xfId="0" applyNumberFormat="1" applyFont="1" applyFill="1" applyBorder="1" applyAlignment="1">
      <alignment horizontal="center" vertical="center" wrapText="1"/>
    </xf>
    <xf numFmtId="2" fontId="43" fillId="7" borderId="1" xfId="0" applyNumberFormat="1" applyFont="1" applyFill="1" applyBorder="1" applyAlignment="1">
      <alignment horizontal="center" vertical="center" wrapText="1"/>
    </xf>
    <xf numFmtId="0" fontId="50" fillId="7" borderId="1" xfId="0" applyFont="1" applyFill="1" applyBorder="1" applyAlignment="1">
      <alignment horizontal="center" vertical="center"/>
    </xf>
    <xf numFmtId="43" fontId="50" fillId="7" borderId="1" xfId="1" applyFont="1" applyFill="1" applyBorder="1" applyAlignment="1">
      <alignment horizontal="center" vertical="center"/>
    </xf>
    <xf numFmtId="4" fontId="43" fillId="7" borderId="1" xfId="0" applyNumberFormat="1" applyFont="1" applyFill="1" applyBorder="1" applyAlignment="1">
      <alignment horizontal="center" vertical="center" wrapText="1"/>
    </xf>
    <xf numFmtId="49" fontId="43" fillId="5" borderId="1" xfId="0" applyNumberFormat="1" applyFont="1" applyFill="1" applyBorder="1" applyAlignment="1">
      <alignment horizontal="center" vertical="center"/>
    </xf>
    <xf numFmtId="49" fontId="43" fillId="5" borderId="1" xfId="0" applyNumberFormat="1" applyFont="1" applyFill="1" applyBorder="1" applyAlignment="1">
      <alignment horizontal="center" vertical="center" wrapText="1"/>
    </xf>
    <xf numFmtId="4" fontId="43" fillId="5" borderId="1" xfId="0" applyNumberFormat="1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0" fontId="50" fillId="5" borderId="1" xfId="0" applyFont="1" applyFill="1" applyBorder="1" applyAlignment="1">
      <alignment horizontal="center" vertical="center"/>
    </xf>
    <xf numFmtId="43" fontId="50" fillId="5" borderId="1" xfId="1" applyFont="1" applyFill="1" applyBorder="1" applyAlignment="1">
      <alignment horizontal="center" vertical="center"/>
    </xf>
    <xf numFmtId="43" fontId="50" fillId="0" borderId="0" xfId="1" applyFont="1" applyAlignment="1">
      <alignment horizontal="center" vertical="center"/>
    </xf>
    <xf numFmtId="49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3" fontId="43" fillId="0" borderId="0" xfId="1" applyFont="1" applyAlignment="1">
      <alignment horizontal="center" vertical="center"/>
    </xf>
    <xf numFmtId="43" fontId="43" fillId="19" borderId="1" xfId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vertical="center" wrapText="1"/>
    </xf>
    <xf numFmtId="164" fontId="0" fillId="0" borderId="1" xfId="0" applyNumberFormat="1" applyBorder="1"/>
    <xf numFmtId="43" fontId="4" fillId="6" borderId="1" xfId="1" applyFont="1" applyFill="1" applyBorder="1" applyAlignment="1">
      <alignment horizontal="center" vertical="center"/>
    </xf>
    <xf numFmtId="43" fontId="4" fillId="6" borderId="1" xfId="1" applyFont="1" applyFill="1" applyBorder="1" applyAlignment="1">
      <alignment vertical="center"/>
    </xf>
    <xf numFmtId="0" fontId="52" fillId="0" borderId="1" xfId="9" applyNumberFormat="1" applyFont="1" applyFill="1" applyBorder="1" applyAlignment="1" applyProtection="1">
      <alignment horizontal="center" vertical="center" wrapText="1"/>
    </xf>
    <xf numFmtId="0" fontId="52" fillId="0" borderId="1" xfId="9" applyNumberFormat="1" applyFont="1" applyFill="1" applyBorder="1" applyAlignment="1" applyProtection="1">
      <alignment horizontal="center" wrapText="1"/>
    </xf>
    <xf numFmtId="0" fontId="6" fillId="0" borderId="1" xfId="9" applyNumberFormat="1" applyFont="1" applyFill="1" applyBorder="1" applyAlignment="1" applyProtection="1">
      <alignment horizontal="center" vertical="center"/>
    </xf>
    <xf numFmtId="0" fontId="6" fillId="0" borderId="1" xfId="9" applyNumberFormat="1" applyFont="1" applyFill="1" applyBorder="1" applyAlignment="1" applyProtection="1">
      <alignment horizontal="center" vertical="center" wrapText="1"/>
    </xf>
    <xf numFmtId="0" fontId="6" fillId="0" borderId="1" xfId="9" applyNumberFormat="1" applyFont="1" applyFill="1" applyBorder="1" applyAlignment="1" applyProtection="1">
      <alignment horizontal="center"/>
    </xf>
    <xf numFmtId="0" fontId="6" fillId="0" borderId="1" xfId="9" applyNumberFormat="1" applyFont="1" applyFill="1" applyBorder="1" applyAlignment="1" applyProtection="1">
      <alignment horizontal="center" wrapText="1"/>
    </xf>
    <xf numFmtId="0" fontId="6" fillId="0" borderId="1" xfId="9" applyNumberFormat="1" applyFont="1" applyFill="1" applyBorder="1" applyAlignment="1" applyProtection="1">
      <alignment horizontal="left" wrapText="1"/>
    </xf>
    <xf numFmtId="0" fontId="7" fillId="0" borderId="1" xfId="9" applyNumberFormat="1" applyFont="1" applyFill="1" applyBorder="1" applyAlignment="1" applyProtection="1">
      <alignment horizontal="left" wrapText="1"/>
    </xf>
    <xf numFmtId="43" fontId="11" fillId="0" borderId="1" xfId="1" applyFont="1" applyBorder="1"/>
    <xf numFmtId="164" fontId="11" fillId="0" borderId="1" xfId="0" applyNumberFormat="1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164" fontId="13" fillId="0" borderId="1" xfId="0" applyNumberFormat="1" applyFont="1" applyBorder="1"/>
    <xf numFmtId="43" fontId="0" fillId="22" borderId="1" xfId="1" applyFont="1" applyFill="1" applyBorder="1"/>
    <xf numFmtId="43" fontId="13" fillId="22" borderId="1" xfId="1" applyFont="1" applyFill="1" applyBorder="1" applyAlignment="1">
      <alignment horizontal="center" vertical="center" wrapText="1"/>
    </xf>
    <xf numFmtId="43" fontId="0" fillId="22" borderId="1" xfId="1" applyFont="1" applyFill="1" applyBorder="1" applyAlignment="1">
      <alignment horizontal="center" vertical="center"/>
    </xf>
    <xf numFmtId="164" fontId="0" fillId="22" borderId="1" xfId="0" applyNumberFormat="1" applyFill="1" applyBorder="1" applyAlignment="1">
      <alignment horizontal="center" vertical="center"/>
    </xf>
    <xf numFmtId="43" fontId="4" fillId="22" borderId="1" xfId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43" fontId="4" fillId="22" borderId="1" xfId="1" applyFont="1" applyFill="1" applyBorder="1"/>
    <xf numFmtId="43" fontId="4" fillId="22" borderId="1" xfId="1" applyFont="1" applyFill="1" applyBorder="1" applyAlignment="1">
      <alignment vertical="center"/>
    </xf>
    <xf numFmtId="43" fontId="0" fillId="22" borderId="0" xfId="1" applyFont="1" applyFill="1"/>
    <xf numFmtId="0" fontId="0" fillId="22" borderId="0" xfId="0" applyFill="1"/>
    <xf numFmtId="164" fontId="2" fillId="0" borderId="1" xfId="0" applyNumberFormat="1" applyFont="1" applyBorder="1"/>
    <xf numFmtId="0" fontId="7" fillId="0" borderId="1" xfId="9" applyNumberFormat="1" applyFont="1" applyFill="1" applyBorder="1" applyAlignment="1" applyProtection="1">
      <alignment horizontal="center"/>
    </xf>
    <xf numFmtId="0" fontId="7" fillId="0" borderId="1" xfId="9" applyNumberFormat="1" applyFont="1" applyFill="1" applyBorder="1" applyAlignment="1" applyProtection="1">
      <alignment horizontal="center" vertical="center"/>
    </xf>
    <xf numFmtId="43" fontId="2" fillId="22" borderId="1" xfId="1" applyFont="1" applyFill="1" applyBorder="1" applyAlignment="1">
      <alignment horizontal="center" vertical="center"/>
    </xf>
    <xf numFmtId="43" fontId="2" fillId="22" borderId="1" xfId="1" applyFont="1" applyFill="1" applyBorder="1"/>
    <xf numFmtId="164" fontId="2" fillId="22" borderId="1" xfId="0" applyNumberFormat="1" applyFont="1" applyFill="1" applyBorder="1" applyAlignment="1">
      <alignment horizontal="center" vertical="center"/>
    </xf>
    <xf numFmtId="0" fontId="53" fillId="7" borderId="1" xfId="0" applyFont="1" applyFill="1" applyBorder="1" applyAlignment="1">
      <alignment vertical="center" wrapText="1"/>
    </xf>
    <xf numFmtId="43" fontId="53" fillId="7" borderId="1" xfId="1" applyFont="1" applyFill="1" applyBorder="1" applyAlignment="1">
      <alignment vertical="center"/>
    </xf>
    <xf numFmtId="43" fontId="16" fillId="7" borderId="1" xfId="1" applyFont="1" applyFill="1" applyBorder="1" applyAlignment="1">
      <alignment horizontal="right" vertical="center"/>
    </xf>
    <xf numFmtId="43" fontId="54" fillId="7" borderId="1" xfId="1" applyFont="1" applyFill="1" applyBorder="1" applyAlignment="1">
      <alignment horizontal="center" vertical="center"/>
    </xf>
    <xf numFmtId="43" fontId="53" fillId="7" borderId="1" xfId="1" applyFont="1" applyFill="1" applyBorder="1" applyAlignment="1">
      <alignment horizontal="right" vertical="center"/>
    </xf>
    <xf numFmtId="43" fontId="17" fillId="22" borderId="1" xfId="1" applyFont="1" applyFill="1" applyBorder="1" applyAlignment="1">
      <alignment horizontal="center" vertical="center"/>
    </xf>
    <xf numFmtId="164" fontId="17" fillId="22" borderId="1" xfId="0" applyNumberFormat="1" applyFont="1" applyFill="1" applyBorder="1" applyAlignment="1">
      <alignment horizontal="center" vertical="center"/>
    </xf>
    <xf numFmtId="43" fontId="17" fillId="22" borderId="1" xfId="1" applyFont="1" applyFill="1" applyBorder="1"/>
    <xf numFmtId="43" fontId="55" fillId="22" borderId="1" xfId="1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56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4" applyFont="1" applyFill="1" applyBorder="1" applyAlignment="1">
      <alignment horizontal="left" vertical="center" wrapText="1"/>
    </xf>
    <xf numFmtId="2" fontId="16" fillId="4" borderId="1" xfId="0" applyNumberFormat="1" applyFont="1" applyFill="1" applyBorder="1" applyAlignment="1">
      <alignment vertical="center" wrapText="1"/>
    </xf>
    <xf numFmtId="43" fontId="56" fillId="4" borderId="1" xfId="1" applyFont="1" applyFill="1" applyBorder="1" applyAlignment="1">
      <alignment horizontal="center" vertical="center" wrapText="1"/>
    </xf>
    <xf numFmtId="43" fontId="16" fillId="4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0" fontId="13" fillId="10" borderId="3" xfId="0" applyFont="1" applyFill="1" applyBorder="1" applyAlignment="1">
      <alignment horizontal="center"/>
    </xf>
    <xf numFmtId="0" fontId="53" fillId="7" borderId="1" xfId="0" applyFont="1" applyFill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0" fontId="41" fillId="0" borderId="3" xfId="0" applyFont="1" applyBorder="1" applyAlignment="1">
      <alignment horizontal="left" vertical="center" wrapText="1"/>
    </xf>
    <xf numFmtId="0" fontId="16" fillId="0" borderId="3" xfId="4" applyFont="1" applyBorder="1" applyAlignment="1">
      <alignment horizontal="left" vertical="center" wrapText="1"/>
    </xf>
    <xf numFmtId="2" fontId="16" fillId="0" borderId="1" xfId="0" applyNumberFormat="1" applyFont="1" applyBorder="1" applyAlignment="1">
      <alignment vertical="center" wrapText="1"/>
    </xf>
    <xf numFmtId="166" fontId="16" fillId="0" borderId="1" xfId="0" applyNumberFormat="1" applyFont="1" applyBorder="1"/>
    <xf numFmtId="0" fontId="16" fillId="0" borderId="1" xfId="0" applyFont="1" applyBorder="1"/>
    <xf numFmtId="43" fontId="55" fillId="22" borderId="1" xfId="1" applyFont="1" applyFill="1" applyBorder="1" applyAlignment="1">
      <alignment horizontal="center" vertical="center"/>
    </xf>
    <xf numFmtId="43" fontId="41" fillId="18" borderId="1" xfId="1" applyFont="1" applyFill="1" applyBorder="1"/>
    <xf numFmtId="0" fontId="0" fillId="23" borderId="1" xfId="0" applyFill="1" applyBorder="1"/>
    <xf numFmtId="0" fontId="0" fillId="12" borderId="1" xfId="0" applyFill="1" applyBorder="1"/>
    <xf numFmtId="0" fontId="2" fillId="12" borderId="1" xfId="0" applyFont="1" applyFill="1" applyBorder="1" applyAlignment="1">
      <alignment horizontal="left" vertical="center"/>
    </xf>
    <xf numFmtId="0" fontId="2" fillId="23" borderId="1" xfId="0" applyFont="1" applyFill="1" applyBorder="1" applyAlignment="1">
      <alignment vertical="center"/>
    </xf>
    <xf numFmtId="0" fontId="58" fillId="23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/>
    </xf>
    <xf numFmtId="0" fontId="2" fillId="0" borderId="0" xfId="0" applyFont="1" applyAlignment="1"/>
    <xf numFmtId="0" fontId="17" fillId="23" borderId="1" xfId="0" applyFont="1" applyFill="1" applyBorder="1"/>
    <xf numFmtId="0" fontId="17" fillId="12" borderId="1" xfId="0" applyFont="1" applyFill="1" applyBorder="1"/>
    <xf numFmtId="1" fontId="6" fillId="0" borderId="1" xfId="0" applyNumberFormat="1" applyFont="1" applyFill="1" applyBorder="1" applyAlignment="1">
      <alignment vertical="center" wrapText="1"/>
    </xf>
    <xf numFmtId="1" fontId="16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167" fontId="6" fillId="0" borderId="1" xfId="0" applyNumberFormat="1" applyFont="1" applyFill="1" applyBorder="1" applyAlignment="1">
      <alignment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17" fillId="12" borderId="1" xfId="0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1" fontId="6" fillId="0" borderId="1" xfId="0" applyNumberFormat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>
      <alignment horizontal="right" vertical="center"/>
    </xf>
    <xf numFmtId="49" fontId="16" fillId="0" borderId="1" xfId="3" applyNumberFormat="1" applyFont="1" applyFill="1" applyBorder="1" applyAlignment="1">
      <alignment horizontal="right" vertical="center"/>
    </xf>
    <xf numFmtId="2" fontId="16" fillId="0" borderId="1" xfId="3" applyNumberFormat="1" applyFont="1" applyFill="1" applyBorder="1" applyAlignment="1">
      <alignment horizontal="right" vertical="center"/>
    </xf>
    <xf numFmtId="17" fontId="0" fillId="12" borderId="1" xfId="0" applyNumberFormat="1" applyFill="1" applyBorder="1" applyAlignment="1">
      <alignment horizontal="left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43" fontId="0" fillId="22" borderId="3" xfId="1" applyFont="1" applyFill="1" applyBorder="1" applyAlignment="1">
      <alignment horizontal="center" vertical="center"/>
    </xf>
    <xf numFmtId="43" fontId="0" fillId="22" borderId="8" xfId="1" applyFont="1" applyFill="1" applyBorder="1" applyAlignment="1">
      <alignment horizontal="center" vertical="center"/>
    </xf>
    <xf numFmtId="43" fontId="0" fillId="22" borderId="4" xfId="1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1" fontId="44" fillId="0" borderId="1" xfId="0" applyNumberFormat="1" applyFont="1" applyBorder="1" applyAlignment="1">
      <alignment horizontal="center" vertical="center" shrinkToFit="1"/>
    </xf>
    <xf numFmtId="49" fontId="33" fillId="0" borderId="12" xfId="0" applyNumberFormat="1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49" fontId="33" fillId="0" borderId="0" xfId="0" applyNumberFormat="1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49" fontId="33" fillId="0" borderId="0" xfId="0" applyNumberFormat="1" applyFont="1" applyAlignment="1">
      <alignment horizontal="center" wrapText="1"/>
    </xf>
    <xf numFmtId="49" fontId="35" fillId="0" borderId="15" xfId="0" applyNumberFormat="1" applyFont="1" applyBorder="1" applyAlignment="1">
      <alignment horizontal="center" vertical="top"/>
    </xf>
    <xf numFmtId="49" fontId="36" fillId="0" borderId="0" xfId="0" applyNumberFormat="1" applyFont="1" applyAlignment="1">
      <alignment horizontal="center"/>
    </xf>
    <xf numFmtId="49" fontId="33" fillId="0" borderId="12" xfId="0" applyNumberFormat="1" applyFont="1" applyBorder="1" applyAlignment="1">
      <alignment horizontal="center" wrapText="1"/>
    </xf>
    <xf numFmtId="49" fontId="33" fillId="0" borderId="0" xfId="0" applyNumberFormat="1" applyFont="1" applyAlignment="1">
      <alignment horizontal="left" vertical="top"/>
    </xf>
    <xf numFmtId="0" fontId="33" fillId="0" borderId="8" xfId="0" applyFont="1" applyBorder="1" applyAlignment="1">
      <alignment horizontal="center"/>
    </xf>
    <xf numFmtId="49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49" fontId="35" fillId="0" borderId="15" xfId="0" applyNumberFormat="1" applyFont="1" applyBorder="1" applyAlignment="1">
      <alignment horizontal="center"/>
    </xf>
    <xf numFmtId="49" fontId="33" fillId="0" borderId="12" xfId="0" applyNumberFormat="1" applyFont="1" applyBorder="1" applyAlignment="1">
      <alignment wrapText="1"/>
    </xf>
    <xf numFmtId="4" fontId="33" fillId="0" borderId="8" xfId="0" applyNumberFormat="1" applyFont="1" applyBorder="1" applyAlignment="1">
      <alignment horizontal="right"/>
    </xf>
    <xf numFmtId="49" fontId="37" fillId="0" borderId="0" xfId="0" applyNumberFormat="1" applyFont="1" applyAlignment="1">
      <alignment horizontal="left" vertical="top" wrapText="1"/>
    </xf>
    <xf numFmtId="49" fontId="37" fillId="0" borderId="15" xfId="0" applyNumberFormat="1" applyFont="1" applyBorder="1" applyAlignment="1">
      <alignment horizontal="left" vertical="top" wrapText="1"/>
    </xf>
    <xf numFmtId="0" fontId="37" fillId="0" borderId="1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left" vertical="center" wrapText="1"/>
    </xf>
    <xf numFmtId="49" fontId="39" fillId="0" borderId="8" xfId="0" applyNumberFormat="1" applyFont="1" applyBorder="1" applyAlignment="1">
      <alignment horizontal="left" vertical="center" wrapText="1"/>
    </xf>
    <xf numFmtId="49" fontId="39" fillId="0" borderId="4" xfId="0" applyNumberFormat="1" applyFont="1" applyBorder="1" applyAlignment="1">
      <alignment horizontal="left" vertical="center" wrapText="1"/>
    </xf>
    <xf numFmtId="49" fontId="40" fillId="0" borderId="3" xfId="0" applyNumberFormat="1" applyFont="1" applyBorder="1" applyAlignment="1">
      <alignment horizontal="left" vertical="center" wrapText="1"/>
    </xf>
    <xf numFmtId="49" fontId="40" fillId="0" borderId="8" xfId="0" applyNumberFormat="1" applyFont="1" applyBorder="1" applyAlignment="1">
      <alignment horizontal="left" vertical="center" wrapText="1"/>
    </xf>
    <xf numFmtId="49" fontId="40" fillId="0" borderId="4" xfId="0" applyNumberFormat="1" applyFont="1" applyBorder="1" applyAlignment="1">
      <alignment horizontal="left" vertical="center" wrapText="1"/>
    </xf>
    <xf numFmtId="49" fontId="40" fillId="0" borderId="15" xfId="0" applyNumberFormat="1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9" xfId="0" applyFont="1" applyBorder="1" applyAlignment="1">
      <alignment horizontal="left" vertical="top" wrapText="1"/>
    </xf>
    <xf numFmtId="49" fontId="37" fillId="0" borderId="9" xfId="0" applyNumberFormat="1" applyFont="1" applyBorder="1" applyAlignment="1">
      <alignment horizontal="left" vertical="top" wrapText="1"/>
    </xf>
    <xf numFmtId="49" fontId="40" fillId="4" borderId="15" xfId="0" applyNumberFormat="1" applyFont="1" applyFill="1" applyBorder="1" applyAlignment="1">
      <alignment horizontal="left" vertical="top" wrapText="1"/>
    </xf>
    <xf numFmtId="49" fontId="37" fillId="18" borderId="0" xfId="0" applyNumberFormat="1" applyFont="1" applyFill="1" applyAlignment="1">
      <alignment horizontal="left" vertical="top" wrapText="1"/>
    </xf>
    <xf numFmtId="49" fontId="37" fillId="18" borderId="9" xfId="0" applyNumberFormat="1" applyFont="1" applyFill="1" applyBorder="1" applyAlignment="1">
      <alignment horizontal="left" vertical="top" wrapText="1"/>
    </xf>
    <xf numFmtId="0" fontId="35" fillId="0" borderId="15" xfId="0" applyFont="1" applyBorder="1" applyAlignment="1">
      <alignment horizontal="center" vertical="top"/>
    </xf>
    <xf numFmtId="49" fontId="40" fillId="0" borderId="0" xfId="0" applyNumberFormat="1" applyFont="1" applyAlignment="1">
      <alignment horizontal="left" vertical="top" wrapText="1"/>
    </xf>
    <xf numFmtId="49" fontId="33" fillId="0" borderId="12" xfId="0" applyNumberFormat="1" applyFont="1" applyBorder="1" applyAlignment="1">
      <alignment vertical="top" wrapText="1"/>
    </xf>
    <xf numFmtId="49" fontId="33" fillId="0" borderId="12" xfId="0" applyNumberFormat="1" applyFont="1" applyBorder="1" applyAlignment="1">
      <alignment horizontal="right" vertical="top" wrapText="1"/>
    </xf>
    <xf numFmtId="49" fontId="49" fillId="0" borderId="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57" fillId="0" borderId="12" xfId="10" applyBorder="1" applyAlignment="1">
      <alignment horizont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43" fontId="56" fillId="0" borderId="6" xfId="1" applyFont="1" applyFill="1" applyBorder="1" applyAlignment="1">
      <alignment horizontal="center" vertical="center" wrapText="1"/>
    </xf>
    <xf numFmtId="43" fontId="56" fillId="0" borderId="2" xfId="1" applyFont="1" applyFill="1" applyBorder="1" applyAlignment="1">
      <alignment horizontal="center" vertical="center" wrapText="1"/>
    </xf>
    <xf numFmtId="43" fontId="56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59" fillId="23" borderId="1" xfId="0" applyFont="1" applyFill="1" applyBorder="1"/>
    <xf numFmtId="0" fontId="59" fillId="12" borderId="1" xfId="0" applyFont="1" applyFill="1" applyBorder="1"/>
    <xf numFmtId="49" fontId="0" fillId="12" borderId="1" xfId="0" applyNumberFormat="1" applyFill="1" applyBorder="1" applyAlignment="1">
      <alignment horizontal="left"/>
    </xf>
    <xf numFmtId="1" fontId="6" fillId="0" borderId="1" xfId="3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center" vertical="center" wrapText="1"/>
    </xf>
    <xf numFmtId="167" fontId="6" fillId="0" borderId="1" xfId="3" applyNumberFormat="1" applyFont="1" applyFill="1" applyBorder="1" applyAlignment="1">
      <alignment horizontal="center" vertical="center"/>
    </xf>
    <xf numFmtId="168" fontId="6" fillId="4" borderId="1" xfId="0" applyNumberFormat="1" applyFont="1" applyFill="1" applyBorder="1" applyAlignment="1">
      <alignment vertical="center" wrapText="1"/>
    </xf>
    <xf numFmtId="168" fontId="6" fillId="0" borderId="1" xfId="0" applyNumberFormat="1" applyFont="1" applyFill="1" applyBorder="1" applyAlignment="1">
      <alignment vertical="center" wrapText="1"/>
    </xf>
    <xf numFmtId="0" fontId="0" fillId="0" borderId="0" xfId="0" applyFill="1"/>
    <xf numFmtId="9" fontId="0" fillId="0" borderId="0" xfId="0" applyNumberFormat="1" applyFill="1"/>
    <xf numFmtId="169" fontId="18" fillId="0" borderId="0" xfId="0" applyNumberFormat="1" applyFont="1" applyFill="1" applyAlignment="1">
      <alignment horizontal="right" vertical="center" wrapText="1"/>
    </xf>
    <xf numFmtId="2" fontId="0" fillId="0" borderId="0" xfId="0" applyNumberFormat="1" applyFill="1"/>
    <xf numFmtId="0" fontId="11" fillId="0" borderId="1" xfId="0" applyFont="1" applyFill="1" applyBorder="1" applyAlignment="1">
      <alignment vertical="center"/>
    </xf>
    <xf numFmtId="1" fontId="6" fillId="24" borderId="1" xfId="0" applyNumberFormat="1" applyFont="1" applyFill="1" applyBorder="1" applyAlignment="1">
      <alignment vertical="center" wrapText="1"/>
    </xf>
  </cellXfs>
  <cellStyles count="11">
    <cellStyle name="Гиперссылка" xfId="10" builtinId="8"/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Обычный_Лист1" xfId="9" xr:uid="{8C913247-F901-4DE7-9366-D810CF20BF28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loud.mail.ru/public/HJdz/HY2X7U2GW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875" t="s">
        <v>5</v>
      </c>
      <c r="B2" s="87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873">
        <f>H33/2</f>
        <v>7942400</v>
      </c>
      <c r="H33" s="873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874"/>
      <c r="H34" s="87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877" t="s">
        <v>117</v>
      </c>
      <c r="B59" s="877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K37"/>
  <sheetViews>
    <sheetView zoomScale="85" zoomScaleNormal="85" zoomScaleSheetLayoutView="85" workbookViewId="0">
      <pane ySplit="2" topLeftCell="A21" activePane="bottomLeft" state="frozen"/>
      <selection pane="bottomLeft" activeCell="E39" sqref="E39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88671875" bestFit="1" customWidth="1"/>
    <col min="5" max="5" width="13.5546875" style="52" bestFit="1" customWidth="1"/>
    <col min="6" max="6" width="16.21875" customWidth="1"/>
    <col min="7" max="7" width="17" customWidth="1"/>
    <col min="8" max="8" width="11.109375" customWidth="1"/>
  </cols>
  <sheetData>
    <row r="1" spans="1:11" ht="28.95" customHeight="1" x14ac:dyDescent="0.3">
      <c r="A1" s="938" t="s">
        <v>226</v>
      </c>
      <c r="B1" s="934" t="s">
        <v>201</v>
      </c>
      <c r="C1" s="940" t="s">
        <v>705</v>
      </c>
      <c r="D1" s="940" t="s">
        <v>202</v>
      </c>
      <c r="E1" s="942" t="s">
        <v>704</v>
      </c>
      <c r="F1" s="938" t="s">
        <v>197</v>
      </c>
      <c r="G1" s="938" t="s">
        <v>199</v>
      </c>
    </row>
    <row r="2" spans="1:11" s="54" customFormat="1" ht="20.7" customHeight="1" x14ac:dyDescent="0.3">
      <c r="A2" s="939"/>
      <c r="B2" s="935"/>
      <c r="C2" s="941"/>
      <c r="D2" s="941"/>
      <c r="E2" s="943"/>
      <c r="F2" s="939"/>
      <c r="G2" s="939"/>
      <c r="I2"/>
      <c r="J2" s="335"/>
    </row>
    <row r="3" spans="1:11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6</v>
      </c>
      <c r="F3" s="144">
        <v>7</v>
      </c>
      <c r="G3" s="144">
        <v>8</v>
      </c>
      <c r="J3" s="335"/>
    </row>
    <row r="4" spans="1:11" ht="12.75" customHeight="1" x14ac:dyDescent="0.3">
      <c r="B4" s="696" t="s">
        <v>207</v>
      </c>
      <c r="C4" s="696"/>
      <c r="D4" s="696"/>
      <c r="E4" s="696"/>
      <c r="F4" s="696"/>
      <c r="G4" s="696"/>
      <c r="J4" s="335"/>
    </row>
    <row r="5" spans="1:11" x14ac:dyDescent="0.3">
      <c r="A5" s="617">
        <v>1</v>
      </c>
      <c r="B5" s="618" t="s">
        <v>161</v>
      </c>
      <c r="C5" s="619" t="s">
        <v>193</v>
      </c>
      <c r="D5" s="619">
        <v>598.14</v>
      </c>
      <c r="E5" s="588">
        <v>979</v>
      </c>
      <c r="F5" s="620">
        <f t="shared" ref="F5:F32" si="0">ROUND(E5*D5,2)</f>
        <v>585579.06000000006</v>
      </c>
      <c r="G5" s="620">
        <f>ROUND(F5*1.2,2)</f>
        <v>702694.87</v>
      </c>
      <c r="J5" s="335"/>
    </row>
    <row r="6" spans="1:11" x14ac:dyDescent="0.3">
      <c r="A6" s="617">
        <f>A5+1</f>
        <v>2</v>
      </c>
      <c r="B6" s="618" t="s">
        <v>179</v>
      </c>
      <c r="C6" s="619" t="s">
        <v>193</v>
      </c>
      <c r="D6" s="629">
        <f>6232.7889+504.9</f>
        <v>6737.6888999999992</v>
      </c>
      <c r="E6" s="620">
        <f>I6/1.2</f>
        <v>4829</v>
      </c>
      <c r="F6" s="620">
        <f t="shared" si="0"/>
        <v>32536299.699999999</v>
      </c>
      <c r="G6" s="620">
        <f t="shared" ref="G6:G30" si="1">ROUND(F6*1.2,2)</f>
        <v>39043559.640000001</v>
      </c>
      <c r="I6">
        <f>4829*1.2</f>
        <v>5794.8</v>
      </c>
      <c r="J6">
        <v>4829</v>
      </c>
      <c r="K6">
        <f>J6/1.2</f>
        <v>4024.166666666667</v>
      </c>
    </row>
    <row r="7" spans="1:11" x14ac:dyDescent="0.3">
      <c r="A7" s="101">
        <f>A6+1</f>
        <v>3</v>
      </c>
      <c r="B7" s="92" t="s">
        <v>180</v>
      </c>
      <c r="C7" s="93" t="s">
        <v>431</v>
      </c>
      <c r="D7" s="370">
        <v>6000</v>
      </c>
      <c r="E7" s="270">
        <v>197.60710410000002</v>
      </c>
      <c r="F7" s="270">
        <f t="shared" si="0"/>
        <v>1185642.6200000001</v>
      </c>
      <c r="G7" s="270">
        <f t="shared" si="1"/>
        <v>1422771.14</v>
      </c>
    </row>
    <row r="8" spans="1:11" x14ac:dyDescent="0.3">
      <c r="A8" s="101"/>
      <c r="B8" s="779"/>
      <c r="C8" s="93"/>
      <c r="D8" s="370"/>
      <c r="E8" s="270"/>
      <c r="F8" s="674">
        <f>SUM(F5:F7)</f>
        <v>34307521.379999995</v>
      </c>
      <c r="G8" s="674">
        <f>SUM(G5:G7)</f>
        <v>41169025.649999999</v>
      </c>
    </row>
    <row r="9" spans="1:11" x14ac:dyDescent="0.3">
      <c r="A9" s="101"/>
      <c r="B9" s="696" t="s">
        <v>413</v>
      </c>
      <c r="C9" s="696"/>
      <c r="D9" s="696"/>
      <c r="E9" s="696"/>
      <c r="F9" s="696"/>
      <c r="G9" s="696"/>
    </row>
    <row r="10" spans="1:11" x14ac:dyDescent="0.3">
      <c r="A10" s="101">
        <f>A7+1</f>
        <v>4</v>
      </c>
      <c r="B10" s="92" t="s">
        <v>181</v>
      </c>
      <c r="C10" s="93" t="s">
        <v>194</v>
      </c>
      <c r="D10" s="270">
        <v>36</v>
      </c>
      <c r="E10" s="270">
        <v>17720.587500000001</v>
      </c>
      <c r="F10" s="270">
        <f t="shared" si="0"/>
        <v>637941.15</v>
      </c>
      <c r="G10" s="270">
        <f t="shared" si="1"/>
        <v>765529.38</v>
      </c>
      <c r="H10" s="202"/>
      <c r="I10" s="371"/>
    </row>
    <row r="11" spans="1:11" ht="27.6" x14ac:dyDescent="0.3">
      <c r="A11" s="101">
        <f>A10+1</f>
        <v>5</v>
      </c>
      <c r="B11" s="92" t="s">
        <v>182</v>
      </c>
      <c r="C11" s="93" t="s">
        <v>194</v>
      </c>
      <c r="D11" s="370">
        <v>1211</v>
      </c>
      <c r="E11" s="270">
        <v>34058.973170186997</v>
      </c>
      <c r="F11" s="270">
        <f t="shared" si="0"/>
        <v>41245416.509999998</v>
      </c>
      <c r="G11" s="270">
        <f t="shared" si="1"/>
        <v>49494499.810000002</v>
      </c>
      <c r="H11" s="930"/>
    </row>
    <row r="12" spans="1:11" ht="27.6" x14ac:dyDescent="0.3">
      <c r="A12" s="101">
        <f t="shared" ref="A12:A32" si="2">A11+1</f>
        <v>6</v>
      </c>
      <c r="B12" s="92" t="s">
        <v>183</v>
      </c>
      <c r="C12" s="93" t="s">
        <v>194</v>
      </c>
      <c r="D12" s="370">
        <v>688</v>
      </c>
      <c r="E12" s="270">
        <v>38453.670879812998</v>
      </c>
      <c r="F12" s="270">
        <f t="shared" si="0"/>
        <v>26456125.57</v>
      </c>
      <c r="G12" s="270">
        <f t="shared" si="1"/>
        <v>31747350.68</v>
      </c>
      <c r="H12" s="930"/>
    </row>
    <row r="13" spans="1:11" x14ac:dyDescent="0.3">
      <c r="A13" s="101">
        <f t="shared" si="2"/>
        <v>7</v>
      </c>
      <c r="B13" s="92" t="s">
        <v>706</v>
      </c>
      <c r="C13" s="93" t="s">
        <v>178</v>
      </c>
      <c r="D13" s="370">
        <f>620*6</f>
        <v>3720</v>
      </c>
      <c r="E13" s="270">
        <v>214.79929589999998</v>
      </c>
      <c r="F13" s="270">
        <f t="shared" si="0"/>
        <v>799053.38</v>
      </c>
      <c r="G13" s="270">
        <f t="shared" si="1"/>
        <v>958864.06</v>
      </c>
    </row>
    <row r="14" spans="1:11" x14ac:dyDescent="0.3">
      <c r="A14" s="101">
        <f t="shared" si="2"/>
        <v>8</v>
      </c>
      <c r="B14" s="92" t="s">
        <v>707</v>
      </c>
      <c r="C14" s="93" t="s">
        <v>178</v>
      </c>
      <c r="D14" s="370">
        <v>620</v>
      </c>
      <c r="E14" s="270">
        <v>6273.0879750000004</v>
      </c>
      <c r="F14" s="270">
        <f t="shared" si="0"/>
        <v>3889314.54</v>
      </c>
      <c r="G14" s="270">
        <f t="shared" si="1"/>
        <v>4667177.45</v>
      </c>
      <c r="H14" s="202"/>
    </row>
    <row r="15" spans="1:11" ht="27.6" x14ac:dyDescent="0.3">
      <c r="A15" s="101">
        <f t="shared" si="2"/>
        <v>9</v>
      </c>
      <c r="B15" s="92" t="s">
        <v>184</v>
      </c>
      <c r="C15" s="93" t="s">
        <v>194</v>
      </c>
      <c r="D15" s="1029">
        <f>6*12.5/2</f>
        <v>37.5</v>
      </c>
      <c r="E15" s="270">
        <v>32960.292750000001</v>
      </c>
      <c r="F15" s="270">
        <f t="shared" si="0"/>
        <v>1236010.98</v>
      </c>
      <c r="G15" s="270">
        <f t="shared" si="1"/>
        <v>1483213.18</v>
      </c>
      <c r="H15" s="238"/>
    </row>
    <row r="16" spans="1:11" ht="27.6" x14ac:dyDescent="0.3">
      <c r="A16" s="101">
        <f t="shared" si="2"/>
        <v>10</v>
      </c>
      <c r="B16" s="92" t="s">
        <v>184</v>
      </c>
      <c r="C16" s="93" t="s">
        <v>194</v>
      </c>
      <c r="D16" s="1029">
        <f>6*12.5/2</f>
        <v>37.5</v>
      </c>
      <c r="E16" s="270">
        <v>32960.292750000001</v>
      </c>
      <c r="F16" s="270">
        <f t="shared" si="0"/>
        <v>1236010.98</v>
      </c>
      <c r="G16" s="270">
        <f t="shared" ref="G16:G17" si="3">ROUND(F16*1.2,2)</f>
        <v>1483213.18</v>
      </c>
      <c r="H16" s="203" t="s">
        <v>1324</v>
      </c>
    </row>
    <row r="17" spans="1:8" ht="27.6" x14ac:dyDescent="0.3">
      <c r="A17" s="101">
        <f t="shared" si="2"/>
        <v>11</v>
      </c>
      <c r="B17" s="92" t="s">
        <v>183</v>
      </c>
      <c r="C17" s="93" t="s">
        <v>194</v>
      </c>
      <c r="D17" s="370">
        <v>25</v>
      </c>
      <c r="E17" s="270">
        <v>38453.670879812998</v>
      </c>
      <c r="F17" s="270">
        <f t="shared" si="0"/>
        <v>961341.77</v>
      </c>
      <c r="G17" s="270">
        <f t="shared" si="3"/>
        <v>1153610.1200000001</v>
      </c>
      <c r="H17" s="203" t="s">
        <v>1327</v>
      </c>
    </row>
    <row r="18" spans="1:8" x14ac:dyDescent="0.3">
      <c r="A18" s="101">
        <f>A15+1</f>
        <v>10</v>
      </c>
      <c r="B18" s="92" t="s">
        <v>708</v>
      </c>
      <c r="C18" s="93" t="s">
        <v>178</v>
      </c>
      <c r="D18" s="1029">
        <f>14*6</f>
        <v>84</v>
      </c>
      <c r="E18" s="270">
        <v>154.6524</v>
      </c>
      <c r="F18" s="270">
        <f t="shared" si="0"/>
        <v>12990.8</v>
      </c>
      <c r="G18" s="270">
        <f t="shared" si="1"/>
        <v>15588.96</v>
      </c>
      <c r="H18" s="930"/>
    </row>
    <row r="19" spans="1:8" x14ac:dyDescent="0.3">
      <c r="A19" s="101">
        <f t="shared" si="2"/>
        <v>11</v>
      </c>
      <c r="B19" s="92" t="s">
        <v>709</v>
      </c>
      <c r="C19" s="93" t="s">
        <v>178</v>
      </c>
      <c r="D19" s="1029">
        <v>14</v>
      </c>
      <c r="E19" s="270">
        <v>6209.7191541000002</v>
      </c>
      <c r="F19" s="270">
        <f t="shared" si="0"/>
        <v>86936.07</v>
      </c>
      <c r="G19" s="270">
        <f t="shared" si="1"/>
        <v>104323.28</v>
      </c>
      <c r="H19" s="930"/>
    </row>
    <row r="20" spans="1:8" ht="27.6" x14ac:dyDescent="0.3">
      <c r="A20" s="101">
        <f t="shared" si="2"/>
        <v>12</v>
      </c>
      <c r="B20" s="92" t="s">
        <v>185</v>
      </c>
      <c r="C20" s="93" t="s">
        <v>195</v>
      </c>
      <c r="D20" s="370">
        <v>1</v>
      </c>
      <c r="E20" s="270">
        <v>1610962.5</v>
      </c>
      <c r="F20" s="270">
        <f t="shared" si="0"/>
        <v>1610962.5</v>
      </c>
      <c r="G20" s="270">
        <f t="shared" si="1"/>
        <v>1933155</v>
      </c>
    </row>
    <row r="21" spans="1:8" x14ac:dyDescent="0.3">
      <c r="A21" s="101">
        <f t="shared" si="2"/>
        <v>13</v>
      </c>
      <c r="B21" s="92" t="s">
        <v>1247</v>
      </c>
      <c r="C21" s="93" t="s">
        <v>178</v>
      </c>
      <c r="D21" s="370">
        <v>31</v>
      </c>
      <c r="E21" s="270">
        <v>0</v>
      </c>
      <c r="F21" s="270">
        <f t="shared" si="0"/>
        <v>0</v>
      </c>
      <c r="G21" s="270">
        <f t="shared" ref="G21:G22" si="4">ROUND(F21*1.2,2)</f>
        <v>0</v>
      </c>
      <c r="H21" s="930" t="s">
        <v>1616</v>
      </c>
    </row>
    <row r="22" spans="1:8" x14ac:dyDescent="0.3">
      <c r="A22" s="101">
        <f t="shared" si="2"/>
        <v>14</v>
      </c>
      <c r="B22" s="92" t="s">
        <v>1248</v>
      </c>
      <c r="C22" s="93" t="s">
        <v>178</v>
      </c>
      <c r="D22" s="370">
        <v>89</v>
      </c>
      <c r="E22" s="270">
        <v>0</v>
      </c>
      <c r="F22" s="270">
        <f t="shared" si="0"/>
        <v>0</v>
      </c>
      <c r="G22" s="270">
        <f t="shared" si="4"/>
        <v>0</v>
      </c>
      <c r="H22" s="930"/>
    </row>
    <row r="23" spans="1:8" s="57" customFormat="1" ht="27.6" x14ac:dyDescent="0.3">
      <c r="A23" s="101">
        <f t="shared" si="2"/>
        <v>15</v>
      </c>
      <c r="B23" s="92" t="s">
        <v>186</v>
      </c>
      <c r="C23" s="93" t="s">
        <v>195</v>
      </c>
      <c r="D23" s="370">
        <v>2</v>
      </c>
      <c r="E23" s="270">
        <v>5163779.1935048141</v>
      </c>
      <c r="F23" s="270">
        <f t="shared" si="0"/>
        <v>10327558.390000001</v>
      </c>
      <c r="G23" s="270">
        <f t="shared" si="1"/>
        <v>12393070.07</v>
      </c>
      <c r="H23" s="266"/>
    </row>
    <row r="24" spans="1:8" s="57" customFormat="1" ht="27.6" x14ac:dyDescent="0.3">
      <c r="A24" s="101">
        <f t="shared" si="2"/>
        <v>16</v>
      </c>
      <c r="B24" s="92" t="s">
        <v>187</v>
      </c>
      <c r="C24" s="93" t="s">
        <v>195</v>
      </c>
      <c r="D24" s="370">
        <v>1</v>
      </c>
      <c r="E24" s="270">
        <v>5163779.1935048141</v>
      </c>
      <c r="F24" s="270">
        <f t="shared" si="0"/>
        <v>5163779.1900000004</v>
      </c>
      <c r="G24" s="270">
        <f t="shared" si="1"/>
        <v>6196535.0300000003</v>
      </c>
      <c r="H24" s="266"/>
    </row>
    <row r="25" spans="1:8" s="57" customFormat="1" ht="27.6" x14ac:dyDescent="0.3">
      <c r="A25" s="101">
        <f t="shared" si="2"/>
        <v>17</v>
      </c>
      <c r="B25" s="92" t="s">
        <v>189</v>
      </c>
      <c r="C25" s="93" t="s">
        <v>195</v>
      </c>
      <c r="D25" s="370">
        <v>2</v>
      </c>
      <c r="E25" s="270">
        <v>4174970.4110048139</v>
      </c>
      <c r="F25" s="270">
        <f t="shared" si="0"/>
        <v>8349940.8200000003</v>
      </c>
      <c r="G25" s="270">
        <f t="shared" si="1"/>
        <v>10019928.98</v>
      </c>
      <c r="H25" s="266"/>
    </row>
    <row r="26" spans="1:8" s="57" customFormat="1" ht="27.6" x14ac:dyDescent="0.3">
      <c r="A26" s="101">
        <f t="shared" si="2"/>
        <v>18</v>
      </c>
      <c r="B26" s="92" t="s">
        <v>188</v>
      </c>
      <c r="C26" s="93" t="s">
        <v>195</v>
      </c>
      <c r="D26" s="370">
        <v>1</v>
      </c>
      <c r="E26" s="270">
        <v>4174970.4110048139</v>
      </c>
      <c r="F26" s="270">
        <f t="shared" si="0"/>
        <v>4174970.41</v>
      </c>
      <c r="G26" s="270">
        <f t="shared" si="1"/>
        <v>5009964.49</v>
      </c>
      <c r="H26" s="266"/>
    </row>
    <row r="27" spans="1:8" s="57" customFormat="1" ht="27.6" x14ac:dyDescent="0.3">
      <c r="A27" s="101">
        <f t="shared" si="2"/>
        <v>19</v>
      </c>
      <c r="B27" s="92" t="s">
        <v>190</v>
      </c>
      <c r="C27" s="93" t="s">
        <v>195</v>
      </c>
      <c r="D27" s="370">
        <v>3</v>
      </c>
      <c r="E27" s="270">
        <v>2911492.5302451868</v>
      </c>
      <c r="F27" s="270">
        <f t="shared" si="0"/>
        <v>8734477.5899999999</v>
      </c>
      <c r="G27" s="270">
        <f t="shared" si="1"/>
        <v>10481373.109999999</v>
      </c>
    </row>
    <row r="28" spans="1:8" s="57" customFormat="1" ht="19.5" customHeight="1" x14ac:dyDescent="0.3">
      <c r="A28" s="101">
        <f t="shared" si="2"/>
        <v>20</v>
      </c>
      <c r="B28" s="92" t="s">
        <v>1322</v>
      </c>
      <c r="C28" s="93" t="s">
        <v>178</v>
      </c>
      <c r="D28" s="370">
        <v>9</v>
      </c>
      <c r="E28" s="270">
        <v>64425.612300000008</v>
      </c>
      <c r="F28" s="270">
        <f t="shared" si="0"/>
        <v>579830.51</v>
      </c>
      <c r="G28" s="270">
        <f t="shared" si="1"/>
        <v>695796.61</v>
      </c>
      <c r="H28" s="257" t="s">
        <v>1323</v>
      </c>
    </row>
    <row r="29" spans="1:8" x14ac:dyDescent="0.3">
      <c r="A29" s="101">
        <f t="shared" si="2"/>
        <v>21</v>
      </c>
      <c r="B29" s="92" t="s">
        <v>191</v>
      </c>
      <c r="C29" s="93" t="s">
        <v>178</v>
      </c>
      <c r="D29" s="370">
        <v>3</v>
      </c>
      <c r="E29" s="270">
        <v>165392.14570410002</v>
      </c>
      <c r="F29" s="270">
        <f t="shared" si="0"/>
        <v>496176.44</v>
      </c>
      <c r="G29" s="270">
        <f t="shared" si="1"/>
        <v>595411.73</v>
      </c>
    </row>
    <row r="30" spans="1:8" x14ac:dyDescent="0.3">
      <c r="A30" s="101">
        <f t="shared" si="2"/>
        <v>22</v>
      </c>
      <c r="B30" s="92" t="s">
        <v>192</v>
      </c>
      <c r="C30" s="93" t="s">
        <v>178</v>
      </c>
      <c r="D30" s="370">
        <v>1</v>
      </c>
      <c r="E30" s="270">
        <v>85918.004295899998</v>
      </c>
      <c r="F30" s="270">
        <f t="shared" si="0"/>
        <v>85918</v>
      </c>
      <c r="G30" s="270">
        <f t="shared" si="1"/>
        <v>103101.6</v>
      </c>
    </row>
    <row r="31" spans="1:8" x14ac:dyDescent="0.3">
      <c r="A31" s="617">
        <f t="shared" si="2"/>
        <v>23</v>
      </c>
      <c r="B31" s="618" t="s">
        <v>731</v>
      </c>
      <c r="C31" s="619" t="s">
        <v>193</v>
      </c>
      <c r="D31" s="633">
        <v>80</v>
      </c>
      <c r="E31" s="620">
        <f>1045*1.2</f>
        <v>1254</v>
      </c>
      <c r="F31" s="620">
        <f t="shared" si="0"/>
        <v>100320</v>
      </c>
      <c r="G31" s="620">
        <f t="shared" ref="G31" si="5">ROUND(F31*1.2,2)</f>
        <v>120384</v>
      </c>
    </row>
    <row r="32" spans="1:8" x14ac:dyDescent="0.3">
      <c r="A32" s="101">
        <f t="shared" si="2"/>
        <v>24</v>
      </c>
      <c r="B32" s="92" t="s">
        <v>719</v>
      </c>
      <c r="C32" s="93" t="s">
        <v>732</v>
      </c>
      <c r="D32" s="370">
        <v>1</v>
      </c>
      <c r="E32" s="270">
        <v>425294.10000000003</v>
      </c>
      <c r="F32" s="270">
        <f t="shared" si="0"/>
        <v>425294.1</v>
      </c>
      <c r="G32" s="270">
        <f t="shared" ref="G32" si="6">ROUND(F32*1.2,2)</f>
        <v>510352.92</v>
      </c>
    </row>
    <row r="33" spans="1:7" x14ac:dyDescent="0.3">
      <c r="A33" s="101"/>
      <c r="B33" s="697"/>
      <c r="C33" s="698"/>
      <c r="D33" s="699"/>
      <c r="E33" s="700"/>
      <c r="F33" s="674">
        <f>SUM(F10:F32)</f>
        <v>116610369.69999997</v>
      </c>
      <c r="G33" s="674">
        <f>SUM(G10:G32)</f>
        <v>139932443.64000002</v>
      </c>
    </row>
    <row r="34" spans="1:7" s="1" customFormat="1" x14ac:dyDescent="0.3">
      <c r="A34" s="91"/>
      <c r="B34" s="931" t="s">
        <v>721</v>
      </c>
      <c r="C34" s="932"/>
      <c r="D34" s="932"/>
      <c r="E34" s="933"/>
      <c r="F34" s="106">
        <f>F33+F8</f>
        <v>150917891.07999998</v>
      </c>
      <c r="G34" s="106">
        <f>G33+G8</f>
        <v>181101469.29000002</v>
      </c>
    </row>
    <row r="37" spans="1:7" x14ac:dyDescent="0.3">
      <c r="B37" s="56"/>
      <c r="G37" s="26"/>
    </row>
  </sheetData>
  <mergeCells count="11">
    <mergeCell ref="H18:H19"/>
    <mergeCell ref="H11:H12"/>
    <mergeCell ref="B34:E34"/>
    <mergeCell ref="A1:A2"/>
    <mergeCell ref="B1:B2"/>
    <mergeCell ref="C1:C2"/>
    <mergeCell ref="D1:D2"/>
    <mergeCell ref="H21:H22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J398"/>
  <sheetViews>
    <sheetView zoomScaleNormal="100" zoomScaleSheetLayoutView="80" workbookViewId="0">
      <selection activeCell="D42" sqref="D41:D42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0" width="10.6640625" bestFit="1" customWidth="1"/>
  </cols>
  <sheetData>
    <row r="1" spans="1:10" x14ac:dyDescent="0.3">
      <c r="A1" s="888" t="s">
        <v>226</v>
      </c>
      <c r="B1" s="954" t="s">
        <v>201</v>
      </c>
      <c r="C1" s="954" t="s">
        <v>230</v>
      </c>
      <c r="D1" s="954" t="s">
        <v>202</v>
      </c>
      <c r="E1" s="947" t="s">
        <v>441</v>
      </c>
      <c r="F1" s="947" t="s">
        <v>433</v>
      </c>
      <c r="G1" s="949" t="s">
        <v>409</v>
      </c>
    </row>
    <row r="2" spans="1:10" ht="56.4" customHeight="1" x14ac:dyDescent="0.3">
      <c r="A2" s="888"/>
      <c r="B2" s="954"/>
      <c r="C2" s="954"/>
      <c r="D2" s="954"/>
      <c r="E2" s="948"/>
      <c r="F2" s="948"/>
      <c r="G2" s="950"/>
      <c r="J2" s="335"/>
    </row>
    <row r="3" spans="1:10" ht="17.2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5"/>
    </row>
    <row r="4" spans="1:10" ht="27.6" x14ac:dyDescent="0.3">
      <c r="A4" s="149"/>
      <c r="B4" s="168" t="s">
        <v>550</v>
      </c>
      <c r="C4" s="157"/>
      <c r="D4" s="157"/>
      <c r="E4" s="157"/>
      <c r="F4" s="157"/>
      <c r="G4" s="157"/>
      <c r="J4" s="335"/>
    </row>
    <row r="5" spans="1:10" ht="18" customHeight="1" x14ac:dyDescent="0.3">
      <c r="A5" s="147"/>
      <c r="B5" s="85" t="s">
        <v>513</v>
      </c>
      <c r="C5" s="155"/>
      <c r="D5" s="155"/>
      <c r="E5" s="158"/>
      <c r="F5" s="86"/>
      <c r="G5" s="164"/>
    </row>
    <row r="6" spans="1:10" s="57" customFormat="1" ht="20.25" customHeight="1" x14ac:dyDescent="0.3">
      <c r="A6" s="87">
        <v>1</v>
      </c>
      <c r="B6" s="233" t="s">
        <v>641</v>
      </c>
      <c r="C6" s="104" t="s">
        <v>193</v>
      </c>
      <c r="D6" s="159">
        <v>160</v>
      </c>
      <c r="E6" s="166">
        <v>464.82929999999999</v>
      </c>
      <c r="F6" s="99">
        <f t="shared" ref="F6:F16" si="0">ROUND(E6*D6,2)</f>
        <v>74372.69</v>
      </c>
      <c r="G6" s="99">
        <f>ROUND(F6*1.2,2)</f>
        <v>89247.23</v>
      </c>
    </row>
    <row r="7" spans="1:10" s="57" customFormat="1" ht="27.6" x14ac:dyDescent="0.3">
      <c r="A7" s="87">
        <f>A6+1</f>
        <v>2</v>
      </c>
      <c r="B7" s="233" t="s">
        <v>642</v>
      </c>
      <c r="C7" s="87" t="s">
        <v>193</v>
      </c>
      <c r="D7" s="148">
        <v>92</v>
      </c>
      <c r="E7" s="166">
        <v>2881.94166</v>
      </c>
      <c r="F7" s="99">
        <f t="shared" si="0"/>
        <v>265138.63</v>
      </c>
      <c r="G7" s="99">
        <f t="shared" ref="G7:G36" si="1">ROUND(F7*1.2,2)</f>
        <v>318166.36</v>
      </c>
    </row>
    <row r="8" spans="1:10" s="57" customFormat="1" ht="15.6" x14ac:dyDescent="0.3">
      <c r="A8" s="87">
        <f>A7+1</f>
        <v>3</v>
      </c>
      <c r="B8" s="233" t="s">
        <v>515</v>
      </c>
      <c r="C8" s="87" t="s">
        <v>193</v>
      </c>
      <c r="D8" s="148">
        <v>5</v>
      </c>
      <c r="E8" s="166">
        <v>2541.5435879999995</v>
      </c>
      <c r="F8" s="99">
        <f t="shared" si="0"/>
        <v>12707.72</v>
      </c>
      <c r="G8" s="99">
        <f t="shared" si="1"/>
        <v>15249.26</v>
      </c>
    </row>
    <row r="9" spans="1:10" s="57" customFormat="1" ht="15.6" x14ac:dyDescent="0.3">
      <c r="A9" s="87">
        <f t="shared" ref="A9:A16" si="2">A8+1</f>
        <v>4</v>
      </c>
      <c r="B9" s="233" t="s">
        <v>521</v>
      </c>
      <c r="C9" s="87" t="s">
        <v>193</v>
      </c>
      <c r="D9" s="148">
        <v>3</v>
      </c>
      <c r="E9" s="166">
        <v>1972.306476</v>
      </c>
      <c r="F9" s="99">
        <f t="shared" si="0"/>
        <v>5916.92</v>
      </c>
      <c r="G9" s="99">
        <f t="shared" si="1"/>
        <v>7100.3</v>
      </c>
    </row>
    <row r="10" spans="1:10" s="57" customFormat="1" ht="15.6" x14ac:dyDescent="0.3">
      <c r="A10" s="87">
        <f t="shared" si="2"/>
        <v>5</v>
      </c>
      <c r="B10" s="233" t="s">
        <v>522</v>
      </c>
      <c r="C10" s="87" t="s">
        <v>193</v>
      </c>
      <c r="D10" s="148">
        <v>10</v>
      </c>
      <c r="E10" s="166">
        <v>1972.306476</v>
      </c>
      <c r="F10" s="99">
        <f t="shared" si="0"/>
        <v>19723.060000000001</v>
      </c>
      <c r="G10" s="99">
        <f t="shared" si="1"/>
        <v>23667.67</v>
      </c>
    </row>
    <row r="11" spans="1:10" s="57" customFormat="1" ht="15.6" x14ac:dyDescent="0.3">
      <c r="A11" s="87">
        <f t="shared" si="2"/>
        <v>6</v>
      </c>
      <c r="B11" s="233" t="s">
        <v>516</v>
      </c>
      <c r="C11" s="87" t="s">
        <v>193</v>
      </c>
      <c r="D11" s="148">
        <v>231</v>
      </c>
      <c r="E11" s="166">
        <v>178.78050000000002</v>
      </c>
      <c r="F11" s="99">
        <f t="shared" si="0"/>
        <v>41298.300000000003</v>
      </c>
      <c r="G11" s="99">
        <f t="shared" si="1"/>
        <v>49557.96</v>
      </c>
    </row>
    <row r="12" spans="1:10" s="57" customFormat="1" ht="15.6" x14ac:dyDescent="0.3">
      <c r="A12" s="87">
        <f t="shared" si="2"/>
        <v>7</v>
      </c>
      <c r="B12" s="233" t="s">
        <v>643</v>
      </c>
      <c r="C12" s="87" t="s">
        <v>193</v>
      </c>
      <c r="D12" s="148">
        <v>12</v>
      </c>
      <c r="E12" s="166">
        <v>1285.789356</v>
      </c>
      <c r="F12" s="99">
        <f t="shared" si="0"/>
        <v>15429.47</v>
      </c>
      <c r="G12" s="99">
        <f t="shared" si="1"/>
        <v>18515.36</v>
      </c>
    </row>
    <row r="13" spans="1:10" s="57" customFormat="1" ht="15.6" x14ac:dyDescent="0.3">
      <c r="A13" s="87">
        <f t="shared" si="2"/>
        <v>8</v>
      </c>
      <c r="B13" s="233" t="s">
        <v>451</v>
      </c>
      <c r="C13" s="87" t="s">
        <v>193</v>
      </c>
      <c r="D13" s="148">
        <v>231</v>
      </c>
      <c r="E13" s="166">
        <v>283.188312</v>
      </c>
      <c r="F13" s="99">
        <f t="shared" si="0"/>
        <v>65416.5</v>
      </c>
      <c r="G13" s="99">
        <f t="shared" si="1"/>
        <v>78499.8</v>
      </c>
    </row>
    <row r="14" spans="1:10" s="57" customFormat="1" ht="15.6" x14ac:dyDescent="0.3">
      <c r="A14" s="87">
        <f t="shared" si="2"/>
        <v>9</v>
      </c>
      <c r="B14" s="233" t="s">
        <v>644</v>
      </c>
      <c r="C14" s="87" t="s">
        <v>431</v>
      </c>
      <c r="D14" s="148">
        <v>640</v>
      </c>
      <c r="E14" s="166">
        <v>178.78050000000002</v>
      </c>
      <c r="F14" s="99">
        <f t="shared" si="0"/>
        <v>114419.52</v>
      </c>
      <c r="G14" s="99">
        <f t="shared" si="1"/>
        <v>137303.42000000001</v>
      </c>
    </row>
    <row r="15" spans="1:10" s="57" customFormat="1" ht="15.6" x14ac:dyDescent="0.3">
      <c r="A15" s="87">
        <f t="shared" si="2"/>
        <v>10</v>
      </c>
      <c r="B15" s="233" t="s">
        <v>518</v>
      </c>
      <c r="C15" s="87" t="s">
        <v>239</v>
      </c>
      <c r="D15" s="218">
        <v>22.4</v>
      </c>
      <c r="E15" s="166">
        <v>464.82929999999999</v>
      </c>
      <c r="F15" s="99">
        <f t="shared" si="0"/>
        <v>10412.18</v>
      </c>
      <c r="G15" s="99">
        <f t="shared" si="1"/>
        <v>12494.62</v>
      </c>
    </row>
    <row r="16" spans="1:10" s="57" customFormat="1" ht="15.6" x14ac:dyDescent="0.3">
      <c r="A16" s="507">
        <f t="shared" si="2"/>
        <v>11</v>
      </c>
      <c r="B16" s="508" t="s">
        <v>503</v>
      </c>
      <c r="C16" s="507" t="s">
        <v>193</v>
      </c>
      <c r="D16" s="518">
        <f>22.4/1.6</f>
        <v>13.999999999999998</v>
      </c>
      <c r="E16" s="510">
        <v>1350</v>
      </c>
      <c r="F16" s="511">
        <f t="shared" si="0"/>
        <v>18900</v>
      </c>
      <c r="G16" s="511">
        <f t="shared" si="1"/>
        <v>22680</v>
      </c>
      <c r="J16" s="519"/>
    </row>
    <row r="17" spans="1:7" s="57" customFormat="1" ht="15.6" x14ac:dyDescent="0.3">
      <c r="A17" s="87"/>
      <c r="B17" s="85" t="s">
        <v>523</v>
      </c>
      <c r="C17" s="87"/>
      <c r="D17" s="148"/>
      <c r="E17" s="166">
        <v>0</v>
      </c>
      <c r="F17" s="99"/>
      <c r="G17" s="99"/>
    </row>
    <row r="18" spans="1:7" s="57" customFormat="1" ht="27.6" x14ac:dyDescent="0.3">
      <c r="A18" s="87">
        <f>A16+1</f>
        <v>12</v>
      </c>
      <c r="B18" s="233" t="s">
        <v>645</v>
      </c>
      <c r="C18" s="87" t="s">
        <v>194</v>
      </c>
      <c r="D18" s="148">
        <v>35</v>
      </c>
      <c r="E18" s="166">
        <v>1454.5581479999998</v>
      </c>
      <c r="F18" s="99">
        <f t="shared" ref="F18:F35" si="3">ROUND(E18*D18,2)</f>
        <v>50909.54</v>
      </c>
      <c r="G18" s="99">
        <f t="shared" si="1"/>
        <v>61091.45</v>
      </c>
    </row>
    <row r="19" spans="1:7" s="57" customFormat="1" ht="27.6" x14ac:dyDescent="0.3">
      <c r="A19" s="87">
        <f>A18+1</f>
        <v>13</v>
      </c>
      <c r="B19" s="233" t="s">
        <v>646</v>
      </c>
      <c r="C19" s="87" t="s">
        <v>194</v>
      </c>
      <c r="D19" s="148">
        <v>3</v>
      </c>
      <c r="E19" s="166">
        <v>1041.2176320000001</v>
      </c>
      <c r="F19" s="99">
        <f t="shared" si="3"/>
        <v>3123.65</v>
      </c>
      <c r="G19" s="99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647</v>
      </c>
      <c r="C20" s="66" t="s">
        <v>194</v>
      </c>
      <c r="D20" s="148">
        <v>6</v>
      </c>
      <c r="E20" s="166">
        <v>2118.1913639999998</v>
      </c>
      <c r="F20" s="94">
        <f t="shared" si="3"/>
        <v>12709.15</v>
      </c>
      <c r="G20" s="94">
        <f t="shared" si="1"/>
        <v>15250.98</v>
      </c>
    </row>
    <row r="21" spans="1:7" ht="15.6" x14ac:dyDescent="0.3">
      <c r="A21" s="87">
        <f t="shared" si="4"/>
        <v>15</v>
      </c>
      <c r="B21" s="67" t="s">
        <v>648</v>
      </c>
      <c r="C21" s="66" t="s">
        <v>194</v>
      </c>
      <c r="D21" s="71">
        <v>6</v>
      </c>
      <c r="E21" s="166">
        <v>1577.5591319999999</v>
      </c>
      <c r="F21" s="94">
        <f t="shared" si="3"/>
        <v>9465.35</v>
      </c>
      <c r="G21" s="94">
        <f t="shared" si="1"/>
        <v>11358.42</v>
      </c>
    </row>
    <row r="22" spans="1:7" ht="15.6" x14ac:dyDescent="0.3">
      <c r="A22" s="87">
        <f t="shared" si="4"/>
        <v>16</v>
      </c>
      <c r="B22" s="67" t="s">
        <v>649</v>
      </c>
      <c r="C22" s="66" t="s">
        <v>650</v>
      </c>
      <c r="D22" s="71">
        <v>1</v>
      </c>
      <c r="E22" s="166">
        <v>4691.2003200000008</v>
      </c>
      <c r="F22" s="94">
        <f t="shared" si="3"/>
        <v>4691.2</v>
      </c>
      <c r="G22" s="94">
        <f t="shared" si="1"/>
        <v>5629.44</v>
      </c>
    </row>
    <row r="23" spans="1:7" ht="41.4" x14ac:dyDescent="0.3">
      <c r="A23" s="87">
        <f t="shared" si="4"/>
        <v>17</v>
      </c>
      <c r="B23" s="67" t="s">
        <v>651</v>
      </c>
      <c r="C23" s="66" t="s">
        <v>220</v>
      </c>
      <c r="D23" s="71">
        <v>2</v>
      </c>
      <c r="E23" s="166">
        <v>3518.4002399999999</v>
      </c>
      <c r="F23" s="94">
        <f t="shared" si="3"/>
        <v>7036.8</v>
      </c>
      <c r="G23" s="94">
        <f t="shared" si="1"/>
        <v>8444.16</v>
      </c>
    </row>
    <row r="24" spans="1:7" ht="15.6" x14ac:dyDescent="0.3">
      <c r="A24" s="87">
        <f t="shared" si="4"/>
        <v>18</v>
      </c>
      <c r="B24" s="67" t="s">
        <v>652</v>
      </c>
      <c r="C24" s="66" t="s">
        <v>220</v>
      </c>
      <c r="D24" s="71">
        <v>1</v>
      </c>
      <c r="E24" s="166">
        <v>4154.8588200000004</v>
      </c>
      <c r="F24" s="94">
        <f t="shared" si="3"/>
        <v>4154.8599999999997</v>
      </c>
      <c r="G24" s="94">
        <f t="shared" si="1"/>
        <v>4985.83</v>
      </c>
    </row>
    <row r="25" spans="1:7" ht="15.6" x14ac:dyDescent="0.3">
      <c r="A25" s="87">
        <f t="shared" si="4"/>
        <v>19</v>
      </c>
      <c r="B25" s="67" t="s">
        <v>653</v>
      </c>
      <c r="C25" s="66" t="s">
        <v>220</v>
      </c>
      <c r="D25" s="71">
        <v>1</v>
      </c>
      <c r="E25" s="166">
        <v>7138.347804</v>
      </c>
      <c r="F25" s="94">
        <f t="shared" si="3"/>
        <v>7138.35</v>
      </c>
      <c r="G25" s="94">
        <f t="shared" si="1"/>
        <v>8566.02</v>
      </c>
    </row>
    <row r="26" spans="1:7" ht="27.6" x14ac:dyDescent="0.3">
      <c r="A26" s="87">
        <f t="shared" si="4"/>
        <v>20</v>
      </c>
      <c r="B26" s="67" t="s">
        <v>654</v>
      </c>
      <c r="C26" s="66" t="s">
        <v>220</v>
      </c>
      <c r="D26" s="71">
        <v>2</v>
      </c>
      <c r="E26" s="166">
        <v>3569.8890239999996</v>
      </c>
      <c r="F26" s="94">
        <f t="shared" si="3"/>
        <v>7139.78</v>
      </c>
      <c r="G26" s="94">
        <f t="shared" si="1"/>
        <v>8567.74</v>
      </c>
    </row>
    <row r="27" spans="1:7" ht="27.6" x14ac:dyDescent="0.3">
      <c r="A27" s="87">
        <f t="shared" si="4"/>
        <v>21</v>
      </c>
      <c r="B27" s="67" t="s">
        <v>655</v>
      </c>
      <c r="C27" s="66" t="s">
        <v>220</v>
      </c>
      <c r="D27" s="71">
        <v>1</v>
      </c>
      <c r="E27" s="166">
        <v>3569.8890239999996</v>
      </c>
      <c r="F27" s="94">
        <f t="shared" si="3"/>
        <v>3569.89</v>
      </c>
      <c r="G27" s="94">
        <f t="shared" si="1"/>
        <v>4283.87</v>
      </c>
    </row>
    <row r="28" spans="1:7" ht="15.6" x14ac:dyDescent="0.3">
      <c r="A28" s="87">
        <f t="shared" si="4"/>
        <v>22</v>
      </c>
      <c r="B28" s="67" t="s">
        <v>656</v>
      </c>
      <c r="C28" s="66" t="s">
        <v>220</v>
      </c>
      <c r="D28" s="71">
        <v>1</v>
      </c>
      <c r="E28" s="166">
        <v>3568.4587799999999</v>
      </c>
      <c r="F28" s="94">
        <f t="shared" si="3"/>
        <v>3568.46</v>
      </c>
      <c r="G28" s="94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657</v>
      </c>
      <c r="C29" s="66" t="s">
        <v>220</v>
      </c>
      <c r="D29" s="71">
        <v>1</v>
      </c>
      <c r="E29" s="166">
        <v>4884.2832600000002</v>
      </c>
      <c r="F29" s="94">
        <f t="shared" si="3"/>
        <v>4884.28</v>
      </c>
      <c r="G29" s="94">
        <f t="shared" si="1"/>
        <v>5861.14</v>
      </c>
    </row>
    <row r="30" spans="1:7" ht="15.6" x14ac:dyDescent="0.3">
      <c r="A30" s="87">
        <f t="shared" si="4"/>
        <v>24</v>
      </c>
      <c r="B30" s="67" t="s">
        <v>658</v>
      </c>
      <c r="C30" s="66" t="s">
        <v>220</v>
      </c>
      <c r="D30" s="71">
        <v>1</v>
      </c>
      <c r="E30" s="166">
        <v>7082.5682879999995</v>
      </c>
      <c r="F30" s="94">
        <f t="shared" si="3"/>
        <v>7082.57</v>
      </c>
      <c r="G30" s="94">
        <f t="shared" si="1"/>
        <v>8499.08</v>
      </c>
    </row>
    <row r="31" spans="1:7" ht="15.6" x14ac:dyDescent="0.3">
      <c r="A31" s="87">
        <f t="shared" si="4"/>
        <v>25</v>
      </c>
      <c r="B31" s="67" t="s">
        <v>659</v>
      </c>
      <c r="C31" s="66" t="s">
        <v>220</v>
      </c>
      <c r="D31" s="71">
        <v>1</v>
      </c>
      <c r="E31" s="166">
        <v>2236.9016159999996</v>
      </c>
      <c r="F31" s="94">
        <f t="shared" si="3"/>
        <v>2236.9</v>
      </c>
      <c r="G31" s="94">
        <f t="shared" si="1"/>
        <v>2684.28</v>
      </c>
    </row>
    <row r="32" spans="1:7" ht="27.6" x14ac:dyDescent="0.3">
      <c r="A32" s="87">
        <f t="shared" si="4"/>
        <v>26</v>
      </c>
      <c r="B32" s="67" t="s">
        <v>660</v>
      </c>
      <c r="C32" s="66" t="s">
        <v>220</v>
      </c>
      <c r="D32" s="71">
        <v>1</v>
      </c>
      <c r="E32" s="166">
        <v>21719.685384</v>
      </c>
      <c r="F32" s="94">
        <f t="shared" si="3"/>
        <v>21719.69</v>
      </c>
      <c r="G32" s="94">
        <f t="shared" si="1"/>
        <v>26063.63</v>
      </c>
    </row>
    <row r="33" spans="1:7" ht="27.6" x14ac:dyDescent="0.3">
      <c r="A33" s="87">
        <f t="shared" si="4"/>
        <v>27</v>
      </c>
      <c r="B33" s="67" t="s">
        <v>661</v>
      </c>
      <c r="C33" s="66" t="s">
        <v>220</v>
      </c>
      <c r="D33" s="71">
        <v>1</v>
      </c>
      <c r="E33" s="166">
        <v>3725.7856199999997</v>
      </c>
      <c r="F33" s="94">
        <f t="shared" si="3"/>
        <v>3725.79</v>
      </c>
      <c r="G33" s="94">
        <f t="shared" si="1"/>
        <v>4470.95</v>
      </c>
    </row>
    <row r="34" spans="1:7" ht="15.6" x14ac:dyDescent="0.3">
      <c r="A34" s="87">
        <f t="shared" si="4"/>
        <v>28</v>
      </c>
      <c r="B34" s="67" t="s">
        <v>662</v>
      </c>
      <c r="C34" s="66" t="s">
        <v>193</v>
      </c>
      <c r="D34" s="68">
        <v>7.0000000000000007E-2</v>
      </c>
      <c r="E34" s="166">
        <v>1234.3005719999999</v>
      </c>
      <c r="F34" s="94">
        <f t="shared" si="3"/>
        <v>86.4</v>
      </c>
      <c r="G34" s="94">
        <f t="shared" si="1"/>
        <v>103.68</v>
      </c>
    </row>
    <row r="35" spans="1:7" ht="27.6" x14ac:dyDescent="0.3">
      <c r="A35" s="87">
        <f t="shared" si="4"/>
        <v>29</v>
      </c>
      <c r="B35" s="249" t="s">
        <v>1079</v>
      </c>
      <c r="C35" s="87" t="s">
        <v>193</v>
      </c>
      <c r="D35" s="217">
        <v>0.5</v>
      </c>
      <c r="E35" s="166">
        <v>13196.947202639998</v>
      </c>
      <c r="F35" s="99">
        <f t="shared" si="3"/>
        <v>6598.47</v>
      </c>
      <c r="G35" s="99">
        <f t="shared" si="1"/>
        <v>7918.16</v>
      </c>
    </row>
    <row r="36" spans="1:7" s="1" customFormat="1" ht="15.6" x14ac:dyDescent="0.3">
      <c r="A36" s="653"/>
      <c r="B36" s="654" t="s">
        <v>169</v>
      </c>
      <c r="C36" s="655"/>
      <c r="D36" s="656"/>
      <c r="E36" s="657"/>
      <c r="F36" s="658">
        <f>SUM(F6:F35)</f>
        <v>803576.12</v>
      </c>
      <c r="G36" s="658">
        <f t="shared" si="1"/>
        <v>964291.34</v>
      </c>
    </row>
    <row r="37" spans="1:7" ht="33" customHeight="1" x14ac:dyDescent="0.3">
      <c r="A37" s="149"/>
      <c r="B37" s="168" t="s">
        <v>1163</v>
      </c>
      <c r="C37" s="157"/>
      <c r="D37" s="157"/>
      <c r="E37" s="157"/>
      <c r="F37" s="157"/>
      <c r="G37" s="157"/>
    </row>
    <row r="38" spans="1:7" ht="15.6" x14ac:dyDescent="0.3">
      <c r="A38" s="87"/>
      <c r="B38" s="85" t="s">
        <v>513</v>
      </c>
      <c r="C38" s="87"/>
      <c r="D38" s="148"/>
      <c r="E38" s="166">
        <v>0</v>
      </c>
      <c r="F38" s="156"/>
      <c r="G38" s="250"/>
    </row>
    <row r="39" spans="1:7" ht="15.6" x14ac:dyDescent="0.3">
      <c r="A39" s="87">
        <f>A35+1</f>
        <v>30</v>
      </c>
      <c r="B39" s="233" t="s">
        <v>641</v>
      </c>
      <c r="C39" s="87" t="s">
        <v>193</v>
      </c>
      <c r="D39" s="148">
        <v>790</v>
      </c>
      <c r="E39" s="166">
        <v>464.82929999999999</v>
      </c>
      <c r="F39" s="99">
        <f t="shared" ref="F39:F48" si="5">ROUND(E39*D39,2)</f>
        <v>367215.15</v>
      </c>
      <c r="G39" s="99">
        <f t="shared" ref="G39:G48" si="6">ROUND(F39*1.2,2)</f>
        <v>440658.18</v>
      </c>
    </row>
    <row r="40" spans="1:7" ht="15.6" x14ac:dyDescent="0.3">
      <c r="A40" s="87">
        <f>A39+1</f>
        <v>31</v>
      </c>
      <c r="B40" s="233" t="s">
        <v>515</v>
      </c>
      <c r="C40" s="87" t="s">
        <v>193</v>
      </c>
      <c r="D40" s="148">
        <v>24</v>
      </c>
      <c r="E40" s="166">
        <v>2541.5435879999995</v>
      </c>
      <c r="F40" s="99">
        <f t="shared" si="5"/>
        <v>60997.05</v>
      </c>
      <c r="G40" s="99">
        <f t="shared" si="6"/>
        <v>73196.460000000006</v>
      </c>
    </row>
    <row r="41" spans="1:7" ht="15.6" x14ac:dyDescent="0.3">
      <c r="A41" s="87">
        <f t="shared" ref="A41:A48" si="7">A40+1</f>
        <v>32</v>
      </c>
      <c r="B41" s="233" t="s">
        <v>521</v>
      </c>
      <c r="C41" s="87" t="s">
        <v>193</v>
      </c>
      <c r="D41" s="148">
        <v>8</v>
      </c>
      <c r="E41" s="166">
        <v>1972.306476</v>
      </c>
      <c r="F41" s="99">
        <f t="shared" si="5"/>
        <v>15778.45</v>
      </c>
      <c r="G41" s="99">
        <f t="shared" si="6"/>
        <v>18934.14</v>
      </c>
    </row>
    <row r="42" spans="1:7" ht="15.6" x14ac:dyDescent="0.3">
      <c r="A42" s="87">
        <f t="shared" si="7"/>
        <v>33</v>
      </c>
      <c r="B42" s="233" t="s">
        <v>522</v>
      </c>
      <c r="C42" s="87" t="s">
        <v>193</v>
      </c>
      <c r="D42" s="218">
        <v>106</v>
      </c>
      <c r="E42" s="166">
        <v>1972.306476</v>
      </c>
      <c r="F42" s="99">
        <f t="shared" si="5"/>
        <v>209064.49</v>
      </c>
      <c r="G42" s="99">
        <f t="shared" si="6"/>
        <v>250877.39</v>
      </c>
    </row>
    <row r="43" spans="1:7" ht="15.6" x14ac:dyDescent="0.3">
      <c r="A43" s="87">
        <f t="shared" si="7"/>
        <v>34</v>
      </c>
      <c r="B43" s="233" t="s">
        <v>516</v>
      </c>
      <c r="C43" s="87" t="s">
        <v>193</v>
      </c>
      <c r="D43" s="148">
        <v>663</v>
      </c>
      <c r="E43" s="166">
        <v>178.78050000000002</v>
      </c>
      <c r="F43" s="99">
        <f t="shared" si="5"/>
        <v>118531.47</v>
      </c>
      <c r="G43" s="99">
        <f t="shared" si="6"/>
        <v>142237.76000000001</v>
      </c>
    </row>
    <row r="44" spans="1:7" ht="15.6" x14ac:dyDescent="0.3">
      <c r="A44" s="87">
        <f t="shared" si="7"/>
        <v>35</v>
      </c>
      <c r="B44" s="233" t="s">
        <v>643</v>
      </c>
      <c r="C44" s="87" t="s">
        <v>193</v>
      </c>
      <c r="D44" s="148">
        <v>35</v>
      </c>
      <c r="E44" s="166">
        <v>1285.789356</v>
      </c>
      <c r="F44" s="99">
        <f t="shared" si="5"/>
        <v>45002.63</v>
      </c>
      <c r="G44" s="99">
        <f t="shared" si="6"/>
        <v>54003.16</v>
      </c>
    </row>
    <row r="45" spans="1:7" ht="15.6" x14ac:dyDescent="0.3">
      <c r="A45" s="87">
        <f t="shared" si="7"/>
        <v>36</v>
      </c>
      <c r="B45" s="233" t="s">
        <v>451</v>
      </c>
      <c r="C45" s="87" t="s">
        <v>193</v>
      </c>
      <c r="D45" s="148">
        <v>116</v>
      </c>
      <c r="E45" s="166">
        <v>283.188312</v>
      </c>
      <c r="F45" s="99">
        <f t="shared" si="5"/>
        <v>32849.839999999997</v>
      </c>
      <c r="G45" s="99">
        <f t="shared" si="6"/>
        <v>39419.81</v>
      </c>
    </row>
    <row r="46" spans="1:7" ht="15.6" x14ac:dyDescent="0.3">
      <c r="A46" s="87">
        <f t="shared" si="7"/>
        <v>37</v>
      </c>
      <c r="B46" s="233" t="s">
        <v>644</v>
      </c>
      <c r="C46" s="87" t="s">
        <v>431</v>
      </c>
      <c r="D46" s="252">
        <v>232</v>
      </c>
      <c r="E46" s="166">
        <v>178.78050000000002</v>
      </c>
      <c r="F46" s="99">
        <f t="shared" si="5"/>
        <v>41477.08</v>
      </c>
      <c r="G46" s="99">
        <f t="shared" si="6"/>
        <v>49772.5</v>
      </c>
    </row>
    <row r="47" spans="1:7" ht="15.6" x14ac:dyDescent="0.3">
      <c r="A47" s="87">
        <f t="shared" si="7"/>
        <v>38</v>
      </c>
      <c r="B47" s="233" t="s">
        <v>518</v>
      </c>
      <c r="C47" s="87" t="s">
        <v>239</v>
      </c>
      <c r="D47" s="218">
        <v>185.6</v>
      </c>
      <c r="E47" s="166">
        <v>464.82929999999999</v>
      </c>
      <c r="F47" s="99">
        <f t="shared" si="5"/>
        <v>86272.320000000007</v>
      </c>
      <c r="G47" s="99">
        <f t="shared" si="6"/>
        <v>103526.78</v>
      </c>
    </row>
    <row r="48" spans="1:7" ht="15.6" x14ac:dyDescent="0.3">
      <c r="A48" s="507">
        <f t="shared" si="7"/>
        <v>39</v>
      </c>
      <c r="B48" s="508" t="s">
        <v>503</v>
      </c>
      <c r="C48" s="507" t="s">
        <v>193</v>
      </c>
      <c r="D48" s="518">
        <f>185.6/1.6</f>
        <v>115.99999999999999</v>
      </c>
      <c r="E48" s="510">
        <v>1350</v>
      </c>
      <c r="F48" s="511">
        <f t="shared" si="5"/>
        <v>156600</v>
      </c>
      <c r="G48" s="511">
        <f t="shared" si="6"/>
        <v>187920</v>
      </c>
    </row>
    <row r="49" spans="1:7" ht="15.6" x14ac:dyDescent="0.3">
      <c r="A49" s="87"/>
      <c r="B49" s="85" t="s">
        <v>523</v>
      </c>
      <c r="C49" s="87"/>
      <c r="D49" s="148"/>
      <c r="E49" s="166">
        <v>0</v>
      </c>
      <c r="F49" s="156"/>
      <c r="G49" s="250"/>
    </row>
    <row r="50" spans="1:7" ht="27.6" x14ac:dyDescent="0.3">
      <c r="A50" s="87">
        <f>A48+1</f>
        <v>40</v>
      </c>
      <c r="B50" s="233" t="s">
        <v>645</v>
      </c>
      <c r="C50" s="87" t="s">
        <v>194</v>
      </c>
      <c r="D50" s="148">
        <v>101</v>
      </c>
      <c r="E50" s="166">
        <v>1454.5581479999998</v>
      </c>
      <c r="F50" s="99">
        <f t="shared" ref="F50:F57" si="8">ROUND(E50*D50,2)</f>
        <v>146910.37</v>
      </c>
      <c r="G50" s="99">
        <f t="shared" ref="G50:G58" si="9">ROUND(F50*1.2,2)</f>
        <v>176292.44</v>
      </c>
    </row>
    <row r="51" spans="1:7" ht="41.4" x14ac:dyDescent="0.3">
      <c r="A51" s="87">
        <f>A50+1</f>
        <v>41</v>
      </c>
      <c r="B51" s="233" t="s">
        <v>1161</v>
      </c>
      <c r="C51" s="87" t="s">
        <v>194</v>
      </c>
      <c r="D51" s="148">
        <v>12</v>
      </c>
      <c r="E51" s="166">
        <v>2183.9825879999994</v>
      </c>
      <c r="F51" s="99">
        <f t="shared" si="8"/>
        <v>26207.79</v>
      </c>
      <c r="G51" s="99">
        <f t="shared" si="9"/>
        <v>31449.35</v>
      </c>
    </row>
    <row r="52" spans="1:7" ht="15.6" x14ac:dyDescent="0.3">
      <c r="A52" s="87">
        <f t="shared" ref="A52:A57" si="10">A51+1</f>
        <v>42</v>
      </c>
      <c r="B52" s="233" t="s">
        <v>648</v>
      </c>
      <c r="C52" s="87" t="s">
        <v>194</v>
      </c>
      <c r="D52" s="148">
        <v>12</v>
      </c>
      <c r="E52" s="166">
        <v>1633.3386479999999</v>
      </c>
      <c r="F52" s="99">
        <f t="shared" si="8"/>
        <v>19600.060000000001</v>
      </c>
      <c r="G52" s="99">
        <f t="shared" si="9"/>
        <v>23520.07</v>
      </c>
    </row>
    <row r="53" spans="1:7" ht="15.6" x14ac:dyDescent="0.3">
      <c r="A53" s="87">
        <f t="shared" si="10"/>
        <v>43</v>
      </c>
      <c r="B53" s="233" t="s">
        <v>649</v>
      </c>
      <c r="C53" s="87" t="s">
        <v>650</v>
      </c>
      <c r="D53" s="148">
        <v>1</v>
      </c>
      <c r="E53" s="166">
        <v>4858.5388679999996</v>
      </c>
      <c r="F53" s="99">
        <f t="shared" si="8"/>
        <v>4858.54</v>
      </c>
      <c r="G53" s="99">
        <f t="shared" si="9"/>
        <v>5830.25</v>
      </c>
    </row>
    <row r="54" spans="1:7" ht="27.6" x14ac:dyDescent="0.3">
      <c r="A54" s="87">
        <f t="shared" si="10"/>
        <v>44</v>
      </c>
      <c r="B54" s="233" t="s">
        <v>667</v>
      </c>
      <c r="C54" s="87" t="s">
        <v>220</v>
      </c>
      <c r="D54" s="148">
        <v>2</v>
      </c>
      <c r="E54" s="166">
        <v>5708.1038040000003</v>
      </c>
      <c r="F54" s="99">
        <f t="shared" si="8"/>
        <v>11416.21</v>
      </c>
      <c r="G54" s="99">
        <f t="shared" si="9"/>
        <v>13699.45</v>
      </c>
    </row>
    <row r="55" spans="1:7" ht="27.6" x14ac:dyDescent="0.3">
      <c r="A55" s="87">
        <f t="shared" si="10"/>
        <v>45</v>
      </c>
      <c r="B55" s="233" t="s">
        <v>668</v>
      </c>
      <c r="C55" s="87" t="s">
        <v>220</v>
      </c>
      <c r="D55" s="148">
        <v>2</v>
      </c>
      <c r="E55" s="166">
        <v>2092.4469720000002</v>
      </c>
      <c r="F55" s="99">
        <f t="shared" si="8"/>
        <v>4184.8900000000003</v>
      </c>
      <c r="G55" s="99">
        <f t="shared" si="9"/>
        <v>5021.87</v>
      </c>
    </row>
    <row r="56" spans="1:7" ht="41.4" x14ac:dyDescent="0.3">
      <c r="A56" s="87">
        <f t="shared" si="10"/>
        <v>46</v>
      </c>
      <c r="B56" s="233" t="s">
        <v>657</v>
      </c>
      <c r="C56" s="87" t="s">
        <v>220</v>
      </c>
      <c r="D56" s="148">
        <v>2</v>
      </c>
      <c r="E56" s="166">
        <v>5055.9125400000003</v>
      </c>
      <c r="F56" s="99">
        <f t="shared" si="8"/>
        <v>10111.83</v>
      </c>
      <c r="G56" s="99">
        <f t="shared" si="9"/>
        <v>12134.2</v>
      </c>
    </row>
    <row r="57" spans="1:7" ht="27.6" x14ac:dyDescent="0.3">
      <c r="A57" s="87">
        <f t="shared" si="10"/>
        <v>47</v>
      </c>
      <c r="B57" s="249" t="s">
        <v>1158</v>
      </c>
      <c r="C57" s="87" t="s">
        <v>193</v>
      </c>
      <c r="D57" s="251">
        <v>0.3</v>
      </c>
      <c r="E57" s="166">
        <v>13196.947202639998</v>
      </c>
      <c r="F57" s="99">
        <f t="shared" si="8"/>
        <v>3959.08</v>
      </c>
      <c r="G57" s="99">
        <f t="shared" si="9"/>
        <v>4750.8999999999996</v>
      </c>
    </row>
    <row r="58" spans="1:7" ht="15.6" x14ac:dyDescent="0.3">
      <c r="A58" s="653"/>
      <c r="B58" s="654" t="s">
        <v>169</v>
      </c>
      <c r="C58" s="655"/>
      <c r="D58" s="660"/>
      <c r="E58" s="657"/>
      <c r="F58" s="658">
        <f>SUM(F39:F57)</f>
        <v>1361037.2500000002</v>
      </c>
      <c r="G58" s="658">
        <f t="shared" si="9"/>
        <v>1633244.7</v>
      </c>
    </row>
    <row r="59" spans="1:7" ht="34.5" customHeight="1" x14ac:dyDescent="0.3">
      <c r="A59" s="149"/>
      <c r="B59" s="232" t="s">
        <v>1164</v>
      </c>
      <c r="C59" s="157"/>
      <c r="D59" s="157"/>
      <c r="E59" s="157"/>
      <c r="F59" s="157"/>
      <c r="G59" s="157"/>
    </row>
    <row r="60" spans="1:7" ht="15.6" x14ac:dyDescent="0.3">
      <c r="A60" s="87"/>
      <c r="B60" s="85" t="s">
        <v>513</v>
      </c>
      <c r="C60" s="87"/>
      <c r="D60" s="253"/>
      <c r="E60" s="166">
        <v>0</v>
      </c>
      <c r="F60" s="156"/>
      <c r="G60" s="250"/>
    </row>
    <row r="61" spans="1:7" ht="15.6" x14ac:dyDescent="0.3">
      <c r="A61" s="87">
        <f>A57+1</f>
        <v>48</v>
      </c>
      <c r="B61" s="233" t="s">
        <v>641</v>
      </c>
      <c r="C61" s="87" t="s">
        <v>193</v>
      </c>
      <c r="D61" s="148">
        <v>177</v>
      </c>
      <c r="E61" s="166">
        <v>464.82929999999999</v>
      </c>
      <c r="F61" s="99">
        <f t="shared" ref="F61:F70" si="11">ROUND(E61*D61,2)</f>
        <v>82274.789999999994</v>
      </c>
      <c r="G61" s="99">
        <f t="shared" ref="G61:G70" si="12">ROUND(F61*1.2,2)</f>
        <v>98729.75</v>
      </c>
    </row>
    <row r="62" spans="1:7" ht="15.6" x14ac:dyDescent="0.3">
      <c r="A62" s="87">
        <f>A61+1</f>
        <v>49</v>
      </c>
      <c r="B62" s="233" t="s">
        <v>515</v>
      </c>
      <c r="C62" s="87" t="s">
        <v>193</v>
      </c>
      <c r="D62" s="218">
        <v>5.5</v>
      </c>
      <c r="E62" s="166">
        <v>2541.5435879999995</v>
      </c>
      <c r="F62" s="99">
        <f t="shared" si="11"/>
        <v>13978.49</v>
      </c>
      <c r="G62" s="99">
        <f t="shared" si="12"/>
        <v>16774.189999999999</v>
      </c>
    </row>
    <row r="63" spans="1:7" ht="15.6" x14ac:dyDescent="0.3">
      <c r="A63" s="87">
        <f t="shared" ref="A63:A70" si="13">A62+1</f>
        <v>50</v>
      </c>
      <c r="B63" s="233" t="s">
        <v>521</v>
      </c>
      <c r="C63" s="87" t="s">
        <v>193</v>
      </c>
      <c r="D63" s="148">
        <v>3</v>
      </c>
      <c r="E63" s="166">
        <v>1972.306476</v>
      </c>
      <c r="F63" s="99">
        <f t="shared" si="11"/>
        <v>5916.92</v>
      </c>
      <c r="G63" s="99">
        <f t="shared" si="12"/>
        <v>7100.3</v>
      </c>
    </row>
    <row r="64" spans="1:7" ht="15.6" x14ac:dyDescent="0.3">
      <c r="A64" s="87">
        <f t="shared" si="13"/>
        <v>51</v>
      </c>
      <c r="B64" s="233" t="s">
        <v>522</v>
      </c>
      <c r="C64" s="87" t="s">
        <v>193</v>
      </c>
      <c r="D64" s="218">
        <v>44</v>
      </c>
      <c r="E64" s="166">
        <v>1972.306476</v>
      </c>
      <c r="F64" s="99">
        <f t="shared" si="11"/>
        <v>86781.48</v>
      </c>
      <c r="G64" s="99">
        <f t="shared" si="12"/>
        <v>104137.78</v>
      </c>
    </row>
    <row r="65" spans="1:7" ht="15.6" x14ac:dyDescent="0.3">
      <c r="A65" s="87">
        <f t="shared" si="13"/>
        <v>52</v>
      </c>
      <c r="B65" s="233" t="s">
        <v>516</v>
      </c>
      <c r="C65" s="87" t="s">
        <v>193</v>
      </c>
      <c r="D65" s="148">
        <v>125</v>
      </c>
      <c r="E65" s="166">
        <v>178.78050000000002</v>
      </c>
      <c r="F65" s="99">
        <f t="shared" si="11"/>
        <v>22347.56</v>
      </c>
      <c r="G65" s="99">
        <f t="shared" si="12"/>
        <v>26817.07</v>
      </c>
    </row>
    <row r="66" spans="1:7" ht="15.6" x14ac:dyDescent="0.3">
      <c r="A66" s="87">
        <f t="shared" si="13"/>
        <v>53</v>
      </c>
      <c r="B66" s="233" t="s">
        <v>643</v>
      </c>
      <c r="C66" s="87" t="s">
        <v>193</v>
      </c>
      <c r="D66" s="148">
        <v>7</v>
      </c>
      <c r="E66" s="166">
        <v>1285.789356</v>
      </c>
      <c r="F66" s="99">
        <f t="shared" si="11"/>
        <v>9000.5300000000007</v>
      </c>
      <c r="G66" s="99">
        <f t="shared" si="12"/>
        <v>10800.64</v>
      </c>
    </row>
    <row r="67" spans="1:7" ht="15.6" x14ac:dyDescent="0.3">
      <c r="A67" s="87">
        <f t="shared" si="13"/>
        <v>54</v>
      </c>
      <c r="B67" s="233" t="s">
        <v>451</v>
      </c>
      <c r="C67" s="87" t="s">
        <v>193</v>
      </c>
      <c r="D67" s="148">
        <v>125</v>
      </c>
      <c r="E67" s="166">
        <v>283.188312</v>
      </c>
      <c r="F67" s="99">
        <f t="shared" si="11"/>
        <v>35398.54</v>
      </c>
      <c r="G67" s="99">
        <f t="shared" si="12"/>
        <v>42478.25</v>
      </c>
    </row>
    <row r="68" spans="1:7" ht="15.6" x14ac:dyDescent="0.3">
      <c r="A68" s="87">
        <f t="shared" si="13"/>
        <v>55</v>
      </c>
      <c r="B68" s="233" t="s">
        <v>644</v>
      </c>
      <c r="C68" s="87" t="s">
        <v>431</v>
      </c>
      <c r="D68" s="148">
        <v>250</v>
      </c>
      <c r="E68" s="166">
        <v>178.78050000000002</v>
      </c>
      <c r="F68" s="99">
        <f t="shared" si="11"/>
        <v>44695.13</v>
      </c>
      <c r="G68" s="99">
        <f t="shared" si="12"/>
        <v>53634.16</v>
      </c>
    </row>
    <row r="69" spans="1:7" ht="15.6" x14ac:dyDescent="0.3">
      <c r="A69" s="87">
        <f t="shared" si="13"/>
        <v>56</v>
      </c>
      <c r="B69" s="233" t="s">
        <v>518</v>
      </c>
      <c r="C69" s="87" t="s">
        <v>239</v>
      </c>
      <c r="D69" s="218">
        <v>80.8</v>
      </c>
      <c r="E69" s="166">
        <v>464.82929999999999</v>
      </c>
      <c r="F69" s="99">
        <f t="shared" si="11"/>
        <v>37558.21</v>
      </c>
      <c r="G69" s="99">
        <f t="shared" si="12"/>
        <v>45069.85</v>
      </c>
    </row>
    <row r="70" spans="1:7" ht="15.6" x14ac:dyDescent="0.3">
      <c r="A70" s="507">
        <f t="shared" si="13"/>
        <v>57</v>
      </c>
      <c r="B70" s="508" t="s">
        <v>503</v>
      </c>
      <c r="C70" s="507" t="s">
        <v>239</v>
      </c>
      <c r="D70" s="518">
        <f>80.8/1.6</f>
        <v>50.499999999999993</v>
      </c>
      <c r="E70" s="510">
        <v>1350</v>
      </c>
      <c r="F70" s="511">
        <f t="shared" si="11"/>
        <v>68175</v>
      </c>
      <c r="G70" s="511">
        <f t="shared" si="12"/>
        <v>81810</v>
      </c>
    </row>
    <row r="71" spans="1:7" ht="15.6" x14ac:dyDescent="0.3">
      <c r="A71" s="87"/>
      <c r="B71" s="85" t="s">
        <v>523</v>
      </c>
      <c r="C71" s="87"/>
      <c r="D71" s="148"/>
      <c r="E71" s="166">
        <v>0</v>
      </c>
      <c r="F71" s="156"/>
      <c r="G71" s="250"/>
    </row>
    <row r="72" spans="1:7" ht="27.6" x14ac:dyDescent="0.3">
      <c r="A72" s="66">
        <f>A70+1</f>
        <v>58</v>
      </c>
      <c r="B72" s="67" t="s">
        <v>1165</v>
      </c>
      <c r="C72" s="66" t="s">
        <v>194</v>
      </c>
      <c r="D72" s="72">
        <v>32</v>
      </c>
      <c r="E72" s="166">
        <v>2137.0848872399997</v>
      </c>
      <c r="F72" s="270">
        <f t="shared" ref="F72:F78" si="14">ROUND(E72*D72,2)</f>
        <v>68386.720000000001</v>
      </c>
      <c r="G72" s="270">
        <f t="shared" ref="G72:G74" si="15">ROUND(F72*1.2,2)</f>
        <v>82064.06</v>
      </c>
    </row>
    <row r="73" spans="1:7" ht="41.4" x14ac:dyDescent="0.3">
      <c r="A73" s="66">
        <f>A72+1</f>
        <v>59</v>
      </c>
      <c r="B73" s="67" t="s">
        <v>1168</v>
      </c>
      <c r="C73" s="66" t="s">
        <v>194</v>
      </c>
      <c r="D73" s="71">
        <v>6</v>
      </c>
      <c r="E73" s="166">
        <v>8003.6454240000003</v>
      </c>
      <c r="F73" s="270">
        <f t="shared" si="14"/>
        <v>48021.87</v>
      </c>
      <c r="G73" s="270">
        <f t="shared" si="15"/>
        <v>57626.239999999998</v>
      </c>
    </row>
    <row r="74" spans="1:7" s="234" customFormat="1" ht="15.6" x14ac:dyDescent="0.3">
      <c r="A74" s="66">
        <f t="shared" ref="A74:A75" si="16">A73+1</f>
        <v>60</v>
      </c>
      <c r="B74" s="67" t="s">
        <v>1172</v>
      </c>
      <c r="C74" s="66" t="s">
        <v>650</v>
      </c>
      <c r="D74" s="71">
        <v>1</v>
      </c>
      <c r="E74" s="166">
        <v>9604.088459999999</v>
      </c>
      <c r="F74" s="270">
        <f t="shared" si="14"/>
        <v>9604.09</v>
      </c>
      <c r="G74" s="270">
        <f t="shared" si="15"/>
        <v>11524.91</v>
      </c>
    </row>
    <row r="75" spans="1:7" ht="27.6" x14ac:dyDescent="0.3">
      <c r="A75" s="66">
        <f t="shared" si="16"/>
        <v>61</v>
      </c>
      <c r="B75" s="67" t="s">
        <v>1166</v>
      </c>
      <c r="C75" s="66" t="s">
        <v>220</v>
      </c>
      <c r="D75" s="71">
        <v>2</v>
      </c>
      <c r="E75" s="166">
        <v>10374.904161359998</v>
      </c>
      <c r="F75" s="270">
        <f t="shared" si="14"/>
        <v>20749.810000000001</v>
      </c>
      <c r="G75" s="270">
        <f t="shared" ref="G75" si="17">ROUND(F75*1.2,2)</f>
        <v>24899.77</v>
      </c>
    </row>
    <row r="76" spans="1:7" ht="15.6" x14ac:dyDescent="0.3">
      <c r="A76" s="66">
        <f>A75+1</f>
        <v>62</v>
      </c>
      <c r="B76" s="67" t="s">
        <v>1167</v>
      </c>
      <c r="C76" s="66" t="s">
        <v>220</v>
      </c>
      <c r="D76" s="71">
        <v>2</v>
      </c>
      <c r="E76" s="166">
        <v>9571.1070333599982</v>
      </c>
      <c r="F76" s="270">
        <f t="shared" si="14"/>
        <v>19142.21</v>
      </c>
      <c r="G76" s="270">
        <f t="shared" ref="G76" si="18">ROUND(F76*1.2,2)</f>
        <v>22970.65</v>
      </c>
    </row>
    <row r="77" spans="1:7" ht="41.4" x14ac:dyDescent="0.3">
      <c r="A77" s="87">
        <f>A76+1</f>
        <v>63</v>
      </c>
      <c r="B77" s="233" t="s">
        <v>876</v>
      </c>
      <c r="C77" s="87" t="s">
        <v>220</v>
      </c>
      <c r="D77" s="148">
        <v>2</v>
      </c>
      <c r="E77" s="166">
        <v>7401.5127000000002</v>
      </c>
      <c r="F77" s="99">
        <f t="shared" si="14"/>
        <v>14803.03</v>
      </c>
      <c r="G77" s="99">
        <f t="shared" ref="G77:G79" si="19">ROUND(F77*1.2,2)</f>
        <v>17763.64</v>
      </c>
    </row>
    <row r="78" spans="1:7" ht="27.6" x14ac:dyDescent="0.3">
      <c r="A78" s="87">
        <f>A77+1</f>
        <v>64</v>
      </c>
      <c r="B78" s="233" t="s">
        <v>1158</v>
      </c>
      <c r="C78" s="87" t="s">
        <v>193</v>
      </c>
      <c r="D78" s="148">
        <v>1</v>
      </c>
      <c r="E78" s="166">
        <v>13196.947202639998</v>
      </c>
      <c r="F78" s="99">
        <f t="shared" si="14"/>
        <v>13196.95</v>
      </c>
      <c r="G78" s="99">
        <f t="shared" si="19"/>
        <v>15836.34</v>
      </c>
    </row>
    <row r="79" spans="1:7" ht="15.6" x14ac:dyDescent="0.3">
      <c r="A79" s="653"/>
      <c r="B79" s="654" t="s">
        <v>169</v>
      </c>
      <c r="C79" s="655"/>
      <c r="D79" s="662"/>
      <c r="E79" s="657"/>
      <c r="F79" s="658">
        <f>SUM(F61:F78)</f>
        <v>600031.32999999996</v>
      </c>
      <c r="G79" s="658">
        <f t="shared" si="19"/>
        <v>720037.6</v>
      </c>
    </row>
    <row r="80" spans="1:7" ht="27.6" x14ac:dyDescent="0.3">
      <c r="A80" s="149"/>
      <c r="B80" s="232" t="s">
        <v>1207</v>
      </c>
      <c r="C80" s="157"/>
      <c r="D80" s="157"/>
      <c r="E80" s="157"/>
      <c r="F80" s="157"/>
      <c r="G80" s="157"/>
    </row>
    <row r="81" spans="1:7" ht="15.6" x14ac:dyDescent="0.3">
      <c r="A81" s="87"/>
      <c r="B81" s="85" t="s">
        <v>513</v>
      </c>
      <c r="C81" s="87"/>
      <c r="D81" s="253"/>
      <c r="E81" s="166">
        <v>0</v>
      </c>
      <c r="F81" s="156"/>
      <c r="G81" s="250"/>
    </row>
    <row r="82" spans="1:7" ht="15.6" x14ac:dyDescent="0.3">
      <c r="A82" s="87">
        <f>A78+1</f>
        <v>65</v>
      </c>
      <c r="B82" s="233" t="s">
        <v>641</v>
      </c>
      <c r="C82" s="87" t="s">
        <v>193</v>
      </c>
      <c r="D82" s="148">
        <v>1888</v>
      </c>
      <c r="E82" s="166">
        <v>464.82929999999999</v>
      </c>
      <c r="F82" s="99">
        <f t="shared" ref="F82:F91" si="20">ROUND(E82*D82,2)</f>
        <v>877597.72</v>
      </c>
      <c r="G82" s="99">
        <f t="shared" ref="G82:G91" si="21">ROUND(F82*1.2,2)</f>
        <v>1053117.26</v>
      </c>
    </row>
    <row r="83" spans="1:7" ht="15.6" x14ac:dyDescent="0.3">
      <c r="A83" s="87">
        <f>A82+1</f>
        <v>66</v>
      </c>
      <c r="B83" s="233" t="s">
        <v>515</v>
      </c>
      <c r="C83" s="87" t="s">
        <v>193</v>
      </c>
      <c r="D83" s="218">
        <v>57</v>
      </c>
      <c r="E83" s="166">
        <v>2541.5435879999995</v>
      </c>
      <c r="F83" s="99">
        <f t="shared" si="20"/>
        <v>144867.98000000001</v>
      </c>
      <c r="G83" s="99">
        <f t="shared" si="21"/>
        <v>173841.58</v>
      </c>
    </row>
    <row r="84" spans="1:7" ht="15.6" x14ac:dyDescent="0.3">
      <c r="A84" s="87">
        <f t="shared" ref="A84:A91" si="22">A83+1</f>
        <v>67</v>
      </c>
      <c r="B84" s="233" t="s">
        <v>521</v>
      </c>
      <c r="C84" s="87" t="s">
        <v>193</v>
      </c>
      <c r="D84" s="218">
        <v>27.5</v>
      </c>
      <c r="E84" s="166">
        <v>1972.306476</v>
      </c>
      <c r="F84" s="99">
        <f t="shared" si="20"/>
        <v>54238.43</v>
      </c>
      <c r="G84" s="99">
        <f t="shared" si="21"/>
        <v>65086.12</v>
      </c>
    </row>
    <row r="85" spans="1:7" ht="15.6" x14ac:dyDescent="0.3">
      <c r="A85" s="87">
        <f t="shared" si="22"/>
        <v>68</v>
      </c>
      <c r="B85" s="233" t="s">
        <v>522</v>
      </c>
      <c r="C85" s="87" t="s">
        <v>193</v>
      </c>
      <c r="D85" s="218">
        <v>609</v>
      </c>
      <c r="E85" s="166">
        <v>1972.306476</v>
      </c>
      <c r="F85" s="99">
        <f t="shared" si="20"/>
        <v>1201134.6399999999</v>
      </c>
      <c r="G85" s="99">
        <f t="shared" si="21"/>
        <v>1441361.57</v>
      </c>
    </row>
    <row r="86" spans="1:7" ht="15.6" x14ac:dyDescent="0.3">
      <c r="A86" s="87">
        <f t="shared" si="22"/>
        <v>69</v>
      </c>
      <c r="B86" s="233" t="s">
        <v>516</v>
      </c>
      <c r="C86" s="87" t="s">
        <v>193</v>
      </c>
      <c r="D86" s="148">
        <v>1205</v>
      </c>
      <c r="E86" s="166">
        <v>178.78050000000002</v>
      </c>
      <c r="F86" s="99">
        <f t="shared" si="20"/>
        <v>215430.5</v>
      </c>
      <c r="G86" s="99">
        <f t="shared" si="21"/>
        <v>258516.6</v>
      </c>
    </row>
    <row r="87" spans="1:7" ht="15.6" x14ac:dyDescent="0.3">
      <c r="A87" s="87">
        <f t="shared" si="22"/>
        <v>70</v>
      </c>
      <c r="B87" s="233" t="s">
        <v>643</v>
      </c>
      <c r="C87" s="87" t="s">
        <v>193</v>
      </c>
      <c r="D87" s="148">
        <v>63</v>
      </c>
      <c r="E87" s="166">
        <v>1285.789356</v>
      </c>
      <c r="F87" s="99">
        <f t="shared" si="20"/>
        <v>81004.73</v>
      </c>
      <c r="G87" s="99">
        <f t="shared" si="21"/>
        <v>97205.68</v>
      </c>
    </row>
    <row r="88" spans="1:7" ht="15.6" x14ac:dyDescent="0.3">
      <c r="A88" s="87">
        <f t="shared" si="22"/>
        <v>71</v>
      </c>
      <c r="B88" s="233" t="s">
        <v>451</v>
      </c>
      <c r="C88" s="87" t="s">
        <v>193</v>
      </c>
      <c r="D88" s="148">
        <v>1205</v>
      </c>
      <c r="E88" s="166">
        <v>283.188312</v>
      </c>
      <c r="F88" s="99">
        <f t="shared" si="20"/>
        <v>341241.92</v>
      </c>
      <c r="G88" s="99">
        <f t="shared" si="21"/>
        <v>409490.3</v>
      </c>
    </row>
    <row r="89" spans="1:7" ht="15.6" x14ac:dyDescent="0.3">
      <c r="A89" s="87">
        <f t="shared" si="22"/>
        <v>72</v>
      </c>
      <c r="B89" s="233" t="s">
        <v>644</v>
      </c>
      <c r="C89" s="87" t="s">
        <v>431</v>
      </c>
      <c r="D89" s="148">
        <v>2410</v>
      </c>
      <c r="E89" s="166">
        <v>178.78050000000002</v>
      </c>
      <c r="F89" s="99">
        <f t="shared" si="20"/>
        <v>430861.01</v>
      </c>
      <c r="G89" s="99">
        <f t="shared" si="21"/>
        <v>517033.21</v>
      </c>
    </row>
    <row r="90" spans="1:7" ht="15.6" x14ac:dyDescent="0.3">
      <c r="A90" s="87">
        <f t="shared" si="22"/>
        <v>73</v>
      </c>
      <c r="B90" s="233" t="s">
        <v>518</v>
      </c>
      <c r="C90" s="87" t="s">
        <v>239</v>
      </c>
      <c r="D90" s="218">
        <v>1083.2</v>
      </c>
      <c r="E90" s="166">
        <v>464.82929999999999</v>
      </c>
      <c r="F90" s="99">
        <f t="shared" si="20"/>
        <v>503503.1</v>
      </c>
      <c r="G90" s="99">
        <f t="shared" si="21"/>
        <v>604203.72</v>
      </c>
    </row>
    <row r="91" spans="1:7" ht="15.6" x14ac:dyDescent="0.3">
      <c r="A91" s="507">
        <f t="shared" si="22"/>
        <v>74</v>
      </c>
      <c r="B91" s="508" t="s">
        <v>503</v>
      </c>
      <c r="C91" s="507" t="s">
        <v>193</v>
      </c>
      <c r="D91" s="518">
        <f>1083.2/1.6</f>
        <v>677</v>
      </c>
      <c r="E91" s="510">
        <v>1350</v>
      </c>
      <c r="F91" s="511">
        <f t="shared" si="20"/>
        <v>913950</v>
      </c>
      <c r="G91" s="511">
        <f t="shared" si="21"/>
        <v>1096740</v>
      </c>
    </row>
    <row r="92" spans="1:7" ht="15.6" x14ac:dyDescent="0.3">
      <c r="A92" s="87"/>
      <c r="B92" s="85" t="s">
        <v>523</v>
      </c>
      <c r="C92" s="87"/>
      <c r="D92" s="148"/>
      <c r="E92" s="166">
        <v>0</v>
      </c>
      <c r="F92" s="156"/>
      <c r="G92" s="250"/>
    </row>
    <row r="93" spans="1:7" ht="27.6" x14ac:dyDescent="0.3">
      <c r="A93" s="66">
        <f>A91+1</f>
        <v>75</v>
      </c>
      <c r="B93" s="67" t="s">
        <v>1165</v>
      </c>
      <c r="C93" s="66" t="s">
        <v>194</v>
      </c>
      <c r="D93" s="72">
        <v>238</v>
      </c>
      <c r="E93" s="166">
        <v>2137.0848872399997</v>
      </c>
      <c r="F93" s="270">
        <f t="shared" ref="F93:F111" si="23">ROUND(E93*D93,2)</f>
        <v>508626.2</v>
      </c>
      <c r="G93" s="270">
        <f t="shared" ref="G93" si="24">ROUND(F93*1.2,2)</f>
        <v>610351.43999999994</v>
      </c>
    </row>
    <row r="94" spans="1:7" ht="27.6" x14ac:dyDescent="0.3">
      <c r="A94" s="66">
        <f>A93+1</f>
        <v>76</v>
      </c>
      <c r="B94" s="67" t="s">
        <v>1170</v>
      </c>
      <c r="C94" s="66" t="s">
        <v>194</v>
      </c>
      <c r="D94" s="72">
        <v>23</v>
      </c>
      <c r="E94" s="166">
        <v>1730.5952400000001</v>
      </c>
      <c r="F94" s="270">
        <f t="shared" si="23"/>
        <v>39803.69</v>
      </c>
      <c r="G94" s="270">
        <f t="shared" ref="G94:G98" si="25">ROUND(F94*1.2,2)</f>
        <v>47764.43</v>
      </c>
    </row>
    <row r="95" spans="1:7" ht="41.4" x14ac:dyDescent="0.3">
      <c r="A95" s="87">
        <f>A94+1</f>
        <v>77</v>
      </c>
      <c r="B95" s="233" t="s">
        <v>1171</v>
      </c>
      <c r="C95" s="87" t="s">
        <v>194</v>
      </c>
      <c r="D95" s="148">
        <v>99</v>
      </c>
      <c r="E95" s="166">
        <v>8003.6454240000003</v>
      </c>
      <c r="F95" s="99">
        <f t="shared" si="23"/>
        <v>792360.9</v>
      </c>
      <c r="G95" s="99">
        <f t="shared" si="25"/>
        <v>950833.08</v>
      </c>
    </row>
    <row r="96" spans="1:7" s="234" customFormat="1" ht="15.6" x14ac:dyDescent="0.3">
      <c r="A96" s="87">
        <f t="shared" ref="A96:A111" si="26">A95+1</f>
        <v>78</v>
      </c>
      <c r="B96" s="233" t="s">
        <v>1172</v>
      </c>
      <c r="C96" s="87" t="s">
        <v>650</v>
      </c>
      <c r="D96" s="148">
        <v>1</v>
      </c>
      <c r="E96" s="166">
        <v>9604.088459999999</v>
      </c>
      <c r="F96" s="99">
        <f t="shared" si="23"/>
        <v>9604.09</v>
      </c>
      <c r="G96" s="99">
        <f t="shared" si="25"/>
        <v>11524.91</v>
      </c>
    </row>
    <row r="97" spans="1:7" ht="53.25" customHeight="1" x14ac:dyDescent="0.3">
      <c r="A97" s="87">
        <f t="shared" si="26"/>
        <v>79</v>
      </c>
      <c r="B97" s="233" t="s">
        <v>1174</v>
      </c>
      <c r="C97" s="87" t="s">
        <v>194</v>
      </c>
      <c r="D97" s="218">
        <v>10.5</v>
      </c>
      <c r="E97" s="166">
        <v>6930.9624239999994</v>
      </c>
      <c r="F97" s="99">
        <f t="shared" si="23"/>
        <v>72775.11</v>
      </c>
      <c r="G97" s="99">
        <f t="shared" si="25"/>
        <v>87330.13</v>
      </c>
    </row>
    <row r="98" spans="1:7" ht="15.6" x14ac:dyDescent="0.3">
      <c r="A98" s="87">
        <f t="shared" si="26"/>
        <v>80</v>
      </c>
      <c r="B98" s="233" t="s">
        <v>1173</v>
      </c>
      <c r="C98" s="87" t="s">
        <v>650</v>
      </c>
      <c r="D98" s="148">
        <v>1</v>
      </c>
      <c r="E98" s="166">
        <v>6441.8189760000005</v>
      </c>
      <c r="F98" s="99">
        <f t="shared" si="23"/>
        <v>6441.82</v>
      </c>
      <c r="G98" s="99">
        <f t="shared" si="25"/>
        <v>7730.18</v>
      </c>
    </row>
    <row r="99" spans="1:7" ht="41.4" x14ac:dyDescent="0.3">
      <c r="A99" s="87">
        <f t="shared" si="26"/>
        <v>81</v>
      </c>
      <c r="B99" s="233" t="s">
        <v>1175</v>
      </c>
      <c r="C99" s="87" t="s">
        <v>220</v>
      </c>
      <c r="D99" s="148">
        <v>1</v>
      </c>
      <c r="E99" s="166">
        <v>22682.239595999999</v>
      </c>
      <c r="F99" s="99">
        <f t="shared" si="23"/>
        <v>22682.240000000002</v>
      </c>
      <c r="G99" s="99">
        <f t="shared" ref="G99" si="27">ROUND(F99*1.2,2)</f>
        <v>27218.69</v>
      </c>
    </row>
    <row r="100" spans="1:7" ht="41.4" x14ac:dyDescent="0.3">
      <c r="A100" s="87">
        <f t="shared" si="26"/>
        <v>82</v>
      </c>
      <c r="B100" s="233" t="s">
        <v>1176</v>
      </c>
      <c r="C100" s="87" t="s">
        <v>220</v>
      </c>
      <c r="D100" s="148">
        <v>2</v>
      </c>
      <c r="E100" s="166">
        <v>8507.0913119999987</v>
      </c>
      <c r="F100" s="99">
        <f t="shared" si="23"/>
        <v>17014.18</v>
      </c>
      <c r="G100" s="99">
        <f t="shared" ref="G100:G101" si="28">ROUND(F100*1.2,2)</f>
        <v>20417.02</v>
      </c>
    </row>
    <row r="101" spans="1:7" ht="20.25" customHeight="1" x14ac:dyDescent="0.3">
      <c r="A101" s="66">
        <f t="shared" si="26"/>
        <v>83</v>
      </c>
      <c r="B101" s="67" t="s">
        <v>1177</v>
      </c>
      <c r="C101" s="66" t="s">
        <v>220</v>
      </c>
      <c r="D101" s="71">
        <v>2</v>
      </c>
      <c r="E101" s="166">
        <v>11150.182224</v>
      </c>
      <c r="F101" s="270">
        <f t="shared" si="23"/>
        <v>22300.36</v>
      </c>
      <c r="G101" s="270">
        <f t="shared" si="28"/>
        <v>26760.43</v>
      </c>
    </row>
    <row r="102" spans="1:7" ht="27.6" x14ac:dyDescent="0.3">
      <c r="A102" s="66">
        <f t="shared" si="26"/>
        <v>84</v>
      </c>
      <c r="B102" s="67" t="s">
        <v>1166</v>
      </c>
      <c r="C102" s="66" t="s">
        <v>220</v>
      </c>
      <c r="D102" s="71">
        <v>14</v>
      </c>
      <c r="E102" s="166">
        <v>10374.904161359998</v>
      </c>
      <c r="F102" s="270">
        <f t="shared" si="23"/>
        <v>145248.66</v>
      </c>
      <c r="G102" s="270">
        <f t="shared" ref="G102:G105" si="29">ROUND(F102*1.2,2)</f>
        <v>174298.39</v>
      </c>
    </row>
    <row r="103" spans="1:7" ht="15.6" x14ac:dyDescent="0.3">
      <c r="A103" s="66">
        <f t="shared" si="26"/>
        <v>85</v>
      </c>
      <c r="B103" s="67" t="s">
        <v>1167</v>
      </c>
      <c r="C103" s="66" t="s">
        <v>220</v>
      </c>
      <c r="D103" s="71">
        <v>14</v>
      </c>
      <c r="E103" s="166">
        <v>9571.1070333599982</v>
      </c>
      <c r="F103" s="270">
        <f t="shared" si="23"/>
        <v>133995.5</v>
      </c>
      <c r="G103" s="270">
        <f t="shared" si="29"/>
        <v>160794.6</v>
      </c>
    </row>
    <row r="104" spans="1:7" ht="27.6" x14ac:dyDescent="0.3">
      <c r="A104" s="87">
        <f t="shared" si="26"/>
        <v>86</v>
      </c>
      <c r="B104" s="233" t="s">
        <v>664</v>
      </c>
      <c r="C104" s="87" t="s">
        <v>220</v>
      </c>
      <c r="D104" s="148">
        <v>2</v>
      </c>
      <c r="E104" s="166">
        <v>9717.0777359999993</v>
      </c>
      <c r="F104" s="99">
        <f t="shared" si="23"/>
        <v>19434.16</v>
      </c>
      <c r="G104" s="99">
        <f t="shared" si="29"/>
        <v>23320.99</v>
      </c>
    </row>
    <row r="105" spans="1:7" ht="15.6" x14ac:dyDescent="0.3">
      <c r="A105" s="87">
        <f t="shared" si="26"/>
        <v>87</v>
      </c>
      <c r="B105" s="233" t="s">
        <v>1178</v>
      </c>
      <c r="C105" s="87" t="s">
        <v>220</v>
      </c>
      <c r="D105" s="148">
        <v>2</v>
      </c>
      <c r="E105" s="166">
        <v>2092.4469720000002</v>
      </c>
      <c r="F105" s="99">
        <f t="shared" si="23"/>
        <v>4184.8900000000003</v>
      </c>
      <c r="G105" s="99">
        <f t="shared" si="29"/>
        <v>5021.87</v>
      </c>
    </row>
    <row r="106" spans="1:7" ht="27.6" x14ac:dyDescent="0.3">
      <c r="A106" s="66">
        <f t="shared" si="26"/>
        <v>88</v>
      </c>
      <c r="B106" s="67" t="s">
        <v>1179</v>
      </c>
      <c r="C106" s="66" t="s">
        <v>220</v>
      </c>
      <c r="D106" s="71">
        <v>1</v>
      </c>
      <c r="E106" s="166">
        <v>10374.904161359998</v>
      </c>
      <c r="F106" s="270">
        <f t="shared" si="23"/>
        <v>10374.9</v>
      </c>
      <c r="G106" s="270">
        <f t="shared" ref="G106:G108" si="30">ROUND(F106*1.2,2)</f>
        <v>12449.88</v>
      </c>
    </row>
    <row r="107" spans="1:7" ht="41.4" x14ac:dyDescent="0.3">
      <c r="A107" s="66">
        <f t="shared" si="26"/>
        <v>89</v>
      </c>
      <c r="B107" s="67" t="s">
        <v>676</v>
      </c>
      <c r="C107" s="66" t="s">
        <v>220</v>
      </c>
      <c r="D107" s="71">
        <v>14</v>
      </c>
      <c r="E107" s="166">
        <v>7401.5127000000002</v>
      </c>
      <c r="F107" s="270">
        <f t="shared" si="23"/>
        <v>103621.18</v>
      </c>
      <c r="G107" s="270">
        <f t="shared" si="30"/>
        <v>124345.42</v>
      </c>
    </row>
    <row r="108" spans="1:7" ht="41.4" x14ac:dyDescent="0.3">
      <c r="A108" s="66">
        <f t="shared" si="26"/>
        <v>90</v>
      </c>
      <c r="B108" s="67" t="s">
        <v>1180</v>
      </c>
      <c r="C108" s="66" t="s">
        <v>220</v>
      </c>
      <c r="D108" s="71">
        <v>2</v>
      </c>
      <c r="E108" s="166">
        <v>4884.2832600000002</v>
      </c>
      <c r="F108" s="270">
        <f t="shared" si="23"/>
        <v>9768.57</v>
      </c>
      <c r="G108" s="270">
        <f t="shared" si="30"/>
        <v>11722.28</v>
      </c>
    </row>
    <row r="109" spans="1:7" ht="15.6" x14ac:dyDescent="0.3">
      <c r="A109" s="66">
        <f t="shared" si="26"/>
        <v>91</v>
      </c>
      <c r="B109" s="67" t="s">
        <v>1181</v>
      </c>
      <c r="C109" s="66" t="s">
        <v>220</v>
      </c>
      <c r="D109" s="71">
        <v>2</v>
      </c>
      <c r="E109" s="166">
        <v>2182.5523440000002</v>
      </c>
      <c r="F109" s="270">
        <f t="shared" si="23"/>
        <v>4365.1000000000004</v>
      </c>
      <c r="G109" s="270">
        <f t="shared" ref="G109:G111" si="31">ROUND(F109*1.2,2)</f>
        <v>5238.12</v>
      </c>
    </row>
    <row r="110" spans="1:7" ht="15.6" x14ac:dyDescent="0.3">
      <c r="A110" s="66">
        <f t="shared" si="26"/>
        <v>92</v>
      </c>
      <c r="B110" s="67" t="s">
        <v>1182</v>
      </c>
      <c r="C110" s="66" t="s">
        <v>220</v>
      </c>
      <c r="D110" s="71">
        <v>2</v>
      </c>
      <c r="E110" s="166">
        <v>2182.5523440000002</v>
      </c>
      <c r="F110" s="270">
        <f t="shared" si="23"/>
        <v>4365.1000000000004</v>
      </c>
      <c r="G110" s="270">
        <f t="shared" si="31"/>
        <v>5238.12</v>
      </c>
    </row>
    <row r="111" spans="1:7" ht="27.6" x14ac:dyDescent="0.3">
      <c r="A111" s="66">
        <f t="shared" si="26"/>
        <v>93</v>
      </c>
      <c r="B111" s="67" t="s">
        <v>1158</v>
      </c>
      <c r="C111" s="66" t="s">
        <v>193</v>
      </c>
      <c r="D111" s="71">
        <v>14</v>
      </c>
      <c r="E111" s="166">
        <v>13196.947202639998</v>
      </c>
      <c r="F111" s="270">
        <f t="shared" si="23"/>
        <v>184757.26</v>
      </c>
      <c r="G111" s="270">
        <f t="shared" si="31"/>
        <v>221708.71</v>
      </c>
    </row>
    <row r="112" spans="1:7" ht="15.6" x14ac:dyDescent="0.3">
      <c r="A112" s="66"/>
      <c r="B112" s="62" t="s">
        <v>1183</v>
      </c>
      <c r="C112" s="66"/>
      <c r="D112" s="71"/>
      <c r="E112" s="166">
        <v>0</v>
      </c>
      <c r="F112" s="281"/>
      <c r="G112" s="164"/>
    </row>
    <row r="113" spans="1:8" ht="27.6" x14ac:dyDescent="0.3">
      <c r="A113" s="66">
        <f>A111+1</f>
        <v>94</v>
      </c>
      <c r="B113" s="67" t="s">
        <v>526</v>
      </c>
      <c r="C113" s="66" t="s">
        <v>193</v>
      </c>
      <c r="D113" s="72">
        <f>3*0.38+3*0.283+4*0.4+4*0.265+4*0.03</f>
        <v>4.769000000000001</v>
      </c>
      <c r="E113" s="166">
        <v>25993.823904999994</v>
      </c>
      <c r="F113" s="270">
        <f>ROUND(E113*D113,2)</f>
        <v>123964.55</v>
      </c>
      <c r="G113" s="270">
        <f t="shared" ref="G113" si="32">ROUND(F113*1.2,2)</f>
        <v>148757.46</v>
      </c>
    </row>
    <row r="114" spans="1:8" ht="27.6" x14ac:dyDescent="0.3">
      <c r="A114" s="66">
        <f>A113+1</f>
        <v>95</v>
      </c>
      <c r="B114" s="67" t="s">
        <v>1184</v>
      </c>
      <c r="C114" s="66" t="s">
        <v>431</v>
      </c>
      <c r="D114" s="71">
        <v>150</v>
      </c>
      <c r="E114" s="166">
        <v>687.94736399999988</v>
      </c>
      <c r="F114" s="270">
        <f>ROUND(E114*D114,2)</f>
        <v>103192.1</v>
      </c>
      <c r="G114" s="270">
        <f t="shared" ref="G114:G115" si="33">ROUND(F114*1.2,2)</f>
        <v>123830.52</v>
      </c>
    </row>
    <row r="115" spans="1:8" ht="15.6" x14ac:dyDescent="0.3">
      <c r="A115" s="60"/>
      <c r="B115" s="665" t="s">
        <v>169</v>
      </c>
      <c r="C115" s="666"/>
      <c r="D115" s="667"/>
      <c r="E115" s="657"/>
      <c r="F115" s="668">
        <f>SUM(F81:F114)</f>
        <v>7102710.5899999999</v>
      </c>
      <c r="G115" s="668">
        <f t="shared" si="33"/>
        <v>8523252.7100000009</v>
      </c>
    </row>
    <row r="116" spans="1:8" ht="27.6" x14ac:dyDescent="0.3">
      <c r="A116" s="149"/>
      <c r="B116" s="232" t="s">
        <v>1156</v>
      </c>
      <c r="C116" s="157"/>
      <c r="D116" s="157"/>
      <c r="E116" s="157"/>
      <c r="F116" s="157"/>
      <c r="G116" s="157"/>
      <c r="H116" s="203"/>
    </row>
    <row r="117" spans="1:8" ht="15.6" x14ac:dyDescent="0.3">
      <c r="A117" s="66"/>
      <c r="B117" s="62" t="s">
        <v>513</v>
      </c>
      <c r="C117" s="66"/>
      <c r="D117" s="165"/>
      <c r="E117" s="166">
        <v>0</v>
      </c>
      <c r="F117" s="156"/>
      <c r="G117" s="164"/>
    </row>
    <row r="118" spans="1:8" ht="15.6" x14ac:dyDescent="0.3">
      <c r="A118" s="66">
        <f>A35+1</f>
        <v>30</v>
      </c>
      <c r="B118" s="67" t="s">
        <v>641</v>
      </c>
      <c r="C118" s="66" t="s">
        <v>193</v>
      </c>
      <c r="D118" s="71">
        <v>465</v>
      </c>
      <c r="E118" s="166">
        <v>464.82929999999999</v>
      </c>
      <c r="F118" s="94">
        <f t="shared" ref="F118:F127" si="34">ROUND(E118*D118,2)</f>
        <v>216145.62</v>
      </c>
      <c r="G118" s="94">
        <f t="shared" ref="G118:G137" si="35">ROUND(F118*1.2,2)</f>
        <v>259374.74</v>
      </c>
    </row>
    <row r="119" spans="1:8" ht="15.6" x14ac:dyDescent="0.3">
      <c r="A119" s="66">
        <f t="shared" ref="A119:A136" si="36">A118+1</f>
        <v>31</v>
      </c>
      <c r="B119" s="67" t="s">
        <v>515</v>
      </c>
      <c r="C119" s="66" t="s">
        <v>193</v>
      </c>
      <c r="D119" s="71">
        <v>14</v>
      </c>
      <c r="E119" s="166">
        <v>2541.5435879999995</v>
      </c>
      <c r="F119" s="94">
        <f t="shared" si="34"/>
        <v>35581.61</v>
      </c>
      <c r="G119" s="94">
        <f t="shared" si="35"/>
        <v>42697.93</v>
      </c>
    </row>
    <row r="120" spans="1:8" ht="15.6" x14ac:dyDescent="0.3">
      <c r="A120" s="66">
        <f t="shared" si="36"/>
        <v>32</v>
      </c>
      <c r="B120" s="67" t="s">
        <v>521</v>
      </c>
      <c r="C120" s="66" t="s">
        <v>193</v>
      </c>
      <c r="D120" s="71">
        <v>2</v>
      </c>
      <c r="E120" s="166">
        <v>1972.306476</v>
      </c>
      <c r="F120" s="94">
        <f t="shared" si="34"/>
        <v>3944.61</v>
      </c>
      <c r="G120" s="94">
        <f t="shared" si="35"/>
        <v>4733.53</v>
      </c>
    </row>
    <row r="121" spans="1:8" ht="15.6" x14ac:dyDescent="0.3">
      <c r="A121" s="66">
        <f t="shared" si="36"/>
        <v>33</v>
      </c>
      <c r="B121" s="67" t="s">
        <v>522</v>
      </c>
      <c r="C121" s="66" t="s">
        <v>193</v>
      </c>
      <c r="D121" s="72">
        <v>9.5</v>
      </c>
      <c r="E121" s="166">
        <v>1972.306476</v>
      </c>
      <c r="F121" s="94">
        <f t="shared" si="34"/>
        <v>18736.91</v>
      </c>
      <c r="G121" s="94">
        <f t="shared" si="35"/>
        <v>22484.29</v>
      </c>
    </row>
    <row r="122" spans="1:8" ht="15.6" x14ac:dyDescent="0.3">
      <c r="A122" s="66">
        <f t="shared" si="36"/>
        <v>34</v>
      </c>
      <c r="B122" s="67" t="s">
        <v>516</v>
      </c>
      <c r="C122" s="66" t="s">
        <v>193</v>
      </c>
      <c r="D122" s="71">
        <v>443</v>
      </c>
      <c r="E122" s="166">
        <v>178.78050000000002</v>
      </c>
      <c r="F122" s="94">
        <f t="shared" si="34"/>
        <v>79199.759999999995</v>
      </c>
      <c r="G122" s="94">
        <f t="shared" si="35"/>
        <v>95039.71</v>
      </c>
    </row>
    <row r="123" spans="1:8" ht="15.6" x14ac:dyDescent="0.3">
      <c r="A123" s="66">
        <f t="shared" si="36"/>
        <v>35</v>
      </c>
      <c r="B123" s="67" t="s">
        <v>643</v>
      </c>
      <c r="C123" s="66" t="s">
        <v>193</v>
      </c>
      <c r="D123" s="71">
        <v>23</v>
      </c>
      <c r="E123" s="166">
        <v>1285.789356</v>
      </c>
      <c r="F123" s="94">
        <f t="shared" si="34"/>
        <v>29573.16</v>
      </c>
      <c r="G123" s="94">
        <f t="shared" si="35"/>
        <v>35487.79</v>
      </c>
    </row>
    <row r="124" spans="1:8" ht="15.6" x14ac:dyDescent="0.3">
      <c r="A124" s="66">
        <f t="shared" si="36"/>
        <v>36</v>
      </c>
      <c r="B124" s="67" t="s">
        <v>451</v>
      </c>
      <c r="C124" s="66" t="s">
        <v>193</v>
      </c>
      <c r="D124" s="71">
        <v>443</v>
      </c>
      <c r="E124" s="166">
        <v>283.188312</v>
      </c>
      <c r="F124" s="94">
        <f t="shared" si="34"/>
        <v>125452.42</v>
      </c>
      <c r="G124" s="94">
        <f t="shared" si="35"/>
        <v>150542.9</v>
      </c>
    </row>
    <row r="125" spans="1:8" ht="15.6" x14ac:dyDescent="0.3">
      <c r="A125" s="66">
        <f t="shared" si="36"/>
        <v>37</v>
      </c>
      <c r="B125" s="67" t="s">
        <v>644</v>
      </c>
      <c r="C125" s="66" t="s">
        <v>431</v>
      </c>
      <c r="D125" s="71">
        <v>1860</v>
      </c>
      <c r="E125" s="166">
        <v>178.78050000000002</v>
      </c>
      <c r="F125" s="94">
        <f t="shared" si="34"/>
        <v>332531.73</v>
      </c>
      <c r="G125" s="94">
        <f t="shared" si="35"/>
        <v>399038.08</v>
      </c>
    </row>
    <row r="126" spans="1:8" ht="15.6" x14ac:dyDescent="0.3">
      <c r="A126" s="66">
        <f t="shared" si="36"/>
        <v>38</v>
      </c>
      <c r="B126" s="67" t="s">
        <v>518</v>
      </c>
      <c r="C126" s="66" t="s">
        <v>239</v>
      </c>
      <c r="D126" s="72">
        <v>20.8</v>
      </c>
      <c r="E126" s="166">
        <v>464.82929999999999</v>
      </c>
      <c r="F126" s="94">
        <f t="shared" si="34"/>
        <v>9668.4500000000007</v>
      </c>
      <c r="G126" s="94">
        <f t="shared" si="35"/>
        <v>11602.14</v>
      </c>
    </row>
    <row r="127" spans="1:8" ht="15.6" x14ac:dyDescent="0.3">
      <c r="A127" s="507">
        <f t="shared" si="36"/>
        <v>39</v>
      </c>
      <c r="B127" s="508" t="s">
        <v>503</v>
      </c>
      <c r="C127" s="507" t="s">
        <v>193</v>
      </c>
      <c r="D127" s="518">
        <f>20.8/1.6</f>
        <v>13</v>
      </c>
      <c r="E127" s="510">
        <v>1350</v>
      </c>
      <c r="F127" s="511">
        <f t="shared" si="34"/>
        <v>17550</v>
      </c>
      <c r="G127" s="511">
        <f t="shared" si="35"/>
        <v>21060</v>
      </c>
    </row>
    <row r="128" spans="1:8" ht="15.6" x14ac:dyDescent="0.3">
      <c r="A128" s="66"/>
      <c r="B128" s="62" t="s">
        <v>523</v>
      </c>
      <c r="C128" s="66"/>
      <c r="D128" s="68"/>
      <c r="E128" s="166">
        <v>0</v>
      </c>
      <c r="F128" s="94"/>
      <c r="G128" s="94"/>
    </row>
    <row r="129" spans="1:8" ht="27.6" x14ac:dyDescent="0.3">
      <c r="A129" s="66">
        <f>A127+1</f>
        <v>40</v>
      </c>
      <c r="B129" s="67" t="s">
        <v>663</v>
      </c>
      <c r="C129" s="66" t="s">
        <v>194</v>
      </c>
      <c r="D129" s="71">
        <v>32</v>
      </c>
      <c r="E129" s="166">
        <v>1730.5952400000001</v>
      </c>
      <c r="F129" s="94">
        <f t="shared" ref="F129:F136" si="37">ROUND(E129*D129,2)</f>
        <v>55379.05</v>
      </c>
      <c r="G129" s="94">
        <f t="shared" si="35"/>
        <v>66454.86</v>
      </c>
    </row>
    <row r="130" spans="1:8" ht="41.4" x14ac:dyDescent="0.3">
      <c r="A130" s="66">
        <f t="shared" si="36"/>
        <v>41</v>
      </c>
      <c r="B130" s="67" t="s">
        <v>1157</v>
      </c>
      <c r="C130" s="66" t="s">
        <v>194</v>
      </c>
      <c r="D130" s="72">
        <v>7.5</v>
      </c>
      <c r="E130" s="166">
        <v>2595.8928599999999</v>
      </c>
      <c r="F130" s="94">
        <f t="shared" si="37"/>
        <v>19469.2</v>
      </c>
      <c r="G130" s="94">
        <f t="shared" si="35"/>
        <v>23363.040000000001</v>
      </c>
    </row>
    <row r="131" spans="1:8" ht="15.6" x14ac:dyDescent="0.3">
      <c r="A131" s="66">
        <f t="shared" si="36"/>
        <v>42</v>
      </c>
      <c r="B131" s="67" t="s">
        <v>648</v>
      </c>
      <c r="C131" s="66" t="s">
        <v>194</v>
      </c>
      <c r="D131" s="72">
        <v>7.5</v>
      </c>
      <c r="E131" s="166">
        <v>1732.025484</v>
      </c>
      <c r="F131" s="94">
        <f t="shared" si="37"/>
        <v>12990.19</v>
      </c>
      <c r="G131" s="94">
        <f t="shared" si="35"/>
        <v>15588.23</v>
      </c>
    </row>
    <row r="132" spans="1:8" ht="15.6" x14ac:dyDescent="0.3">
      <c r="A132" s="66">
        <f t="shared" si="36"/>
        <v>43</v>
      </c>
      <c r="B132" s="67" t="s">
        <v>649</v>
      </c>
      <c r="C132" s="66" t="s">
        <v>650</v>
      </c>
      <c r="D132" s="71">
        <v>1</v>
      </c>
      <c r="E132" s="166">
        <v>4858.5388679999996</v>
      </c>
      <c r="F132" s="94">
        <f t="shared" si="37"/>
        <v>4858.54</v>
      </c>
      <c r="G132" s="94">
        <f t="shared" si="35"/>
        <v>5830.25</v>
      </c>
    </row>
    <row r="133" spans="1:8" ht="27.6" x14ac:dyDescent="0.3">
      <c r="A133" s="66">
        <f t="shared" si="36"/>
        <v>44</v>
      </c>
      <c r="B133" s="67" t="s">
        <v>664</v>
      </c>
      <c r="C133" s="66" t="s">
        <v>220</v>
      </c>
      <c r="D133" s="71">
        <v>2</v>
      </c>
      <c r="E133" s="166">
        <v>9717.0777359999993</v>
      </c>
      <c r="F133" s="94">
        <f t="shared" si="37"/>
        <v>19434.16</v>
      </c>
      <c r="G133" s="94">
        <f t="shared" si="35"/>
        <v>23320.99</v>
      </c>
    </row>
    <row r="134" spans="1:8" ht="27.6" x14ac:dyDescent="0.3">
      <c r="A134" s="66">
        <f t="shared" si="36"/>
        <v>45</v>
      </c>
      <c r="B134" s="67" t="s">
        <v>665</v>
      </c>
      <c r="C134" s="66" t="s">
        <v>220</v>
      </c>
      <c r="D134" s="71">
        <v>2</v>
      </c>
      <c r="E134" s="166">
        <v>2092.4469720000002</v>
      </c>
      <c r="F134" s="94">
        <f t="shared" si="37"/>
        <v>4184.8900000000003</v>
      </c>
      <c r="G134" s="94">
        <f t="shared" si="35"/>
        <v>5021.87</v>
      </c>
    </row>
    <row r="135" spans="1:8" ht="41.4" x14ac:dyDescent="0.3">
      <c r="A135" s="66">
        <f t="shared" si="36"/>
        <v>46</v>
      </c>
      <c r="B135" s="67" t="s">
        <v>666</v>
      </c>
      <c r="C135" s="66" t="s">
        <v>220</v>
      </c>
      <c r="D135" s="71">
        <v>2</v>
      </c>
      <c r="E135" s="166">
        <v>5055.9125400000003</v>
      </c>
      <c r="F135" s="94">
        <f t="shared" si="37"/>
        <v>10111.83</v>
      </c>
      <c r="G135" s="94">
        <f t="shared" si="35"/>
        <v>12134.2</v>
      </c>
    </row>
    <row r="136" spans="1:8" ht="27.6" x14ac:dyDescent="0.3">
      <c r="A136" s="87">
        <f t="shared" si="36"/>
        <v>47</v>
      </c>
      <c r="B136" s="249" t="s">
        <v>1158</v>
      </c>
      <c r="C136" s="87" t="s">
        <v>193</v>
      </c>
      <c r="D136" s="251">
        <v>0.7</v>
      </c>
      <c r="E136" s="166">
        <v>13196.947202639998</v>
      </c>
      <c r="F136" s="99">
        <f t="shared" si="37"/>
        <v>9237.86</v>
      </c>
      <c r="G136" s="99">
        <f t="shared" si="35"/>
        <v>11085.43</v>
      </c>
    </row>
    <row r="137" spans="1:8" ht="15.6" x14ac:dyDescent="0.3">
      <c r="A137" s="240"/>
      <c r="B137" s="216" t="s">
        <v>169</v>
      </c>
      <c r="C137" s="240"/>
      <c r="D137" s="670"/>
      <c r="E137" s="671"/>
      <c r="F137" s="672">
        <f>SUM(F117:F136)</f>
        <v>1004049.9899999998</v>
      </c>
      <c r="G137" s="672">
        <f t="shared" si="35"/>
        <v>1204859.99</v>
      </c>
    </row>
    <row r="138" spans="1:8" ht="27.6" x14ac:dyDescent="0.3">
      <c r="A138" s="149"/>
      <c r="B138" s="232" t="s">
        <v>1159</v>
      </c>
      <c r="C138" s="157"/>
      <c r="D138" s="161"/>
      <c r="E138" s="161"/>
      <c r="F138" s="161"/>
      <c r="G138" s="161"/>
      <c r="H138" s="203"/>
    </row>
    <row r="139" spans="1:8" ht="15.6" x14ac:dyDescent="0.3">
      <c r="A139" s="66"/>
      <c r="B139" s="62" t="s">
        <v>513</v>
      </c>
      <c r="C139" s="66"/>
      <c r="D139" s="165"/>
      <c r="E139" s="166">
        <v>0</v>
      </c>
      <c r="F139" s="156"/>
      <c r="G139" s="164"/>
    </row>
    <row r="140" spans="1:8" ht="15.6" x14ac:dyDescent="0.3">
      <c r="A140" s="66">
        <f>A136+1</f>
        <v>48</v>
      </c>
      <c r="B140" s="67" t="s">
        <v>641</v>
      </c>
      <c r="C140" s="66" t="s">
        <v>193</v>
      </c>
      <c r="D140" s="71">
        <v>310</v>
      </c>
      <c r="E140" s="166">
        <v>464.82929999999999</v>
      </c>
      <c r="F140" s="94">
        <f t="shared" ref="F140:F149" si="38">ROUND(E140*D140,2)</f>
        <v>144097.07999999999</v>
      </c>
      <c r="G140" s="94">
        <f t="shared" ref="G140:G158" si="39">ROUND(F140*1.2,2)</f>
        <v>172916.5</v>
      </c>
    </row>
    <row r="141" spans="1:8" ht="15.6" x14ac:dyDescent="0.3">
      <c r="A141" s="66">
        <f>A140+1</f>
        <v>49</v>
      </c>
      <c r="B141" s="67" t="s">
        <v>515</v>
      </c>
      <c r="C141" s="66" t="s">
        <v>193</v>
      </c>
      <c r="D141" s="71">
        <v>9</v>
      </c>
      <c r="E141" s="166">
        <v>2541.5435879999995</v>
      </c>
      <c r="F141" s="94">
        <f t="shared" si="38"/>
        <v>22873.89</v>
      </c>
      <c r="G141" s="94">
        <f t="shared" si="39"/>
        <v>27448.67</v>
      </c>
    </row>
    <row r="142" spans="1:8" ht="15.6" x14ac:dyDescent="0.3">
      <c r="A142" s="66">
        <f t="shared" ref="A142:A149" si="40">A141+1</f>
        <v>50</v>
      </c>
      <c r="B142" s="67" t="s">
        <v>521</v>
      </c>
      <c r="C142" s="66" t="s">
        <v>193</v>
      </c>
      <c r="D142" s="71">
        <v>3</v>
      </c>
      <c r="E142" s="166">
        <v>1972.306476</v>
      </c>
      <c r="F142" s="94">
        <f t="shared" si="38"/>
        <v>5916.92</v>
      </c>
      <c r="G142" s="94">
        <f t="shared" si="39"/>
        <v>7100.3</v>
      </c>
    </row>
    <row r="143" spans="1:8" ht="15.6" x14ac:dyDescent="0.3">
      <c r="A143" s="66">
        <f t="shared" si="40"/>
        <v>51</v>
      </c>
      <c r="B143" s="67" t="s">
        <v>522</v>
      </c>
      <c r="C143" s="66" t="s">
        <v>193</v>
      </c>
      <c r="D143" s="72">
        <v>12</v>
      </c>
      <c r="E143" s="166">
        <v>1972.306476</v>
      </c>
      <c r="F143" s="94">
        <f t="shared" si="38"/>
        <v>23667.68</v>
      </c>
      <c r="G143" s="94">
        <f t="shared" si="39"/>
        <v>28401.22</v>
      </c>
    </row>
    <row r="144" spans="1:8" ht="15.6" x14ac:dyDescent="0.3">
      <c r="A144" s="66">
        <f t="shared" si="40"/>
        <v>52</v>
      </c>
      <c r="B144" s="67" t="s">
        <v>516</v>
      </c>
      <c r="C144" s="66" t="s">
        <v>193</v>
      </c>
      <c r="D144" s="71">
        <v>287</v>
      </c>
      <c r="E144" s="166">
        <v>178.78050000000002</v>
      </c>
      <c r="F144" s="94">
        <f t="shared" si="38"/>
        <v>51310</v>
      </c>
      <c r="G144" s="94">
        <f t="shared" si="39"/>
        <v>61572</v>
      </c>
    </row>
    <row r="145" spans="1:7" ht="15.6" x14ac:dyDescent="0.3">
      <c r="A145" s="66">
        <f t="shared" si="40"/>
        <v>53</v>
      </c>
      <c r="B145" s="67" t="s">
        <v>643</v>
      </c>
      <c r="C145" s="66" t="s">
        <v>193</v>
      </c>
      <c r="D145" s="71">
        <v>15</v>
      </c>
      <c r="E145" s="166">
        <v>1285.789356</v>
      </c>
      <c r="F145" s="94">
        <f t="shared" si="38"/>
        <v>19286.84</v>
      </c>
      <c r="G145" s="94">
        <f t="shared" si="39"/>
        <v>23144.21</v>
      </c>
    </row>
    <row r="146" spans="1:7" ht="15.6" x14ac:dyDescent="0.3">
      <c r="A146" s="66">
        <f t="shared" si="40"/>
        <v>54</v>
      </c>
      <c r="B146" s="67" t="s">
        <v>451</v>
      </c>
      <c r="C146" s="66" t="s">
        <v>193</v>
      </c>
      <c r="D146" s="71">
        <v>287</v>
      </c>
      <c r="E146" s="166">
        <v>283.188312</v>
      </c>
      <c r="F146" s="94">
        <f t="shared" si="38"/>
        <v>81275.05</v>
      </c>
      <c r="G146" s="94">
        <f t="shared" si="39"/>
        <v>97530.06</v>
      </c>
    </row>
    <row r="147" spans="1:7" ht="15.6" x14ac:dyDescent="0.3">
      <c r="A147" s="66">
        <f t="shared" si="40"/>
        <v>55</v>
      </c>
      <c r="B147" s="67" t="s">
        <v>644</v>
      </c>
      <c r="C147" s="66" t="s">
        <v>431</v>
      </c>
      <c r="D147" s="71">
        <v>9240</v>
      </c>
      <c r="E147" s="166">
        <v>178.78050000000002</v>
      </c>
      <c r="F147" s="94">
        <f t="shared" si="38"/>
        <v>1651931.82</v>
      </c>
      <c r="G147" s="94">
        <f t="shared" si="39"/>
        <v>1982318.18</v>
      </c>
    </row>
    <row r="148" spans="1:7" ht="15.6" x14ac:dyDescent="0.3">
      <c r="A148" s="66">
        <f t="shared" si="40"/>
        <v>56</v>
      </c>
      <c r="B148" s="67" t="s">
        <v>518</v>
      </c>
      <c r="C148" s="66" t="s">
        <v>239</v>
      </c>
      <c r="D148" s="72">
        <v>27.2</v>
      </c>
      <c r="E148" s="166">
        <v>464.82929999999999</v>
      </c>
      <c r="F148" s="94">
        <f t="shared" si="38"/>
        <v>12643.36</v>
      </c>
      <c r="G148" s="94">
        <f t="shared" si="39"/>
        <v>15172.03</v>
      </c>
    </row>
    <row r="149" spans="1:7" ht="15.6" x14ac:dyDescent="0.3">
      <c r="A149" s="507">
        <f t="shared" si="40"/>
        <v>57</v>
      </c>
      <c r="B149" s="508" t="s">
        <v>503</v>
      </c>
      <c r="C149" s="507" t="s">
        <v>193</v>
      </c>
      <c r="D149" s="518">
        <f>27.2/1.6</f>
        <v>17</v>
      </c>
      <c r="E149" s="510">
        <v>1350</v>
      </c>
      <c r="F149" s="511">
        <f t="shared" si="38"/>
        <v>22950</v>
      </c>
      <c r="G149" s="511">
        <f t="shared" si="39"/>
        <v>27540</v>
      </c>
    </row>
    <row r="150" spans="1:7" ht="15.6" x14ac:dyDescent="0.3">
      <c r="A150" s="66"/>
      <c r="B150" s="62" t="s">
        <v>523</v>
      </c>
      <c r="C150" s="66"/>
      <c r="D150" s="68"/>
      <c r="E150" s="166">
        <v>0</v>
      </c>
      <c r="F150" s="94"/>
      <c r="G150" s="94"/>
    </row>
    <row r="151" spans="1:7" ht="27.6" x14ac:dyDescent="0.3">
      <c r="A151" s="66">
        <f>A149+1</f>
        <v>58</v>
      </c>
      <c r="B151" s="67" t="s">
        <v>645</v>
      </c>
      <c r="C151" s="66" t="s">
        <v>194</v>
      </c>
      <c r="D151" s="71">
        <v>50</v>
      </c>
      <c r="E151" s="166">
        <v>1454.5581479999998</v>
      </c>
      <c r="F151" s="94">
        <f t="shared" ref="F151:F158" si="41">ROUND(E151*D151,2)</f>
        <v>72727.91</v>
      </c>
      <c r="G151" s="94">
        <f t="shared" si="39"/>
        <v>87273.49</v>
      </c>
    </row>
    <row r="152" spans="1:7" ht="41.4" x14ac:dyDescent="0.3">
      <c r="A152" s="66">
        <f>A151+1</f>
        <v>59</v>
      </c>
      <c r="B152" s="67" t="s">
        <v>1161</v>
      </c>
      <c r="C152" s="66" t="s">
        <v>194</v>
      </c>
      <c r="D152" s="71">
        <v>17</v>
      </c>
      <c r="E152" s="166">
        <v>2183.9825879999994</v>
      </c>
      <c r="F152" s="94">
        <f t="shared" si="41"/>
        <v>37127.699999999997</v>
      </c>
      <c r="G152" s="94">
        <f t="shared" si="39"/>
        <v>44553.24</v>
      </c>
    </row>
    <row r="153" spans="1:7" ht="15.6" x14ac:dyDescent="0.3">
      <c r="A153" s="66">
        <f t="shared" ref="A153:A158" si="42">A152+1</f>
        <v>60</v>
      </c>
      <c r="B153" s="67" t="s">
        <v>648</v>
      </c>
      <c r="C153" s="66" t="s">
        <v>194</v>
      </c>
      <c r="D153" s="71">
        <v>17</v>
      </c>
      <c r="E153" s="166">
        <v>1633.3386479999999</v>
      </c>
      <c r="F153" s="94">
        <f t="shared" si="41"/>
        <v>27766.76</v>
      </c>
      <c r="G153" s="94">
        <f t="shared" si="39"/>
        <v>33320.11</v>
      </c>
    </row>
    <row r="154" spans="1:7" ht="15.6" x14ac:dyDescent="0.3">
      <c r="A154" s="66">
        <f t="shared" si="42"/>
        <v>61</v>
      </c>
      <c r="B154" s="67" t="s">
        <v>649</v>
      </c>
      <c r="C154" s="66" t="s">
        <v>650</v>
      </c>
      <c r="D154" s="71">
        <v>1</v>
      </c>
      <c r="E154" s="166">
        <v>4858.5388679999996</v>
      </c>
      <c r="F154" s="94">
        <f t="shared" si="41"/>
        <v>4858.54</v>
      </c>
      <c r="G154" s="94">
        <f t="shared" si="39"/>
        <v>5830.25</v>
      </c>
    </row>
    <row r="155" spans="1:7" ht="27.6" x14ac:dyDescent="0.3">
      <c r="A155" s="66">
        <f t="shared" si="42"/>
        <v>62</v>
      </c>
      <c r="B155" s="67" t="s">
        <v>667</v>
      </c>
      <c r="C155" s="66" t="s">
        <v>220</v>
      </c>
      <c r="D155" s="71">
        <v>2</v>
      </c>
      <c r="E155" s="166">
        <v>5708.1038040000003</v>
      </c>
      <c r="F155" s="94">
        <f t="shared" si="41"/>
        <v>11416.21</v>
      </c>
      <c r="G155" s="94">
        <f t="shared" si="39"/>
        <v>13699.45</v>
      </c>
    </row>
    <row r="156" spans="1:7" ht="27.6" x14ac:dyDescent="0.3">
      <c r="A156" s="66">
        <f t="shared" si="42"/>
        <v>63</v>
      </c>
      <c r="B156" s="67" t="s">
        <v>668</v>
      </c>
      <c r="C156" s="66" t="s">
        <v>220</v>
      </c>
      <c r="D156" s="71">
        <v>2</v>
      </c>
      <c r="E156" s="166">
        <v>2092.4469720000002</v>
      </c>
      <c r="F156" s="94">
        <f t="shared" si="41"/>
        <v>4184.8900000000003</v>
      </c>
      <c r="G156" s="94">
        <f t="shared" si="39"/>
        <v>5021.87</v>
      </c>
    </row>
    <row r="157" spans="1:7" ht="41.4" x14ac:dyDescent="0.3">
      <c r="A157" s="66">
        <f t="shared" si="42"/>
        <v>64</v>
      </c>
      <c r="B157" s="67" t="s">
        <v>657</v>
      </c>
      <c r="C157" s="66" t="s">
        <v>220</v>
      </c>
      <c r="D157" s="71">
        <v>2</v>
      </c>
      <c r="E157" s="166">
        <v>5055.9125400000003</v>
      </c>
      <c r="F157" s="94">
        <f t="shared" si="41"/>
        <v>10111.83</v>
      </c>
      <c r="G157" s="94">
        <f t="shared" si="39"/>
        <v>12134.2</v>
      </c>
    </row>
    <row r="158" spans="1:7" ht="27.6" x14ac:dyDescent="0.3">
      <c r="A158" s="87">
        <f t="shared" si="42"/>
        <v>65</v>
      </c>
      <c r="B158" s="249" t="s">
        <v>1158</v>
      </c>
      <c r="C158" s="87" t="s">
        <v>193</v>
      </c>
      <c r="D158" s="251">
        <v>1.3</v>
      </c>
      <c r="E158" s="166">
        <v>13196.947202639998</v>
      </c>
      <c r="F158" s="99">
        <f t="shared" si="41"/>
        <v>17156.03</v>
      </c>
      <c r="G158" s="99">
        <f t="shared" si="39"/>
        <v>20587.240000000002</v>
      </c>
    </row>
    <row r="159" spans="1:7" s="1" customFormat="1" ht="15.6" x14ac:dyDescent="0.3">
      <c r="A159" s="653"/>
      <c r="B159" s="654" t="s">
        <v>169</v>
      </c>
      <c r="C159" s="655"/>
      <c r="D159" s="660"/>
      <c r="E159" s="657"/>
      <c r="F159" s="672">
        <f>SUM(F139:F158)</f>
        <v>2221302.5100000002</v>
      </c>
      <c r="G159" s="672">
        <f>SUM(G139:G158)</f>
        <v>2665563.0200000005</v>
      </c>
    </row>
    <row r="160" spans="1:7" ht="25.5" customHeight="1" x14ac:dyDescent="0.3">
      <c r="A160" s="149"/>
      <c r="B160" s="232" t="s">
        <v>580</v>
      </c>
      <c r="C160" s="157"/>
      <c r="D160" s="157"/>
      <c r="E160" s="157"/>
      <c r="F160" s="157"/>
      <c r="G160" s="157"/>
    </row>
    <row r="161" spans="1:8" ht="15.6" x14ac:dyDescent="0.3">
      <c r="A161" s="87"/>
      <c r="B161" s="85" t="s">
        <v>1080</v>
      </c>
      <c r="C161" s="87"/>
      <c r="D161" s="148"/>
      <c r="E161" s="166">
        <v>0</v>
      </c>
      <c r="F161" s="156"/>
      <c r="G161" s="250"/>
    </row>
    <row r="162" spans="1:8" ht="15.6" x14ac:dyDescent="0.3">
      <c r="A162" s="87"/>
      <c r="B162" s="85" t="s">
        <v>513</v>
      </c>
      <c r="C162" s="87"/>
      <c r="D162" s="148"/>
      <c r="E162" s="166">
        <v>0</v>
      </c>
      <c r="F162" s="156"/>
      <c r="G162" s="250"/>
    </row>
    <row r="163" spans="1:8" ht="15.6" x14ac:dyDescent="0.3">
      <c r="A163" s="87">
        <f>A158+1</f>
        <v>66</v>
      </c>
      <c r="B163" s="233" t="s">
        <v>669</v>
      </c>
      <c r="C163" s="87" t="s">
        <v>193</v>
      </c>
      <c r="D163" s="217">
        <v>9.8800000000000008</v>
      </c>
      <c r="E163" s="166">
        <v>534.91125600000009</v>
      </c>
      <c r="F163" s="99">
        <f t="shared" ref="F163:F168" si="43">ROUND(E163*D163,2)</f>
        <v>5284.92</v>
      </c>
      <c r="G163" s="99">
        <f t="shared" ref="G163" si="44">ROUND(F163*1.2,2)</f>
        <v>6341.9</v>
      </c>
    </row>
    <row r="164" spans="1:8" ht="15.6" x14ac:dyDescent="0.3">
      <c r="A164" s="87">
        <f>A163+1</f>
        <v>67</v>
      </c>
      <c r="B164" s="233" t="s">
        <v>671</v>
      </c>
      <c r="C164" s="87" t="s">
        <v>193</v>
      </c>
      <c r="D164" s="218">
        <v>0.4</v>
      </c>
      <c r="E164" s="166">
        <v>2033.8069679999999</v>
      </c>
      <c r="F164" s="99">
        <f t="shared" si="43"/>
        <v>813.52</v>
      </c>
      <c r="G164" s="99">
        <f t="shared" ref="G164:G168" si="45">ROUND(F164*1.2,2)</f>
        <v>976.22</v>
      </c>
    </row>
    <row r="165" spans="1:8" ht="15.6" x14ac:dyDescent="0.3">
      <c r="A165" s="87">
        <f t="shared" ref="A165:A168" si="46">A164+1</f>
        <v>68</v>
      </c>
      <c r="B165" s="233" t="s">
        <v>672</v>
      </c>
      <c r="C165" s="87" t="s">
        <v>193</v>
      </c>
      <c r="D165" s="217">
        <v>7.54</v>
      </c>
      <c r="E165" s="166">
        <v>178.78050000000002</v>
      </c>
      <c r="F165" s="99">
        <f t="shared" si="43"/>
        <v>1348</v>
      </c>
      <c r="G165" s="99">
        <f t="shared" si="45"/>
        <v>1617.6</v>
      </c>
    </row>
    <row r="166" spans="1:8" ht="15.6" x14ac:dyDescent="0.3">
      <c r="A166" s="87">
        <f t="shared" si="46"/>
        <v>69</v>
      </c>
      <c r="B166" s="233" t="s">
        <v>451</v>
      </c>
      <c r="C166" s="87" t="s">
        <v>193</v>
      </c>
      <c r="D166" s="217">
        <v>7.54</v>
      </c>
      <c r="E166" s="166">
        <v>283.188312</v>
      </c>
      <c r="F166" s="99">
        <f t="shared" si="43"/>
        <v>2135.2399999999998</v>
      </c>
      <c r="G166" s="99">
        <f t="shared" si="45"/>
        <v>2562.29</v>
      </c>
    </row>
    <row r="167" spans="1:8" ht="15.6" x14ac:dyDescent="0.3">
      <c r="A167" s="87">
        <f t="shared" si="46"/>
        <v>70</v>
      </c>
      <c r="B167" s="233" t="s">
        <v>518</v>
      </c>
      <c r="C167" s="87" t="s">
        <v>239</v>
      </c>
      <c r="D167" s="217">
        <v>4.4400000000000004</v>
      </c>
      <c r="E167" s="166">
        <v>464.82929999999999</v>
      </c>
      <c r="F167" s="99">
        <f t="shared" si="43"/>
        <v>2063.84</v>
      </c>
      <c r="G167" s="99">
        <f t="shared" si="45"/>
        <v>2476.61</v>
      </c>
    </row>
    <row r="168" spans="1:8" ht="15.6" x14ac:dyDescent="0.3">
      <c r="A168" s="507">
        <f t="shared" si="46"/>
        <v>71</v>
      </c>
      <c r="B168" s="508" t="s">
        <v>503</v>
      </c>
      <c r="C168" s="507" t="s">
        <v>193</v>
      </c>
      <c r="D168" s="509">
        <f>4.44/1.6</f>
        <v>2.7749999999999999</v>
      </c>
      <c r="E168" s="510">
        <v>1350</v>
      </c>
      <c r="F168" s="511">
        <f t="shared" si="43"/>
        <v>3746.25</v>
      </c>
      <c r="G168" s="511">
        <f t="shared" si="45"/>
        <v>4495.5</v>
      </c>
    </row>
    <row r="169" spans="1:8" ht="15.6" x14ac:dyDescent="0.3">
      <c r="A169" s="87"/>
      <c r="B169" s="85" t="s">
        <v>525</v>
      </c>
      <c r="C169" s="87"/>
      <c r="D169" s="148"/>
      <c r="E169" s="166">
        <v>0</v>
      </c>
      <c r="F169" s="156"/>
      <c r="G169" s="250"/>
    </row>
    <row r="170" spans="1:8" ht="27.6" x14ac:dyDescent="0.3">
      <c r="A170" s="87">
        <f>A168+1</f>
        <v>72</v>
      </c>
      <c r="B170" s="233" t="s">
        <v>526</v>
      </c>
      <c r="C170" s="87" t="s">
        <v>193</v>
      </c>
      <c r="D170" s="218">
        <f>0.18+0.1+0.242+0.16*2+0.03+0.05</f>
        <v>0.92200000000000015</v>
      </c>
      <c r="E170" s="166">
        <v>25993.823904999994</v>
      </c>
      <c r="F170" s="99">
        <f>ROUND(E170*D170,2)</f>
        <v>23966.31</v>
      </c>
      <c r="G170" s="99">
        <f t="shared" ref="G170:G171" si="47">ROUND(F170*1.2,2)</f>
        <v>28759.57</v>
      </c>
    </row>
    <row r="171" spans="1:8" ht="41.4" x14ac:dyDescent="0.3">
      <c r="A171" s="102">
        <f>A170+1</f>
        <v>73</v>
      </c>
      <c r="B171" s="287" t="s">
        <v>1081</v>
      </c>
      <c r="C171" s="102" t="s">
        <v>220</v>
      </c>
      <c r="D171" s="290">
        <v>1</v>
      </c>
      <c r="E171" s="271">
        <v>17893.782683999998</v>
      </c>
      <c r="F171" s="270">
        <f>ROUND(E171*D171,2)</f>
        <v>17893.78</v>
      </c>
      <c r="G171" s="270">
        <f t="shared" si="47"/>
        <v>21472.54</v>
      </c>
    </row>
    <row r="172" spans="1:8" ht="15.6" x14ac:dyDescent="0.3">
      <c r="A172" s="102">
        <f>A171+1</f>
        <v>74</v>
      </c>
      <c r="B172" s="287" t="s">
        <v>1082</v>
      </c>
      <c r="C172" s="102" t="s">
        <v>220</v>
      </c>
      <c r="D172" s="290">
        <v>1</v>
      </c>
      <c r="E172" s="271">
        <v>20795.747760000002</v>
      </c>
      <c r="F172" s="270">
        <f>ROUND(E172*D172,2)</f>
        <v>20795.75</v>
      </c>
      <c r="G172" s="270">
        <f t="shared" ref="G172:G174" si="48">ROUND(F172*1.2,2)</f>
        <v>24954.9</v>
      </c>
    </row>
    <row r="173" spans="1:8" ht="15.6" x14ac:dyDescent="0.3">
      <c r="A173" s="102">
        <f t="shared" ref="A173:A174" si="49">A172+1</f>
        <v>75</v>
      </c>
      <c r="B173" s="287" t="s">
        <v>917</v>
      </c>
      <c r="C173" s="102" t="s">
        <v>239</v>
      </c>
      <c r="D173" s="336">
        <f>0.45+0.25+0.6+0.4+0.2+0.492+0.48+16.2</f>
        <v>19.071999999999999</v>
      </c>
      <c r="E173" s="271">
        <v>649.42916526845636</v>
      </c>
      <c r="F173" s="270">
        <f>ROUND(E173*D173,2)</f>
        <v>12385.91</v>
      </c>
      <c r="G173" s="270">
        <f t="shared" si="48"/>
        <v>14863.09</v>
      </c>
      <c r="H173" s="202" t="s">
        <v>1614</v>
      </c>
    </row>
    <row r="174" spans="1:8" ht="27.6" x14ac:dyDescent="0.3">
      <c r="A174" s="512">
        <f t="shared" si="49"/>
        <v>76</v>
      </c>
      <c r="B174" s="514" t="s">
        <v>851</v>
      </c>
      <c r="C174" s="512" t="s">
        <v>193</v>
      </c>
      <c r="D174" s="517">
        <f>(0.45+0.25+0.6+0.4+0.2+0.492+0.48+16.2)/1.6</f>
        <v>11.919999999999998</v>
      </c>
      <c r="E174" s="516">
        <v>1350</v>
      </c>
      <c r="F174" s="511">
        <f>ROUND(E174*D174,2)</f>
        <v>16092</v>
      </c>
      <c r="G174" s="511">
        <f t="shared" si="48"/>
        <v>19310.400000000001</v>
      </c>
      <c r="H174" s="202" t="s">
        <v>1614</v>
      </c>
    </row>
    <row r="175" spans="1:8" ht="41.4" x14ac:dyDescent="0.3">
      <c r="A175" s="102"/>
      <c r="B175" s="337" t="s">
        <v>1083</v>
      </c>
      <c r="C175" s="102"/>
      <c r="D175" s="290"/>
      <c r="E175" s="271">
        <v>0</v>
      </c>
      <c r="F175" s="160"/>
      <c r="G175" s="164"/>
    </row>
    <row r="176" spans="1:8" ht="15.6" x14ac:dyDescent="0.3">
      <c r="A176" s="102"/>
      <c r="B176" s="337" t="s">
        <v>1084</v>
      </c>
      <c r="C176" s="102"/>
      <c r="D176" s="290"/>
      <c r="E176" s="271">
        <v>0</v>
      </c>
      <c r="F176" s="160"/>
      <c r="G176" s="164"/>
    </row>
    <row r="177" spans="1:7" ht="15.6" x14ac:dyDescent="0.3">
      <c r="A177" s="102"/>
      <c r="B177" s="337" t="s">
        <v>513</v>
      </c>
      <c r="C177" s="102"/>
      <c r="D177" s="290"/>
      <c r="E177" s="271">
        <v>0</v>
      </c>
      <c r="F177" s="160"/>
      <c r="G177" s="164"/>
    </row>
    <row r="178" spans="1:7" ht="27.6" x14ac:dyDescent="0.3">
      <c r="A178" s="102">
        <f>A174+1</f>
        <v>77</v>
      </c>
      <c r="B178" s="287" t="s">
        <v>1086</v>
      </c>
      <c r="C178" s="102" t="s">
        <v>193</v>
      </c>
      <c r="D178" s="288">
        <v>2612.46</v>
      </c>
      <c r="E178" s="271">
        <v>534.91125600000009</v>
      </c>
      <c r="F178" s="270">
        <f t="shared" ref="F178:F192" si="50">ROUND(E178*D178,2)</f>
        <v>1397434.26</v>
      </c>
      <c r="G178" s="270">
        <f t="shared" ref="G178:G192" si="51">ROUND(F178*1.2,2)</f>
        <v>1676921.11</v>
      </c>
    </row>
    <row r="179" spans="1:7" ht="15.6" x14ac:dyDescent="0.3">
      <c r="A179" s="102">
        <f>A178+1</f>
        <v>78</v>
      </c>
      <c r="B179" s="287" t="s">
        <v>515</v>
      </c>
      <c r="C179" s="102" t="s">
        <v>193</v>
      </c>
      <c r="D179" s="288">
        <v>80.8</v>
      </c>
      <c r="E179" s="271">
        <v>2541.5435879999995</v>
      </c>
      <c r="F179" s="270">
        <f t="shared" si="50"/>
        <v>205356.72</v>
      </c>
      <c r="G179" s="270">
        <f t="shared" si="51"/>
        <v>246428.06</v>
      </c>
    </row>
    <row r="180" spans="1:7" ht="15.6" x14ac:dyDescent="0.3">
      <c r="A180" s="102">
        <f t="shared" ref="A180:A192" si="52">A179+1</f>
        <v>79</v>
      </c>
      <c r="B180" s="287" t="s">
        <v>1085</v>
      </c>
      <c r="C180" s="102" t="s">
        <v>193</v>
      </c>
      <c r="D180" s="288">
        <v>30.99</v>
      </c>
      <c r="E180" s="271">
        <v>1972.306476</v>
      </c>
      <c r="F180" s="270">
        <f t="shared" si="50"/>
        <v>61121.78</v>
      </c>
      <c r="G180" s="270">
        <f t="shared" si="51"/>
        <v>73346.14</v>
      </c>
    </row>
    <row r="181" spans="1:7" ht="15.6" x14ac:dyDescent="0.3">
      <c r="A181" s="102">
        <f t="shared" si="52"/>
        <v>80</v>
      </c>
      <c r="B181" s="287" t="s">
        <v>1113</v>
      </c>
      <c r="C181" s="102" t="s">
        <v>193</v>
      </c>
      <c r="D181" s="288">
        <v>660.24</v>
      </c>
      <c r="E181" s="271">
        <v>1972.306476</v>
      </c>
      <c r="F181" s="270">
        <f t="shared" si="50"/>
        <v>1302195.6299999999</v>
      </c>
      <c r="G181" s="270">
        <f t="shared" si="51"/>
        <v>1562634.76</v>
      </c>
    </row>
    <row r="182" spans="1:7" ht="27.6" x14ac:dyDescent="0.3">
      <c r="A182" s="102">
        <f t="shared" si="52"/>
        <v>81</v>
      </c>
      <c r="B182" s="287" t="s">
        <v>1087</v>
      </c>
      <c r="C182" s="102" t="s">
        <v>193</v>
      </c>
      <c r="D182" s="288">
        <v>196.21</v>
      </c>
      <c r="E182" s="271">
        <v>534.91125600000009</v>
      </c>
      <c r="F182" s="270">
        <f t="shared" si="50"/>
        <v>104954.94</v>
      </c>
      <c r="G182" s="270">
        <f t="shared" ref="G182" si="53">ROUND(F182*1.2,2)</f>
        <v>125945.93</v>
      </c>
    </row>
    <row r="183" spans="1:7" ht="15.6" x14ac:dyDescent="0.3">
      <c r="A183" s="87">
        <f t="shared" si="52"/>
        <v>82</v>
      </c>
      <c r="B183" s="233" t="s">
        <v>671</v>
      </c>
      <c r="C183" s="87" t="s">
        <v>193</v>
      </c>
      <c r="D183" s="217">
        <v>4.7300000000000004</v>
      </c>
      <c r="E183" s="166">
        <v>2033.8069679999999</v>
      </c>
      <c r="F183" s="99">
        <f t="shared" si="50"/>
        <v>9619.91</v>
      </c>
      <c r="G183" s="99">
        <f t="shared" si="51"/>
        <v>11543.89</v>
      </c>
    </row>
    <row r="184" spans="1:7" ht="27.6" x14ac:dyDescent="0.3">
      <c r="A184" s="87">
        <f t="shared" si="52"/>
        <v>83</v>
      </c>
      <c r="B184" s="233" t="s">
        <v>1088</v>
      </c>
      <c r="C184" s="87" t="s">
        <v>194</v>
      </c>
      <c r="D184" s="148">
        <v>35</v>
      </c>
      <c r="E184" s="166">
        <v>6930.9624239999994</v>
      </c>
      <c r="F184" s="99">
        <f t="shared" si="50"/>
        <v>242583.67999999999</v>
      </c>
      <c r="G184" s="99">
        <f t="shared" ref="G184:G188" si="54">ROUND(F184*1.2,2)</f>
        <v>291100.42</v>
      </c>
    </row>
    <row r="185" spans="1:7" ht="27.6" x14ac:dyDescent="0.3">
      <c r="A185" s="87">
        <f t="shared" si="52"/>
        <v>84</v>
      </c>
      <c r="B185" s="233" t="s">
        <v>1089</v>
      </c>
      <c r="C185" s="87" t="s">
        <v>194</v>
      </c>
      <c r="D185" s="148">
        <v>35</v>
      </c>
      <c r="E185" s="166">
        <v>592.12101599999994</v>
      </c>
      <c r="F185" s="99">
        <f t="shared" si="50"/>
        <v>20724.240000000002</v>
      </c>
      <c r="G185" s="99">
        <f t="shared" si="54"/>
        <v>24869.09</v>
      </c>
    </row>
    <row r="186" spans="1:7" ht="15.6" x14ac:dyDescent="0.3">
      <c r="A186" s="87">
        <f t="shared" si="52"/>
        <v>85</v>
      </c>
      <c r="B186" s="233" t="s">
        <v>683</v>
      </c>
      <c r="C186" s="87" t="s">
        <v>650</v>
      </c>
      <c r="D186" s="148">
        <v>1</v>
      </c>
      <c r="E186" s="166">
        <v>9604.088459999999</v>
      </c>
      <c r="F186" s="99">
        <f t="shared" si="50"/>
        <v>9604.09</v>
      </c>
      <c r="G186" s="99">
        <f t="shared" si="54"/>
        <v>11524.91</v>
      </c>
    </row>
    <row r="187" spans="1:7" ht="27.6" x14ac:dyDescent="0.3">
      <c r="A187" s="87">
        <f t="shared" si="52"/>
        <v>86</v>
      </c>
      <c r="B187" s="233" t="s">
        <v>1090</v>
      </c>
      <c r="C187" s="87" t="s">
        <v>193</v>
      </c>
      <c r="D187" s="217">
        <v>4.62</v>
      </c>
      <c r="E187" s="166">
        <v>13196.947202639998</v>
      </c>
      <c r="F187" s="99">
        <f t="shared" si="50"/>
        <v>60969.9</v>
      </c>
      <c r="G187" s="99">
        <f t="shared" si="54"/>
        <v>73163.88</v>
      </c>
    </row>
    <row r="188" spans="1:7" ht="15.6" x14ac:dyDescent="0.3">
      <c r="A188" s="87">
        <f t="shared" si="52"/>
        <v>87</v>
      </c>
      <c r="B188" s="233" t="s">
        <v>1091</v>
      </c>
      <c r="C188" s="87" t="s">
        <v>194</v>
      </c>
      <c r="D188" s="148">
        <v>35</v>
      </c>
      <c r="E188" s="166">
        <v>5296.1935320000002</v>
      </c>
      <c r="F188" s="99">
        <f t="shared" si="50"/>
        <v>185366.77</v>
      </c>
      <c r="G188" s="99">
        <f t="shared" si="54"/>
        <v>222440.12</v>
      </c>
    </row>
    <row r="189" spans="1:7" ht="15.6" x14ac:dyDescent="0.3">
      <c r="A189" s="87">
        <f t="shared" si="52"/>
        <v>88</v>
      </c>
      <c r="B189" s="233" t="s">
        <v>672</v>
      </c>
      <c r="C189" s="87" t="s">
        <v>193</v>
      </c>
      <c r="D189" s="217">
        <v>2101.14</v>
      </c>
      <c r="E189" s="166">
        <v>178.78050000000002</v>
      </c>
      <c r="F189" s="99">
        <f t="shared" si="50"/>
        <v>375642.86</v>
      </c>
      <c r="G189" s="99">
        <f t="shared" si="51"/>
        <v>450771.43</v>
      </c>
    </row>
    <row r="190" spans="1:7" ht="15.6" x14ac:dyDescent="0.3">
      <c r="A190" s="87">
        <f t="shared" si="52"/>
        <v>89</v>
      </c>
      <c r="B190" s="233" t="s">
        <v>451</v>
      </c>
      <c r="C190" s="87" t="s">
        <v>193</v>
      </c>
      <c r="D190" s="217">
        <v>2101.14</v>
      </c>
      <c r="E190" s="166">
        <v>283.188312</v>
      </c>
      <c r="F190" s="99">
        <f t="shared" si="50"/>
        <v>595018.29</v>
      </c>
      <c r="G190" s="99">
        <f t="shared" si="51"/>
        <v>714021.95</v>
      </c>
    </row>
    <row r="191" spans="1:7" ht="15.6" x14ac:dyDescent="0.3">
      <c r="A191" s="87">
        <f t="shared" si="52"/>
        <v>90</v>
      </c>
      <c r="B191" s="233" t="s">
        <v>518</v>
      </c>
      <c r="C191" s="87" t="s">
        <v>239</v>
      </c>
      <c r="D191" s="217">
        <v>1437.07</v>
      </c>
      <c r="E191" s="166">
        <v>464.82929999999999</v>
      </c>
      <c r="F191" s="99">
        <f t="shared" si="50"/>
        <v>667992.24</v>
      </c>
      <c r="G191" s="99">
        <f t="shared" si="51"/>
        <v>801590.69</v>
      </c>
    </row>
    <row r="192" spans="1:7" ht="15.6" x14ac:dyDescent="0.3">
      <c r="A192" s="507">
        <f t="shared" si="52"/>
        <v>91</v>
      </c>
      <c r="B192" s="508" t="s">
        <v>503</v>
      </c>
      <c r="C192" s="507" t="s">
        <v>193</v>
      </c>
      <c r="D192" s="509">
        <f>1437.07/1.6</f>
        <v>898.16874999999993</v>
      </c>
      <c r="E192" s="510">
        <v>1350</v>
      </c>
      <c r="F192" s="511">
        <f t="shared" si="50"/>
        <v>1212527.81</v>
      </c>
      <c r="G192" s="511">
        <f t="shared" si="51"/>
        <v>1455033.37</v>
      </c>
    </row>
    <row r="193" spans="1:8" ht="15.6" x14ac:dyDescent="0.3">
      <c r="A193" s="87"/>
      <c r="B193" s="85" t="s">
        <v>523</v>
      </c>
      <c r="C193" s="87"/>
      <c r="D193" s="148"/>
      <c r="E193" s="166">
        <v>0</v>
      </c>
      <c r="F193" s="156"/>
      <c r="G193" s="250"/>
    </row>
    <row r="194" spans="1:8" ht="15.6" x14ac:dyDescent="0.3">
      <c r="A194" s="87">
        <f>A192+1</f>
        <v>92</v>
      </c>
      <c r="B194" s="233" t="s">
        <v>1092</v>
      </c>
      <c r="C194" s="87" t="s">
        <v>194</v>
      </c>
      <c r="D194" s="148">
        <v>215</v>
      </c>
      <c r="E194" s="166">
        <v>2081.0050200000001</v>
      </c>
      <c r="F194" s="99">
        <f>ROUND(E194*D194,2)</f>
        <v>447416.08</v>
      </c>
      <c r="G194" s="99">
        <f t="shared" ref="G194" si="55">ROUND(F194*1.2,2)</f>
        <v>536899.30000000005</v>
      </c>
    </row>
    <row r="195" spans="1:8" ht="15.6" x14ac:dyDescent="0.3">
      <c r="A195" s="87"/>
      <c r="B195" s="85" t="s">
        <v>525</v>
      </c>
      <c r="C195" s="87"/>
      <c r="D195" s="148"/>
      <c r="E195" s="166">
        <v>0</v>
      </c>
      <c r="F195" s="156"/>
      <c r="G195" s="250"/>
    </row>
    <row r="196" spans="1:8" ht="27.6" x14ac:dyDescent="0.3">
      <c r="A196" s="87">
        <f>A194+1</f>
        <v>93</v>
      </c>
      <c r="B196" s="233" t="s">
        <v>526</v>
      </c>
      <c r="C196" s="87" t="s">
        <v>193</v>
      </c>
      <c r="D196" s="218">
        <f>0.18*4+0.1*5+0.242*7+0.16*1+0.03*19+0.05*1+0.38*10+0.283*5+0.4*15+0.265*2</f>
        <v>15.438999999999998</v>
      </c>
      <c r="E196" s="166">
        <v>25993.823904999994</v>
      </c>
      <c r="F196" s="99">
        <f>ROUND(E196*D196,2)</f>
        <v>401318.65</v>
      </c>
      <c r="G196" s="99">
        <f t="shared" ref="G196:G197" si="56">ROUND(F196*1.2,2)</f>
        <v>481582.38</v>
      </c>
    </row>
    <row r="197" spans="1:8" ht="41.4" x14ac:dyDescent="0.3">
      <c r="A197" s="87">
        <f t="shared" ref="A197" si="57">A196+1</f>
        <v>94</v>
      </c>
      <c r="B197" s="233" t="s">
        <v>1093</v>
      </c>
      <c r="C197" s="87" t="s">
        <v>220</v>
      </c>
      <c r="D197" s="148">
        <v>15</v>
      </c>
      <c r="E197" s="166">
        <v>12767.788187999999</v>
      </c>
      <c r="F197" s="99">
        <f>ROUND(E197*D197,2)</f>
        <v>191516.82</v>
      </c>
      <c r="G197" s="99">
        <f t="shared" si="56"/>
        <v>229820.18</v>
      </c>
    </row>
    <row r="198" spans="1:8" ht="15.6" x14ac:dyDescent="0.3">
      <c r="A198" s="66"/>
      <c r="B198" s="62" t="s">
        <v>1094</v>
      </c>
      <c r="C198" s="66"/>
      <c r="D198" s="71"/>
      <c r="E198" s="166">
        <v>0</v>
      </c>
      <c r="F198" s="281"/>
      <c r="G198" s="164"/>
    </row>
    <row r="199" spans="1:8" ht="20.25" customHeight="1" x14ac:dyDescent="0.3">
      <c r="A199" s="102">
        <f>A197+1</f>
        <v>95</v>
      </c>
      <c r="B199" s="287" t="s">
        <v>1095</v>
      </c>
      <c r="C199" s="102" t="s">
        <v>220</v>
      </c>
      <c r="D199" s="290">
        <v>10</v>
      </c>
      <c r="E199" s="271">
        <v>20795.747760000002</v>
      </c>
      <c r="F199" s="270">
        <f>ROUND(E199*D199,2)</f>
        <v>207957.48</v>
      </c>
      <c r="G199" s="270">
        <f t="shared" ref="G199:G201" si="58">ROUND(F199*1.2,2)</f>
        <v>249548.98</v>
      </c>
    </row>
    <row r="200" spans="1:8" ht="15.6" x14ac:dyDescent="0.3">
      <c r="A200" s="102">
        <f t="shared" ref="A200:A203" si="59">A199+1</f>
        <v>96</v>
      </c>
      <c r="B200" s="287" t="s">
        <v>917</v>
      </c>
      <c r="C200" s="102" t="s">
        <v>239</v>
      </c>
      <c r="D200" s="336">
        <f>1.8+1.25+4.2+0.4+4.75+0.4+4.75+3.45+15+1.32+0.75+0.492+1.2+0.0324+0.039+0.0078+0.117</f>
        <v>39.958200000000005</v>
      </c>
      <c r="E200" s="271">
        <v>309.97174647506642</v>
      </c>
      <c r="F200" s="270">
        <f>ROUND(E200*D200,2)</f>
        <v>12385.91</v>
      </c>
      <c r="G200" s="270">
        <f t="shared" si="58"/>
        <v>14863.09</v>
      </c>
      <c r="H200" s="202" t="s">
        <v>1614</v>
      </c>
    </row>
    <row r="201" spans="1:8" ht="27.6" x14ac:dyDescent="0.3">
      <c r="A201" s="512">
        <f t="shared" si="59"/>
        <v>97</v>
      </c>
      <c r="B201" s="514" t="s">
        <v>851</v>
      </c>
      <c r="C201" s="512" t="s">
        <v>193</v>
      </c>
      <c r="D201" s="517">
        <f>(1.8+1.25+4.2+0.4+4.75+0.4+4.75+3.45+15+1.32+0.75+0.492+1.2+0.0324+0.039+0.0078+0.117)/1.6</f>
        <v>24.973875000000003</v>
      </c>
      <c r="E201" s="516">
        <v>1350</v>
      </c>
      <c r="F201" s="511">
        <f>ROUND(E201*D201,2)</f>
        <v>33714.730000000003</v>
      </c>
      <c r="G201" s="511">
        <f t="shared" si="58"/>
        <v>40457.68</v>
      </c>
      <c r="H201" s="202" t="s">
        <v>1614</v>
      </c>
    </row>
    <row r="202" spans="1:8" ht="15.6" x14ac:dyDescent="0.3">
      <c r="A202" s="102">
        <f t="shared" si="59"/>
        <v>98</v>
      </c>
      <c r="B202" s="287" t="s">
        <v>1096</v>
      </c>
      <c r="C202" s="102" t="s">
        <v>194</v>
      </c>
      <c r="D202" s="290">
        <v>230</v>
      </c>
      <c r="E202" s="271">
        <v>1312.963992</v>
      </c>
      <c r="F202" s="270">
        <f>ROUND(E202*D202,2)</f>
        <v>301981.71999999997</v>
      </c>
      <c r="G202" s="270">
        <f t="shared" ref="G202:G203" si="60">ROUND(F202*1.2,2)</f>
        <v>362378.06</v>
      </c>
    </row>
    <row r="203" spans="1:8" ht="15.6" x14ac:dyDescent="0.3">
      <c r="A203" s="102">
        <f t="shared" si="59"/>
        <v>99</v>
      </c>
      <c r="B203" s="287" t="s">
        <v>1097</v>
      </c>
      <c r="C203" s="102" t="s">
        <v>220</v>
      </c>
      <c r="D203" s="290">
        <v>2</v>
      </c>
      <c r="E203" s="271">
        <v>20795.747760000002</v>
      </c>
      <c r="F203" s="270">
        <f>ROUND(E203*D203,2)</f>
        <v>41591.5</v>
      </c>
      <c r="G203" s="270">
        <f t="shared" si="60"/>
        <v>49909.8</v>
      </c>
    </row>
    <row r="204" spans="1:8" ht="19.5" customHeight="1" x14ac:dyDescent="0.3">
      <c r="A204" s="102"/>
      <c r="B204" s="337" t="s">
        <v>1098</v>
      </c>
      <c r="C204" s="102"/>
      <c r="D204" s="290"/>
      <c r="E204" s="271">
        <v>0</v>
      </c>
      <c r="F204" s="160"/>
      <c r="G204" s="164"/>
    </row>
    <row r="205" spans="1:8" ht="21.75" customHeight="1" x14ac:dyDescent="0.3">
      <c r="A205" s="102"/>
      <c r="B205" s="337" t="s">
        <v>513</v>
      </c>
      <c r="C205" s="102"/>
      <c r="D205" s="290"/>
      <c r="E205" s="271">
        <v>0</v>
      </c>
      <c r="F205" s="160"/>
      <c r="G205" s="164"/>
    </row>
    <row r="206" spans="1:8" ht="27.6" x14ac:dyDescent="0.3">
      <c r="A206" s="102">
        <v>100</v>
      </c>
      <c r="B206" s="287" t="s">
        <v>1086</v>
      </c>
      <c r="C206" s="102" t="s">
        <v>193</v>
      </c>
      <c r="D206" s="288">
        <v>279.94</v>
      </c>
      <c r="E206" s="271">
        <v>534.91125600000009</v>
      </c>
      <c r="F206" s="270">
        <f t="shared" ref="F206:F215" si="61">ROUND(E206*D206,2)</f>
        <v>149743.06</v>
      </c>
      <c r="G206" s="270">
        <f t="shared" ref="G206:G215" si="62">ROUND(F206*1.2,2)</f>
        <v>179691.67</v>
      </c>
    </row>
    <row r="207" spans="1:8" ht="15.6" x14ac:dyDescent="0.3">
      <c r="A207" s="102">
        <f t="shared" ref="A207:A217" si="63">A206+1</f>
        <v>101</v>
      </c>
      <c r="B207" s="287" t="s">
        <v>515</v>
      </c>
      <c r="C207" s="102" t="s">
        <v>193</v>
      </c>
      <c r="D207" s="288">
        <v>8.6999999999999993</v>
      </c>
      <c r="E207" s="271">
        <v>2541.5435879999995</v>
      </c>
      <c r="F207" s="270">
        <f t="shared" si="61"/>
        <v>22111.43</v>
      </c>
      <c r="G207" s="270">
        <f t="shared" si="62"/>
        <v>26533.72</v>
      </c>
    </row>
    <row r="208" spans="1:8" ht="15.6" x14ac:dyDescent="0.3">
      <c r="A208" s="102">
        <f t="shared" si="63"/>
        <v>102</v>
      </c>
      <c r="B208" s="287" t="s">
        <v>1085</v>
      </c>
      <c r="C208" s="102" t="s">
        <v>193</v>
      </c>
      <c r="D208" s="288">
        <v>7.1</v>
      </c>
      <c r="E208" s="271">
        <v>1972.306476</v>
      </c>
      <c r="F208" s="270">
        <f t="shared" si="61"/>
        <v>14003.38</v>
      </c>
      <c r="G208" s="270">
        <f t="shared" si="62"/>
        <v>16804.060000000001</v>
      </c>
    </row>
    <row r="209" spans="1:7" ht="15.6" x14ac:dyDescent="0.3">
      <c r="A209" s="102">
        <f t="shared" si="63"/>
        <v>103</v>
      </c>
      <c r="B209" s="287" t="s">
        <v>1113</v>
      </c>
      <c r="C209" s="102" t="s">
        <v>193</v>
      </c>
      <c r="D209" s="288">
        <v>103.41</v>
      </c>
      <c r="E209" s="271">
        <v>1972.306476</v>
      </c>
      <c r="F209" s="270">
        <f t="shared" si="61"/>
        <v>203956.21</v>
      </c>
      <c r="G209" s="270">
        <f t="shared" si="62"/>
        <v>244747.45</v>
      </c>
    </row>
    <row r="210" spans="1:7" ht="27.6" x14ac:dyDescent="0.3">
      <c r="A210" s="102">
        <f t="shared" si="63"/>
        <v>104</v>
      </c>
      <c r="B210" s="287" t="s">
        <v>1087</v>
      </c>
      <c r="C210" s="102" t="s">
        <v>193</v>
      </c>
      <c r="D210" s="288">
        <v>18.72</v>
      </c>
      <c r="E210" s="271">
        <v>534.91125600000009</v>
      </c>
      <c r="F210" s="270">
        <f t="shared" si="61"/>
        <v>10013.540000000001</v>
      </c>
      <c r="G210" s="270">
        <f t="shared" si="62"/>
        <v>12016.25</v>
      </c>
    </row>
    <row r="211" spans="1:7" ht="15.6" x14ac:dyDescent="0.3">
      <c r="A211" s="66">
        <f t="shared" si="63"/>
        <v>105</v>
      </c>
      <c r="B211" s="67" t="s">
        <v>671</v>
      </c>
      <c r="C211" s="87" t="s">
        <v>193</v>
      </c>
      <c r="D211" s="217">
        <v>0.8</v>
      </c>
      <c r="E211" s="166">
        <v>2033.8069679999999</v>
      </c>
      <c r="F211" s="99">
        <f t="shared" si="61"/>
        <v>1627.05</v>
      </c>
      <c r="G211" s="99">
        <f t="shared" si="62"/>
        <v>1952.46</v>
      </c>
    </row>
    <row r="212" spans="1:7" ht="15.6" x14ac:dyDescent="0.3">
      <c r="A212" s="66">
        <f t="shared" si="63"/>
        <v>106</v>
      </c>
      <c r="B212" s="67" t="s">
        <v>672</v>
      </c>
      <c r="C212" s="87" t="s">
        <v>193</v>
      </c>
      <c r="D212" s="217">
        <v>189.59</v>
      </c>
      <c r="E212" s="166">
        <v>178.78050000000002</v>
      </c>
      <c r="F212" s="99">
        <f t="shared" si="61"/>
        <v>33894.99</v>
      </c>
      <c r="G212" s="99">
        <f t="shared" si="62"/>
        <v>40673.99</v>
      </c>
    </row>
    <row r="213" spans="1:7" ht="15.6" x14ac:dyDescent="0.3">
      <c r="A213" s="66">
        <f t="shared" si="63"/>
        <v>107</v>
      </c>
      <c r="B213" s="67" t="s">
        <v>451</v>
      </c>
      <c r="C213" s="87" t="s">
        <v>193</v>
      </c>
      <c r="D213" s="217">
        <v>189.59</v>
      </c>
      <c r="E213" s="166">
        <v>283.188312</v>
      </c>
      <c r="F213" s="99">
        <f t="shared" si="61"/>
        <v>53689.67</v>
      </c>
      <c r="G213" s="99">
        <f t="shared" si="62"/>
        <v>64427.6</v>
      </c>
    </row>
    <row r="214" spans="1:7" ht="15.6" x14ac:dyDescent="0.3">
      <c r="A214" s="66">
        <f t="shared" si="63"/>
        <v>108</v>
      </c>
      <c r="B214" s="67" t="s">
        <v>518</v>
      </c>
      <c r="C214" s="87" t="s">
        <v>239</v>
      </c>
      <c r="D214" s="217">
        <v>221.55</v>
      </c>
      <c r="E214" s="166">
        <v>464.82929999999999</v>
      </c>
      <c r="F214" s="99">
        <f t="shared" si="61"/>
        <v>102982.93</v>
      </c>
      <c r="G214" s="99">
        <f t="shared" si="62"/>
        <v>123579.52</v>
      </c>
    </row>
    <row r="215" spans="1:7" ht="15.6" x14ac:dyDescent="0.3">
      <c r="A215" s="507">
        <f t="shared" si="63"/>
        <v>109</v>
      </c>
      <c r="B215" s="508" t="s">
        <v>503</v>
      </c>
      <c r="C215" s="507" t="s">
        <v>193</v>
      </c>
      <c r="D215" s="509">
        <f>221.55/1.6</f>
        <v>138.46875</v>
      </c>
      <c r="E215" s="510">
        <v>1350</v>
      </c>
      <c r="F215" s="511">
        <f t="shared" si="61"/>
        <v>186932.81</v>
      </c>
      <c r="G215" s="511">
        <f t="shared" si="62"/>
        <v>224319.37</v>
      </c>
    </row>
    <row r="216" spans="1:7" ht="21" customHeight="1" x14ac:dyDescent="0.3">
      <c r="A216" s="66">
        <f t="shared" si="63"/>
        <v>110</v>
      </c>
      <c r="B216" s="62" t="s">
        <v>523</v>
      </c>
      <c r="C216" s="87"/>
      <c r="D216" s="148"/>
      <c r="E216" s="166">
        <v>0</v>
      </c>
      <c r="F216" s="156"/>
      <c r="G216" s="250"/>
    </row>
    <row r="217" spans="1:7" ht="18.75" customHeight="1" x14ac:dyDescent="0.3">
      <c r="A217" s="66">
        <f t="shared" si="63"/>
        <v>111</v>
      </c>
      <c r="B217" s="67" t="s">
        <v>1092</v>
      </c>
      <c r="C217" s="87" t="s">
        <v>194</v>
      </c>
      <c r="D217" s="148">
        <v>27</v>
      </c>
      <c r="E217" s="166">
        <v>2081.0050200000001</v>
      </c>
      <c r="F217" s="99">
        <f>ROUND(E217*D217,2)</f>
        <v>56187.14</v>
      </c>
      <c r="G217" s="99">
        <f t="shared" ref="G217" si="64">ROUND(F217*1.2,2)</f>
        <v>67424.570000000007</v>
      </c>
    </row>
    <row r="218" spans="1:7" ht="33" customHeight="1" x14ac:dyDescent="0.3">
      <c r="A218" s="87"/>
      <c r="B218" s="85" t="s">
        <v>1099</v>
      </c>
      <c r="C218" s="87"/>
      <c r="D218" s="148"/>
      <c r="E218" s="166">
        <v>0</v>
      </c>
      <c r="F218" s="156"/>
      <c r="G218" s="250"/>
    </row>
    <row r="219" spans="1:7" ht="27.6" x14ac:dyDescent="0.3">
      <c r="A219" s="87">
        <f>A217+1</f>
        <v>112</v>
      </c>
      <c r="B219" s="233" t="s">
        <v>526</v>
      </c>
      <c r="C219" s="87" t="s">
        <v>193</v>
      </c>
      <c r="D219" s="218">
        <f>2*0.18+2*0.1+2*0.242</f>
        <v>1.044</v>
      </c>
      <c r="E219" s="166">
        <v>25993.823904999994</v>
      </c>
      <c r="F219" s="99">
        <f>ROUND(E219*D219,2)</f>
        <v>27137.55</v>
      </c>
      <c r="G219" s="99">
        <f t="shared" ref="G219" si="65">ROUND(F219*1.2,2)</f>
        <v>32565.06</v>
      </c>
    </row>
    <row r="220" spans="1:7" ht="15.6" x14ac:dyDescent="0.3">
      <c r="A220" s="66">
        <f>A219+1</f>
        <v>113</v>
      </c>
      <c r="B220" s="67" t="s">
        <v>1100</v>
      </c>
      <c r="C220" s="66" t="s">
        <v>220</v>
      </c>
      <c r="D220" s="71">
        <v>2</v>
      </c>
      <c r="E220" s="166">
        <v>3268.10754</v>
      </c>
      <c r="F220" s="270">
        <f>ROUND(E220*D220,2)</f>
        <v>6536.22</v>
      </c>
      <c r="G220" s="270">
        <f t="shared" ref="G220" si="66">ROUND(F220*1.2,2)</f>
        <v>7843.46</v>
      </c>
    </row>
    <row r="221" spans="1:7" s="202" customFormat="1" ht="21" customHeight="1" x14ac:dyDescent="0.3">
      <c r="A221" s="823"/>
      <c r="B221" s="824" t="s">
        <v>1101</v>
      </c>
      <c r="C221" s="823"/>
      <c r="D221" s="825"/>
      <c r="E221" s="826">
        <v>0</v>
      </c>
      <c r="F221" s="827"/>
      <c r="G221" s="828"/>
    </row>
    <row r="222" spans="1:7" s="202" customFormat="1" ht="15.6" x14ac:dyDescent="0.3">
      <c r="A222" s="823"/>
      <c r="B222" s="824" t="s">
        <v>513</v>
      </c>
      <c r="C222" s="823"/>
      <c r="D222" s="825"/>
      <c r="E222" s="826">
        <v>0</v>
      </c>
      <c r="F222" s="827"/>
      <c r="G222" s="828"/>
    </row>
    <row r="223" spans="1:7" s="202" customFormat="1" ht="27.6" x14ac:dyDescent="0.3">
      <c r="A223" s="823">
        <f>A220+1</f>
        <v>114</v>
      </c>
      <c r="B223" s="829" t="s">
        <v>1086</v>
      </c>
      <c r="C223" s="823" t="s">
        <v>193</v>
      </c>
      <c r="D223" s="830">
        <v>1686.55</v>
      </c>
      <c r="E223" s="826">
        <v>534.91125600000009</v>
      </c>
      <c r="F223" s="831">
        <f t="shared" ref="F223:F237" si="67">ROUND(E223*D223,2)</f>
        <v>902154.58</v>
      </c>
      <c r="G223" s="831">
        <f t="shared" ref="G223:G237" si="68">ROUND(F223*1.2,2)</f>
        <v>1082585.5</v>
      </c>
    </row>
    <row r="224" spans="1:7" s="202" customFormat="1" ht="15.6" x14ac:dyDescent="0.3">
      <c r="A224" s="823">
        <f>A223+1</f>
        <v>115</v>
      </c>
      <c r="B224" s="829" t="s">
        <v>515</v>
      </c>
      <c r="C224" s="823" t="s">
        <v>193</v>
      </c>
      <c r="D224" s="830">
        <v>52.41</v>
      </c>
      <c r="E224" s="826">
        <v>2541.5435879999995</v>
      </c>
      <c r="F224" s="831">
        <f t="shared" si="67"/>
        <v>133202.29999999999</v>
      </c>
      <c r="G224" s="831">
        <f t="shared" si="68"/>
        <v>159842.76</v>
      </c>
    </row>
    <row r="225" spans="1:7" s="202" customFormat="1" ht="15.6" x14ac:dyDescent="0.3">
      <c r="A225" s="823">
        <f t="shared" ref="A225:A237" si="69">A224+1</f>
        <v>116</v>
      </c>
      <c r="B225" s="829" t="s">
        <v>1085</v>
      </c>
      <c r="C225" s="823" t="s">
        <v>193</v>
      </c>
      <c r="D225" s="830">
        <v>61.32</v>
      </c>
      <c r="E225" s="826">
        <v>1972.306476</v>
      </c>
      <c r="F225" s="831">
        <f t="shared" si="67"/>
        <v>120941.83</v>
      </c>
      <c r="G225" s="831">
        <f t="shared" si="68"/>
        <v>145130.20000000001</v>
      </c>
    </row>
    <row r="226" spans="1:7" s="202" customFormat="1" ht="15.6" x14ac:dyDescent="0.3">
      <c r="A226" s="823">
        <f t="shared" si="69"/>
        <v>117</v>
      </c>
      <c r="B226" s="829" t="s">
        <v>1113</v>
      </c>
      <c r="C226" s="823" t="s">
        <v>193</v>
      </c>
      <c r="D226" s="830">
        <v>1048.56</v>
      </c>
      <c r="E226" s="826">
        <v>1972.306476</v>
      </c>
      <c r="F226" s="831">
        <f t="shared" si="67"/>
        <v>2068081.68</v>
      </c>
      <c r="G226" s="831">
        <f t="shared" si="68"/>
        <v>2481698.02</v>
      </c>
    </row>
    <row r="227" spans="1:7" s="202" customFormat="1" ht="27.6" x14ac:dyDescent="0.3">
      <c r="A227" s="823">
        <f t="shared" si="69"/>
        <v>118</v>
      </c>
      <c r="B227" s="829" t="s">
        <v>1087</v>
      </c>
      <c r="C227" s="823" t="s">
        <v>193</v>
      </c>
      <c r="D227" s="830">
        <v>62.19</v>
      </c>
      <c r="E227" s="826">
        <v>534.91125600000009</v>
      </c>
      <c r="F227" s="831">
        <f t="shared" si="67"/>
        <v>33266.129999999997</v>
      </c>
      <c r="G227" s="831">
        <f t="shared" si="68"/>
        <v>39919.360000000001</v>
      </c>
    </row>
    <row r="228" spans="1:7" s="202" customFormat="1" ht="15.6" x14ac:dyDescent="0.3">
      <c r="A228" s="823">
        <f t="shared" si="69"/>
        <v>119</v>
      </c>
      <c r="B228" s="829" t="s">
        <v>671</v>
      </c>
      <c r="C228" s="823" t="s">
        <v>193</v>
      </c>
      <c r="D228" s="830">
        <v>1.8</v>
      </c>
      <c r="E228" s="826">
        <v>2033.8069679999999</v>
      </c>
      <c r="F228" s="831">
        <f t="shared" si="67"/>
        <v>3660.85</v>
      </c>
      <c r="G228" s="831">
        <f t="shared" si="68"/>
        <v>4393.0200000000004</v>
      </c>
    </row>
    <row r="229" spans="1:7" s="202" customFormat="1" ht="27.6" x14ac:dyDescent="0.3">
      <c r="A229" s="823">
        <f t="shared" si="69"/>
        <v>120</v>
      </c>
      <c r="B229" s="829" t="s">
        <v>1102</v>
      </c>
      <c r="C229" s="823" t="s">
        <v>194</v>
      </c>
      <c r="D229" s="825">
        <v>14</v>
      </c>
      <c r="E229" s="826">
        <v>17850.875364</v>
      </c>
      <c r="F229" s="831">
        <f t="shared" si="67"/>
        <v>249912.26</v>
      </c>
      <c r="G229" s="831">
        <f t="shared" si="68"/>
        <v>299894.71000000002</v>
      </c>
    </row>
    <row r="230" spans="1:7" s="202" customFormat="1" ht="27.6" x14ac:dyDescent="0.3">
      <c r="A230" s="823">
        <f t="shared" si="69"/>
        <v>121</v>
      </c>
      <c r="B230" s="829" t="s">
        <v>673</v>
      </c>
      <c r="C230" s="823" t="s">
        <v>194</v>
      </c>
      <c r="D230" s="825">
        <v>14</v>
      </c>
      <c r="E230" s="826">
        <v>592.12101599999994</v>
      </c>
      <c r="F230" s="831">
        <f t="shared" si="67"/>
        <v>8289.69</v>
      </c>
      <c r="G230" s="831">
        <f t="shared" si="68"/>
        <v>9947.6299999999992</v>
      </c>
    </row>
    <row r="231" spans="1:7" s="202" customFormat="1" ht="15.6" x14ac:dyDescent="0.3">
      <c r="A231" s="823">
        <f t="shared" si="69"/>
        <v>122</v>
      </c>
      <c r="B231" s="829" t="s">
        <v>1103</v>
      </c>
      <c r="C231" s="823" t="s">
        <v>650</v>
      </c>
      <c r="D231" s="825">
        <v>1</v>
      </c>
      <c r="E231" s="826">
        <v>27535.057487999995</v>
      </c>
      <c r="F231" s="831">
        <f t="shared" si="67"/>
        <v>27535.06</v>
      </c>
      <c r="G231" s="831">
        <f t="shared" si="68"/>
        <v>33042.07</v>
      </c>
    </row>
    <row r="232" spans="1:7" s="202" customFormat="1" ht="27.6" x14ac:dyDescent="0.3">
      <c r="A232" s="823">
        <f t="shared" si="69"/>
        <v>123</v>
      </c>
      <c r="B232" s="829" t="s">
        <v>1105</v>
      </c>
      <c r="C232" s="823" t="s">
        <v>194</v>
      </c>
      <c r="D232" s="825">
        <v>14</v>
      </c>
      <c r="E232" s="826">
        <v>5296.1935320000002</v>
      </c>
      <c r="F232" s="831">
        <f t="shared" si="67"/>
        <v>74146.710000000006</v>
      </c>
      <c r="G232" s="831">
        <f t="shared" ref="G232" si="70">ROUND(F232*1.2,2)</f>
        <v>88976.05</v>
      </c>
    </row>
    <row r="233" spans="1:7" s="202" customFormat="1" ht="27.6" x14ac:dyDescent="0.3">
      <c r="A233" s="823">
        <f>A231+1</f>
        <v>123</v>
      </c>
      <c r="B233" s="829" t="s">
        <v>1104</v>
      </c>
      <c r="C233" s="823" t="s">
        <v>193</v>
      </c>
      <c r="D233" s="830">
        <v>6.33</v>
      </c>
      <c r="E233" s="826">
        <v>13196.947202639998</v>
      </c>
      <c r="F233" s="831">
        <f t="shared" si="67"/>
        <v>83536.679999999993</v>
      </c>
      <c r="G233" s="831">
        <f t="shared" si="68"/>
        <v>100244.02</v>
      </c>
    </row>
    <row r="234" spans="1:7" s="202" customFormat="1" ht="15.6" x14ac:dyDescent="0.3">
      <c r="A234" s="823">
        <f>A232+1</f>
        <v>124</v>
      </c>
      <c r="B234" s="829" t="s">
        <v>672</v>
      </c>
      <c r="C234" s="823" t="s">
        <v>193</v>
      </c>
      <c r="D234" s="830">
        <v>513.4</v>
      </c>
      <c r="E234" s="826">
        <v>178.78050000000002</v>
      </c>
      <c r="F234" s="831">
        <f t="shared" si="67"/>
        <v>91785.91</v>
      </c>
      <c r="G234" s="831">
        <f t="shared" si="68"/>
        <v>110143.09</v>
      </c>
    </row>
    <row r="235" spans="1:7" s="202" customFormat="1" ht="15.6" x14ac:dyDescent="0.3">
      <c r="A235" s="823">
        <f t="shared" si="69"/>
        <v>125</v>
      </c>
      <c r="B235" s="829" t="s">
        <v>451</v>
      </c>
      <c r="C235" s="823" t="s">
        <v>193</v>
      </c>
      <c r="D235" s="830">
        <v>513.4</v>
      </c>
      <c r="E235" s="826">
        <v>283.188312</v>
      </c>
      <c r="F235" s="831">
        <f t="shared" si="67"/>
        <v>145388.88</v>
      </c>
      <c r="G235" s="831">
        <f t="shared" si="68"/>
        <v>174466.66</v>
      </c>
    </row>
    <row r="236" spans="1:7" s="202" customFormat="1" ht="15.6" x14ac:dyDescent="0.3">
      <c r="A236" s="823">
        <f t="shared" si="69"/>
        <v>126</v>
      </c>
      <c r="B236" s="829" t="s">
        <v>518</v>
      </c>
      <c r="C236" s="823" t="s">
        <v>239</v>
      </c>
      <c r="D236" s="830">
        <v>2343.96</v>
      </c>
      <c r="E236" s="826">
        <v>464.82929999999999</v>
      </c>
      <c r="F236" s="831">
        <f t="shared" si="67"/>
        <v>1089541.29</v>
      </c>
      <c r="G236" s="831">
        <f t="shared" si="68"/>
        <v>1307449.55</v>
      </c>
    </row>
    <row r="237" spans="1:7" s="202" customFormat="1" ht="18" customHeight="1" x14ac:dyDescent="0.3">
      <c r="A237" s="832">
        <f t="shared" si="69"/>
        <v>127</v>
      </c>
      <c r="B237" s="833" t="s">
        <v>503</v>
      </c>
      <c r="C237" s="832" t="s">
        <v>193</v>
      </c>
      <c r="D237" s="834">
        <f>2343.96/1.6</f>
        <v>1464.9749999999999</v>
      </c>
      <c r="E237" s="835">
        <v>1350</v>
      </c>
      <c r="F237" s="836">
        <f t="shared" si="67"/>
        <v>1977716.25</v>
      </c>
      <c r="G237" s="836">
        <f t="shared" si="68"/>
        <v>2373259.5</v>
      </c>
    </row>
    <row r="238" spans="1:7" s="202" customFormat="1" ht="19.5" customHeight="1" x14ac:dyDescent="0.3">
      <c r="A238" s="823"/>
      <c r="B238" s="824" t="s">
        <v>523</v>
      </c>
      <c r="C238" s="823"/>
      <c r="D238" s="825"/>
      <c r="E238" s="826">
        <v>0</v>
      </c>
      <c r="F238" s="827"/>
      <c r="G238" s="828"/>
    </row>
    <row r="239" spans="1:7" s="202" customFormat="1" ht="18.75" customHeight="1" x14ac:dyDescent="0.3">
      <c r="A239" s="823">
        <f>A237+1</f>
        <v>128</v>
      </c>
      <c r="B239" s="829" t="s">
        <v>674</v>
      </c>
      <c r="C239" s="823" t="s">
        <v>194</v>
      </c>
      <c r="D239" s="825">
        <v>132</v>
      </c>
      <c r="E239" s="826">
        <v>6620.5994760000003</v>
      </c>
      <c r="F239" s="831">
        <f>ROUND(E239*D239,2)</f>
        <v>873919.13</v>
      </c>
      <c r="G239" s="831">
        <f t="shared" ref="G239" si="71">ROUND(F239*1.2,2)</f>
        <v>1048702.96</v>
      </c>
    </row>
    <row r="240" spans="1:7" s="202" customFormat="1" ht="21.75" customHeight="1" x14ac:dyDescent="0.3">
      <c r="A240" s="823"/>
      <c r="B240" s="824" t="s">
        <v>525</v>
      </c>
      <c r="C240" s="823"/>
      <c r="D240" s="825"/>
      <c r="E240" s="826">
        <v>0</v>
      </c>
      <c r="F240" s="827"/>
      <c r="G240" s="828"/>
    </row>
    <row r="241" spans="1:7" s="202" customFormat="1" ht="27.6" x14ac:dyDescent="0.3">
      <c r="A241" s="823">
        <f>A239+1</f>
        <v>129</v>
      </c>
      <c r="B241" s="829" t="s">
        <v>526</v>
      </c>
      <c r="C241" s="823" t="s">
        <v>193</v>
      </c>
      <c r="D241" s="837">
        <f>2*0.59+4*0.53+3*0.587+1*0.389+0.03*6</f>
        <v>5.63</v>
      </c>
      <c r="E241" s="826">
        <v>25993.823904999994</v>
      </c>
      <c r="F241" s="831">
        <f>ROUND(E241*D241,2)</f>
        <v>146345.23000000001</v>
      </c>
      <c r="G241" s="831">
        <f t="shared" ref="G241" si="72">ROUND(F241*1.2,2)</f>
        <v>175614.28</v>
      </c>
    </row>
    <row r="242" spans="1:7" s="202" customFormat="1" ht="41.4" x14ac:dyDescent="0.3">
      <c r="A242" s="823">
        <f>A241+1</f>
        <v>130</v>
      </c>
      <c r="B242" s="829" t="s">
        <v>1106</v>
      </c>
      <c r="C242" s="823" t="s">
        <v>220</v>
      </c>
      <c r="D242" s="825">
        <v>6</v>
      </c>
      <c r="E242" s="826">
        <v>27535.057487999995</v>
      </c>
      <c r="F242" s="831">
        <f>ROUND(E242*D242,2)</f>
        <v>165210.34</v>
      </c>
      <c r="G242" s="831">
        <f t="shared" ref="G242" si="73">ROUND(F242*1.2,2)</f>
        <v>198252.41</v>
      </c>
    </row>
    <row r="243" spans="1:7" s="202" customFormat="1" ht="22.5" customHeight="1" x14ac:dyDescent="0.3">
      <c r="A243" s="823"/>
      <c r="B243" s="824" t="s">
        <v>713</v>
      </c>
      <c r="C243" s="823"/>
      <c r="D243" s="825"/>
      <c r="E243" s="826">
        <v>0</v>
      </c>
      <c r="F243" s="827"/>
      <c r="G243" s="828"/>
    </row>
    <row r="244" spans="1:7" s="202" customFormat="1" ht="14.4" customHeight="1" x14ac:dyDescent="0.3">
      <c r="A244" s="838">
        <f>A242+1</f>
        <v>131</v>
      </c>
      <c r="B244" s="201" t="s">
        <v>1110</v>
      </c>
      <c r="C244" s="838" t="s">
        <v>220</v>
      </c>
      <c r="D244" s="237">
        <v>2</v>
      </c>
      <c r="E244" s="826">
        <v>20795.747760000002</v>
      </c>
      <c r="F244" s="944">
        <f>ROUND(E244*D244,2)</f>
        <v>41591.5</v>
      </c>
      <c r="G244" s="944">
        <f t="shared" ref="G244:G247" si="74">ROUND(F244*1.2,2)</f>
        <v>49909.8</v>
      </c>
    </row>
    <row r="245" spans="1:7" s="202" customFormat="1" ht="15.75" customHeight="1" x14ac:dyDescent="0.3">
      <c r="A245" s="838">
        <f>A244+1</f>
        <v>132</v>
      </c>
      <c r="B245" s="201" t="s">
        <v>1109</v>
      </c>
      <c r="C245" s="838" t="s">
        <v>220</v>
      </c>
      <c r="D245" s="237">
        <v>2</v>
      </c>
      <c r="E245" s="826">
        <v>0</v>
      </c>
      <c r="F245" s="945">
        <f>ROUND(E245*D245,2)</f>
        <v>0</v>
      </c>
      <c r="G245" s="945">
        <f t="shared" si="74"/>
        <v>0</v>
      </c>
    </row>
    <row r="246" spans="1:7" s="202" customFormat="1" ht="15.75" customHeight="1" x14ac:dyDescent="0.3">
      <c r="A246" s="838">
        <f>A245+1</f>
        <v>133</v>
      </c>
      <c r="B246" s="201" t="s">
        <v>1107</v>
      </c>
      <c r="C246" s="838" t="s">
        <v>220</v>
      </c>
      <c r="D246" s="237">
        <v>2</v>
      </c>
      <c r="E246" s="826">
        <v>0</v>
      </c>
      <c r="F246" s="946">
        <f>ROUND(E246*D246,2)</f>
        <v>0</v>
      </c>
      <c r="G246" s="946">
        <f t="shared" si="74"/>
        <v>0</v>
      </c>
    </row>
    <row r="247" spans="1:7" s="202" customFormat="1" ht="15.6" x14ac:dyDescent="0.3">
      <c r="A247" s="838">
        <f>A246+1</f>
        <v>134</v>
      </c>
      <c r="B247" s="201" t="s">
        <v>1108</v>
      </c>
      <c r="C247" s="838" t="s">
        <v>194</v>
      </c>
      <c r="D247" s="237">
        <v>132</v>
      </c>
      <c r="E247" s="826">
        <v>2937.7211759999996</v>
      </c>
      <c r="F247" s="839">
        <f>ROUND(E247*D247,2)</f>
        <v>387779.2</v>
      </c>
      <c r="G247" s="839">
        <f t="shared" si="74"/>
        <v>465335.03999999998</v>
      </c>
    </row>
    <row r="248" spans="1:7" ht="20.25" customHeight="1" x14ac:dyDescent="0.3">
      <c r="A248" s="87"/>
      <c r="B248" s="85" t="s">
        <v>1111</v>
      </c>
      <c r="C248" s="87"/>
      <c r="D248" s="148"/>
      <c r="E248" s="166">
        <v>0</v>
      </c>
      <c r="F248" s="156"/>
      <c r="G248" s="250"/>
    </row>
    <row r="249" spans="1:7" ht="21" customHeight="1" x14ac:dyDescent="0.3">
      <c r="A249" s="87"/>
      <c r="B249" s="85" t="s">
        <v>513</v>
      </c>
      <c r="C249" s="87"/>
      <c r="D249" s="148"/>
      <c r="E249" s="166">
        <v>0</v>
      </c>
      <c r="F249" s="156"/>
      <c r="G249" s="250"/>
    </row>
    <row r="250" spans="1:7" ht="27.6" x14ac:dyDescent="0.3">
      <c r="A250" s="87">
        <f>A247+1</f>
        <v>135</v>
      </c>
      <c r="B250" s="233" t="s">
        <v>1086</v>
      </c>
      <c r="C250" s="87" t="s">
        <v>193</v>
      </c>
      <c r="D250" s="217">
        <v>216.6</v>
      </c>
      <c r="E250" s="166">
        <v>534.91125600000009</v>
      </c>
      <c r="F250" s="99">
        <f t="shared" ref="F250:F260" si="75">ROUND(E250*D250,2)</f>
        <v>115861.78</v>
      </c>
      <c r="G250" s="99">
        <f t="shared" ref="G250:G253" si="76">ROUND(F250*1.2,2)</f>
        <v>139034.14000000001</v>
      </c>
    </row>
    <row r="251" spans="1:7" ht="15.6" x14ac:dyDescent="0.3">
      <c r="A251" s="87">
        <f>A250+1</f>
        <v>136</v>
      </c>
      <c r="B251" s="233" t="s">
        <v>515</v>
      </c>
      <c r="C251" s="87" t="s">
        <v>193</v>
      </c>
      <c r="D251" s="217">
        <v>6.7</v>
      </c>
      <c r="E251" s="166">
        <v>2541.5435879999995</v>
      </c>
      <c r="F251" s="99">
        <f t="shared" si="75"/>
        <v>17028.34</v>
      </c>
      <c r="G251" s="99">
        <f t="shared" si="76"/>
        <v>20434.009999999998</v>
      </c>
    </row>
    <row r="252" spans="1:7" ht="15.6" x14ac:dyDescent="0.3">
      <c r="A252" s="87">
        <f>A251+1</f>
        <v>137</v>
      </c>
      <c r="B252" s="233" t="s">
        <v>1085</v>
      </c>
      <c r="C252" s="87" t="s">
        <v>193</v>
      </c>
      <c r="D252" s="217">
        <v>7.58</v>
      </c>
      <c r="E252" s="166">
        <v>1972.306476</v>
      </c>
      <c r="F252" s="99">
        <f t="shared" si="75"/>
        <v>14950.08</v>
      </c>
      <c r="G252" s="99">
        <f t="shared" si="76"/>
        <v>17940.099999999999</v>
      </c>
    </row>
    <row r="253" spans="1:7" ht="15.6" x14ac:dyDescent="0.3">
      <c r="A253" s="87">
        <f>A252+1</f>
        <v>138</v>
      </c>
      <c r="B253" s="233" t="s">
        <v>1112</v>
      </c>
      <c r="C253" s="87" t="s">
        <v>193</v>
      </c>
      <c r="D253" s="217">
        <v>155.19999999999999</v>
      </c>
      <c r="E253" s="166">
        <v>1972.306476</v>
      </c>
      <c r="F253" s="99">
        <f t="shared" si="75"/>
        <v>306101.96999999997</v>
      </c>
      <c r="G253" s="99">
        <f t="shared" si="76"/>
        <v>367322.36</v>
      </c>
    </row>
    <row r="254" spans="1:7" ht="27.6" x14ac:dyDescent="0.3">
      <c r="A254" s="66">
        <f t="shared" ref="A254:A260" si="77">A253+1</f>
        <v>139</v>
      </c>
      <c r="B254" s="80" t="s">
        <v>1116</v>
      </c>
      <c r="C254" s="66" t="s">
        <v>194</v>
      </c>
      <c r="D254" s="68">
        <v>6</v>
      </c>
      <c r="E254" s="166">
        <v>9702.7752959999998</v>
      </c>
      <c r="F254" s="270">
        <f t="shared" si="75"/>
        <v>58216.65</v>
      </c>
      <c r="G254" s="270">
        <f t="shared" ref="G254:G260" si="78">ROUND(F254*1.2,2)</f>
        <v>69859.98</v>
      </c>
    </row>
    <row r="255" spans="1:7" ht="27.6" x14ac:dyDescent="0.3">
      <c r="A255" s="66">
        <f t="shared" si="77"/>
        <v>140</v>
      </c>
      <c r="B255" s="80" t="s">
        <v>1115</v>
      </c>
      <c r="C255" s="66" t="s">
        <v>194</v>
      </c>
      <c r="D255" s="68">
        <v>6</v>
      </c>
      <c r="E255" s="166">
        <v>829.54151999999999</v>
      </c>
      <c r="F255" s="270">
        <f t="shared" si="75"/>
        <v>4977.25</v>
      </c>
      <c r="G255" s="270">
        <f t="shared" si="78"/>
        <v>5972.7</v>
      </c>
    </row>
    <row r="256" spans="1:7" ht="15.6" x14ac:dyDescent="0.3">
      <c r="A256" s="66">
        <f t="shared" si="77"/>
        <v>141</v>
      </c>
      <c r="B256" s="80" t="s">
        <v>1114</v>
      </c>
      <c r="C256" s="66" t="s">
        <v>194</v>
      </c>
      <c r="D256" s="68">
        <v>6</v>
      </c>
      <c r="E256" s="166">
        <v>7414.3848960000005</v>
      </c>
      <c r="F256" s="270">
        <f t="shared" si="75"/>
        <v>44486.31</v>
      </c>
      <c r="G256" s="270">
        <f t="shared" si="78"/>
        <v>53383.57</v>
      </c>
    </row>
    <row r="257" spans="1:8" ht="15.6" x14ac:dyDescent="0.3">
      <c r="A257" s="87">
        <f t="shared" si="77"/>
        <v>142</v>
      </c>
      <c r="B257" s="233" t="s">
        <v>672</v>
      </c>
      <c r="C257" s="87" t="s">
        <v>193</v>
      </c>
      <c r="D257" s="217">
        <v>50.81</v>
      </c>
      <c r="E257" s="166">
        <v>178.78050000000002</v>
      </c>
      <c r="F257" s="99">
        <f t="shared" si="75"/>
        <v>9083.84</v>
      </c>
      <c r="G257" s="99">
        <f t="shared" si="78"/>
        <v>10900.61</v>
      </c>
    </row>
    <row r="258" spans="1:8" ht="15.6" x14ac:dyDescent="0.3">
      <c r="A258" s="87">
        <f t="shared" si="77"/>
        <v>143</v>
      </c>
      <c r="B258" s="233" t="s">
        <v>451</v>
      </c>
      <c r="C258" s="87" t="s">
        <v>193</v>
      </c>
      <c r="D258" s="217">
        <v>50.81</v>
      </c>
      <c r="E258" s="166">
        <v>283.188312</v>
      </c>
      <c r="F258" s="99">
        <f t="shared" si="75"/>
        <v>14388.8</v>
      </c>
      <c r="G258" s="99">
        <f t="shared" si="78"/>
        <v>17266.560000000001</v>
      </c>
    </row>
    <row r="259" spans="1:8" ht="15.6" x14ac:dyDescent="0.3">
      <c r="A259" s="87">
        <f t="shared" si="77"/>
        <v>144</v>
      </c>
      <c r="B259" s="233" t="s">
        <v>518</v>
      </c>
      <c r="C259" s="87" t="s">
        <v>239</v>
      </c>
      <c r="D259" s="217">
        <v>327.63</v>
      </c>
      <c r="E259" s="166">
        <v>464.82929999999999</v>
      </c>
      <c r="F259" s="99">
        <f t="shared" si="75"/>
        <v>152292.01999999999</v>
      </c>
      <c r="G259" s="99">
        <f t="shared" si="78"/>
        <v>182750.42</v>
      </c>
    </row>
    <row r="260" spans="1:8" ht="15.6" x14ac:dyDescent="0.3">
      <c r="A260" s="507">
        <f t="shared" si="77"/>
        <v>145</v>
      </c>
      <c r="B260" s="508" t="s">
        <v>503</v>
      </c>
      <c r="C260" s="507" t="s">
        <v>193</v>
      </c>
      <c r="D260" s="509">
        <f>327.63/1.6</f>
        <v>204.76874999999998</v>
      </c>
      <c r="E260" s="510">
        <v>1350</v>
      </c>
      <c r="F260" s="511">
        <f t="shared" si="75"/>
        <v>276437.81</v>
      </c>
      <c r="G260" s="511">
        <f t="shared" si="78"/>
        <v>331725.37</v>
      </c>
    </row>
    <row r="261" spans="1:8" ht="15.6" x14ac:dyDescent="0.3">
      <c r="A261" s="87"/>
      <c r="B261" s="85" t="s">
        <v>523</v>
      </c>
      <c r="C261" s="87"/>
      <c r="D261" s="217"/>
      <c r="E261" s="166">
        <v>0</v>
      </c>
      <c r="F261" s="99"/>
      <c r="G261" s="99"/>
    </row>
    <row r="262" spans="1:8" ht="15.6" x14ac:dyDescent="0.3">
      <c r="A262" s="87">
        <f>A260+1</f>
        <v>146</v>
      </c>
      <c r="B262" s="249" t="s">
        <v>675</v>
      </c>
      <c r="C262" s="87" t="s">
        <v>194</v>
      </c>
      <c r="D262" s="148">
        <v>31</v>
      </c>
      <c r="E262" s="166">
        <v>3991.8110039999997</v>
      </c>
      <c r="F262" s="99">
        <f>ROUND(E262*D262,2)</f>
        <v>123746.14</v>
      </c>
      <c r="G262" s="99">
        <f t="shared" ref="G262" si="79">ROUND(F262*1.2,2)</f>
        <v>148495.37</v>
      </c>
    </row>
    <row r="263" spans="1:8" ht="27.6" x14ac:dyDescent="0.3">
      <c r="A263" s="87"/>
      <c r="B263" s="85" t="s">
        <v>1117</v>
      </c>
      <c r="C263" s="87"/>
      <c r="D263" s="217"/>
      <c r="E263" s="166">
        <v>0</v>
      </c>
      <c r="F263" s="99"/>
      <c r="G263" s="99"/>
    </row>
    <row r="264" spans="1:8" ht="27.6" x14ac:dyDescent="0.3">
      <c r="A264" s="87">
        <f>A262+1</f>
        <v>147</v>
      </c>
      <c r="B264" s="233" t="s">
        <v>526</v>
      </c>
      <c r="C264" s="87" t="s">
        <v>193</v>
      </c>
      <c r="D264" s="218">
        <f>2*0.59+0.03*2</f>
        <v>1.24</v>
      </c>
      <c r="E264" s="166">
        <v>25993.823904999994</v>
      </c>
      <c r="F264" s="99">
        <f>ROUND(E264*D264,2)</f>
        <v>32232.34</v>
      </c>
      <c r="G264" s="99">
        <f t="shared" ref="G264:G265" si="80">ROUND(F264*1.2,2)</f>
        <v>38678.81</v>
      </c>
    </row>
    <row r="265" spans="1:8" ht="41.4" x14ac:dyDescent="0.3">
      <c r="A265" s="66">
        <f>A264+1</f>
        <v>148</v>
      </c>
      <c r="B265" s="67" t="s">
        <v>1118</v>
      </c>
      <c r="C265" s="66" t="s">
        <v>220</v>
      </c>
      <c r="D265" s="71">
        <v>2</v>
      </c>
      <c r="E265" s="166">
        <v>17893.782683999998</v>
      </c>
      <c r="F265" s="270">
        <f>ROUND(E265*D265,2)</f>
        <v>35787.57</v>
      </c>
      <c r="G265" s="270">
        <f t="shared" si="80"/>
        <v>42945.08</v>
      </c>
    </row>
    <row r="266" spans="1:8" ht="15.6" x14ac:dyDescent="0.3">
      <c r="A266" s="236"/>
      <c r="B266" s="80" t="s">
        <v>169</v>
      </c>
      <c r="C266" s="663"/>
      <c r="D266" s="664"/>
      <c r="E266" s="651"/>
      <c r="F266" s="672">
        <f>SUM(F161:F265)</f>
        <v>18893933.91</v>
      </c>
      <c r="G266" s="672">
        <f>SUM(G175:G265)</f>
        <v>22544890.110000007</v>
      </c>
    </row>
    <row r="267" spans="1:8" ht="22.5" customHeight="1" x14ac:dyDescent="0.3">
      <c r="A267" s="149"/>
      <c r="B267" s="168" t="s">
        <v>604</v>
      </c>
      <c r="C267" s="157"/>
      <c r="D267" s="157"/>
      <c r="E267" s="157"/>
      <c r="F267" s="157"/>
      <c r="G267" s="157"/>
      <c r="H267" s="202"/>
    </row>
    <row r="268" spans="1:8" ht="15.6" x14ac:dyDescent="0.3">
      <c r="A268" s="66"/>
      <c r="B268" s="62" t="s">
        <v>513</v>
      </c>
      <c r="C268" s="66"/>
      <c r="D268" s="71"/>
      <c r="E268" s="166">
        <v>0</v>
      </c>
      <c r="F268" s="156"/>
      <c r="G268" s="164"/>
    </row>
    <row r="269" spans="1:8" ht="15.6" x14ac:dyDescent="0.3">
      <c r="A269" s="66">
        <f>A265+1</f>
        <v>149</v>
      </c>
      <c r="B269" s="67" t="s">
        <v>669</v>
      </c>
      <c r="C269" s="66" t="s">
        <v>193</v>
      </c>
      <c r="D269" s="68">
        <v>1584.21</v>
      </c>
      <c r="E269" s="166">
        <v>534.91125600000009</v>
      </c>
      <c r="F269" s="94">
        <f t="shared" ref="F269:F278" si="81">ROUND(E269*D269,2)</f>
        <v>847411.76</v>
      </c>
      <c r="G269" s="94">
        <f t="shared" ref="G269:G296" si="82">ROUND(F269*1.2,2)</f>
        <v>1016894.11</v>
      </c>
    </row>
    <row r="270" spans="1:8" ht="15.6" x14ac:dyDescent="0.3">
      <c r="A270" s="66">
        <f>A269+1</f>
        <v>150</v>
      </c>
      <c r="B270" s="67" t="s">
        <v>515</v>
      </c>
      <c r="C270" s="66" t="s">
        <v>193</v>
      </c>
      <c r="D270" s="68">
        <v>47.53</v>
      </c>
      <c r="E270" s="166">
        <v>2541.5435879999995</v>
      </c>
      <c r="F270" s="94">
        <f t="shared" si="81"/>
        <v>120799.57</v>
      </c>
      <c r="G270" s="94">
        <f t="shared" si="82"/>
        <v>144959.48000000001</v>
      </c>
    </row>
    <row r="271" spans="1:8" ht="15.6" x14ac:dyDescent="0.3">
      <c r="A271" s="66">
        <f>A270+1</f>
        <v>151</v>
      </c>
      <c r="B271" s="67" t="s">
        <v>521</v>
      </c>
      <c r="C271" s="66" t="s">
        <v>193</v>
      </c>
      <c r="D271" s="72">
        <v>27.43</v>
      </c>
      <c r="E271" s="166">
        <v>1972.306476</v>
      </c>
      <c r="F271" s="94">
        <f t="shared" si="81"/>
        <v>54100.37</v>
      </c>
      <c r="G271" s="94">
        <f t="shared" si="82"/>
        <v>64920.44</v>
      </c>
    </row>
    <row r="272" spans="1:8" ht="15.6" x14ac:dyDescent="0.3">
      <c r="A272" s="66">
        <f t="shared" ref="A272:A278" si="83">A271+1</f>
        <v>152</v>
      </c>
      <c r="B272" s="67" t="s">
        <v>522</v>
      </c>
      <c r="C272" s="66" t="s">
        <v>193</v>
      </c>
      <c r="D272" s="68">
        <v>220.77</v>
      </c>
      <c r="E272" s="166">
        <v>1972.306476</v>
      </c>
      <c r="F272" s="94">
        <f t="shared" si="81"/>
        <v>435426.1</v>
      </c>
      <c r="G272" s="94">
        <f t="shared" si="82"/>
        <v>522511.32</v>
      </c>
    </row>
    <row r="273" spans="1:8" ht="27.6" x14ac:dyDescent="0.3">
      <c r="A273" s="66">
        <f t="shared" si="83"/>
        <v>153</v>
      </c>
      <c r="B273" s="67" t="s">
        <v>670</v>
      </c>
      <c r="C273" s="66" t="s">
        <v>193</v>
      </c>
      <c r="D273" s="68">
        <v>1396.26</v>
      </c>
      <c r="E273" s="166">
        <v>534.91125600000009</v>
      </c>
      <c r="F273" s="94">
        <f t="shared" si="81"/>
        <v>746875.19</v>
      </c>
      <c r="G273" s="94">
        <f t="shared" si="82"/>
        <v>896250.23</v>
      </c>
    </row>
    <row r="274" spans="1:8" ht="15.6" x14ac:dyDescent="0.3">
      <c r="A274" s="66">
        <f t="shared" si="83"/>
        <v>154</v>
      </c>
      <c r="B274" s="67" t="s">
        <v>671</v>
      </c>
      <c r="C274" s="66" t="s">
        <v>193</v>
      </c>
      <c r="D274" s="68">
        <v>30.73</v>
      </c>
      <c r="E274" s="166">
        <v>2033.8069679999999</v>
      </c>
      <c r="F274" s="94">
        <f t="shared" si="81"/>
        <v>62498.89</v>
      </c>
      <c r="G274" s="94">
        <f t="shared" si="82"/>
        <v>74998.67</v>
      </c>
    </row>
    <row r="275" spans="1:8" ht="15.6" x14ac:dyDescent="0.3">
      <c r="A275" s="66">
        <f t="shared" si="83"/>
        <v>155</v>
      </c>
      <c r="B275" s="67" t="s">
        <v>672</v>
      </c>
      <c r="C275" s="66" t="s">
        <v>193</v>
      </c>
      <c r="D275" s="68">
        <v>1002.5</v>
      </c>
      <c r="E275" s="166">
        <v>178.78050000000002</v>
      </c>
      <c r="F275" s="94">
        <f t="shared" si="81"/>
        <v>179227.45</v>
      </c>
      <c r="G275" s="94">
        <f t="shared" si="82"/>
        <v>215072.94</v>
      </c>
    </row>
    <row r="276" spans="1:8" ht="15.6" x14ac:dyDescent="0.3">
      <c r="A276" s="66">
        <f t="shared" si="83"/>
        <v>156</v>
      </c>
      <c r="B276" s="67" t="s">
        <v>451</v>
      </c>
      <c r="C276" s="66" t="s">
        <v>193</v>
      </c>
      <c r="D276" s="68">
        <v>1002.5</v>
      </c>
      <c r="E276" s="166">
        <v>283.188312</v>
      </c>
      <c r="F276" s="94">
        <f t="shared" si="81"/>
        <v>283896.28000000003</v>
      </c>
      <c r="G276" s="94">
        <f t="shared" si="82"/>
        <v>340675.54</v>
      </c>
    </row>
    <row r="277" spans="1:8" ht="15.6" x14ac:dyDescent="0.3">
      <c r="A277" s="66">
        <f t="shared" si="83"/>
        <v>157</v>
      </c>
      <c r="B277" s="67" t="s">
        <v>518</v>
      </c>
      <c r="C277" s="66" t="s">
        <v>239</v>
      </c>
      <c r="D277" s="68">
        <v>1251.0999999999999</v>
      </c>
      <c r="E277" s="166">
        <v>464.82929999999999</v>
      </c>
      <c r="F277" s="94">
        <f t="shared" si="81"/>
        <v>581547.93999999994</v>
      </c>
      <c r="G277" s="94">
        <f t="shared" si="82"/>
        <v>697857.53</v>
      </c>
    </row>
    <row r="278" spans="1:8" ht="15.6" x14ac:dyDescent="0.3">
      <c r="A278" s="507">
        <f t="shared" si="83"/>
        <v>158</v>
      </c>
      <c r="B278" s="508" t="s">
        <v>503</v>
      </c>
      <c r="C278" s="507" t="s">
        <v>193</v>
      </c>
      <c r="D278" s="509">
        <f>1251.1/1.6</f>
        <v>781.93749999999989</v>
      </c>
      <c r="E278" s="510">
        <v>1350</v>
      </c>
      <c r="F278" s="511">
        <f t="shared" si="81"/>
        <v>1055615.6299999999</v>
      </c>
      <c r="G278" s="511">
        <f t="shared" si="82"/>
        <v>1266738.76</v>
      </c>
    </row>
    <row r="279" spans="1:8" ht="15.6" x14ac:dyDescent="0.3">
      <c r="A279" s="66"/>
      <c r="B279" s="62" t="s">
        <v>523</v>
      </c>
      <c r="C279" s="66"/>
      <c r="D279" s="71"/>
      <c r="E279" s="166">
        <v>0</v>
      </c>
      <c r="F279" s="94"/>
      <c r="G279" s="94"/>
    </row>
    <row r="280" spans="1:8" ht="15.6" x14ac:dyDescent="0.3">
      <c r="A280" s="66">
        <f>A278+1</f>
        <v>159</v>
      </c>
      <c r="B280" s="67" t="s">
        <v>677</v>
      </c>
      <c r="C280" s="66" t="s">
        <v>194</v>
      </c>
      <c r="D280" s="72">
        <v>29.8</v>
      </c>
      <c r="E280" s="166">
        <v>6930.9624239999994</v>
      </c>
      <c r="F280" s="94">
        <f t="shared" ref="F280:F292" si="84">ROUND(E280*D280,2)</f>
        <v>206542.68</v>
      </c>
      <c r="G280" s="94">
        <f t="shared" si="82"/>
        <v>247851.22</v>
      </c>
      <c r="H280" s="203"/>
    </row>
    <row r="281" spans="1:8" ht="27.6" x14ac:dyDescent="0.3">
      <c r="A281" s="66">
        <f t="shared" ref="A281:A292" si="85">A280+1</f>
        <v>160</v>
      </c>
      <c r="B281" s="67" t="s">
        <v>678</v>
      </c>
      <c r="C281" s="66" t="s">
        <v>194</v>
      </c>
      <c r="D281" s="72">
        <v>29.8</v>
      </c>
      <c r="E281" s="166">
        <v>592.12101599999994</v>
      </c>
      <c r="F281" s="94">
        <f t="shared" si="84"/>
        <v>17645.21</v>
      </c>
      <c r="G281" s="94">
        <f t="shared" si="82"/>
        <v>21174.25</v>
      </c>
    </row>
    <row r="282" spans="1:8" ht="15.6" x14ac:dyDescent="0.3">
      <c r="A282" s="66">
        <f t="shared" si="85"/>
        <v>161</v>
      </c>
      <c r="B282" s="67" t="s">
        <v>685</v>
      </c>
      <c r="C282" s="66" t="s">
        <v>194</v>
      </c>
      <c r="D282" s="72">
        <v>29.8</v>
      </c>
      <c r="E282" s="166">
        <v>5296.1935320000002</v>
      </c>
      <c r="F282" s="94">
        <f t="shared" si="84"/>
        <v>157826.57</v>
      </c>
      <c r="G282" s="94">
        <f t="shared" si="82"/>
        <v>189391.88</v>
      </c>
    </row>
    <row r="283" spans="1:8" ht="15.6" x14ac:dyDescent="0.3">
      <c r="A283" s="66">
        <f t="shared" si="85"/>
        <v>162</v>
      </c>
      <c r="B283" s="67" t="s">
        <v>679</v>
      </c>
      <c r="C283" s="66" t="s">
        <v>650</v>
      </c>
      <c r="D283" s="71">
        <v>1</v>
      </c>
      <c r="E283" s="166">
        <v>6441.8189760000005</v>
      </c>
      <c r="F283" s="94">
        <f t="shared" si="84"/>
        <v>6441.82</v>
      </c>
      <c r="G283" s="94">
        <f t="shared" si="82"/>
        <v>7730.18</v>
      </c>
    </row>
    <row r="284" spans="1:8" ht="15.6" x14ac:dyDescent="0.3">
      <c r="A284" s="66">
        <f t="shared" si="85"/>
        <v>163</v>
      </c>
      <c r="B284" s="67" t="s">
        <v>680</v>
      </c>
      <c r="C284" s="66" t="s">
        <v>194</v>
      </c>
      <c r="D284" s="71">
        <v>29</v>
      </c>
      <c r="E284" s="166">
        <v>6930.9624239999994</v>
      </c>
      <c r="F284" s="94">
        <f t="shared" si="84"/>
        <v>200997.91</v>
      </c>
      <c r="G284" s="94">
        <f t="shared" si="82"/>
        <v>241197.49</v>
      </c>
      <c r="H284" s="203"/>
    </row>
    <row r="285" spans="1:8" ht="27.6" x14ac:dyDescent="0.3">
      <c r="A285" s="66">
        <f t="shared" si="85"/>
        <v>164</v>
      </c>
      <c r="B285" s="67" t="s">
        <v>681</v>
      </c>
      <c r="C285" s="66" t="s">
        <v>194</v>
      </c>
      <c r="D285" s="71">
        <v>29</v>
      </c>
      <c r="E285" s="166">
        <v>592.12101599999994</v>
      </c>
      <c r="F285" s="94">
        <f t="shared" si="84"/>
        <v>17171.509999999998</v>
      </c>
      <c r="G285" s="94">
        <f t="shared" si="82"/>
        <v>20605.810000000001</v>
      </c>
    </row>
    <row r="286" spans="1:8" ht="27.6" x14ac:dyDescent="0.3">
      <c r="A286" s="66">
        <f t="shared" si="85"/>
        <v>165</v>
      </c>
      <c r="B286" s="67" t="s">
        <v>682</v>
      </c>
      <c r="C286" s="66" t="s">
        <v>194</v>
      </c>
      <c r="D286" s="71">
        <v>29</v>
      </c>
      <c r="E286" s="166">
        <v>5296.1935320000002</v>
      </c>
      <c r="F286" s="94">
        <f t="shared" si="84"/>
        <v>153589.60999999999</v>
      </c>
      <c r="G286" s="94">
        <f t="shared" si="82"/>
        <v>184307.53</v>
      </c>
    </row>
    <row r="287" spans="1:8" ht="15.6" x14ac:dyDescent="0.3">
      <c r="A287" s="66">
        <f t="shared" si="85"/>
        <v>166</v>
      </c>
      <c r="B287" s="67" t="s">
        <v>683</v>
      </c>
      <c r="C287" s="66" t="s">
        <v>650</v>
      </c>
      <c r="D287" s="71">
        <v>1</v>
      </c>
      <c r="E287" s="166">
        <v>9604.088459999999</v>
      </c>
      <c r="F287" s="94">
        <f t="shared" si="84"/>
        <v>9604.09</v>
      </c>
      <c r="G287" s="94">
        <f t="shared" si="82"/>
        <v>11524.91</v>
      </c>
    </row>
    <row r="288" spans="1:8" ht="15.6" x14ac:dyDescent="0.3">
      <c r="A288" s="66">
        <f t="shared" si="85"/>
        <v>167</v>
      </c>
      <c r="B288" s="67" t="s">
        <v>686</v>
      </c>
      <c r="C288" s="66" t="s">
        <v>194</v>
      </c>
      <c r="D288" s="71">
        <v>108</v>
      </c>
      <c r="E288" s="166">
        <v>1454.5581479999998</v>
      </c>
      <c r="F288" s="94">
        <f t="shared" si="84"/>
        <v>157092.28</v>
      </c>
      <c r="G288" s="94">
        <f t="shared" si="82"/>
        <v>188510.74</v>
      </c>
      <c r="H288" s="203"/>
    </row>
    <row r="289" spans="1:8" ht="15.6" x14ac:dyDescent="0.3">
      <c r="A289" s="66">
        <f t="shared" si="85"/>
        <v>168</v>
      </c>
      <c r="B289" s="80" t="s">
        <v>687</v>
      </c>
      <c r="C289" s="66" t="s">
        <v>194</v>
      </c>
      <c r="D289" s="72">
        <v>223.3</v>
      </c>
      <c r="E289" s="166">
        <v>2081.0050200000001</v>
      </c>
      <c r="F289" s="94">
        <f t="shared" si="84"/>
        <v>464688.42</v>
      </c>
      <c r="G289" s="94">
        <f t="shared" si="82"/>
        <v>557626.1</v>
      </c>
      <c r="H289" s="203"/>
    </row>
    <row r="290" spans="1:8" ht="15.6" x14ac:dyDescent="0.3">
      <c r="A290" s="66">
        <f t="shared" si="85"/>
        <v>169</v>
      </c>
      <c r="B290" s="67" t="s">
        <v>1249</v>
      </c>
      <c r="C290" s="66" t="s">
        <v>220</v>
      </c>
      <c r="D290" s="71">
        <v>1</v>
      </c>
      <c r="E290" s="166">
        <v>2182.5523440000002</v>
      </c>
      <c r="F290" s="270">
        <f t="shared" si="84"/>
        <v>2182.5500000000002</v>
      </c>
      <c r="G290" s="270">
        <f t="shared" si="82"/>
        <v>2619.06</v>
      </c>
      <c r="H290" s="203"/>
    </row>
    <row r="291" spans="1:8" ht="15.6" x14ac:dyDescent="0.3">
      <c r="A291" s="66">
        <f t="shared" si="85"/>
        <v>170</v>
      </c>
      <c r="B291" s="67" t="s">
        <v>1250</v>
      </c>
      <c r="C291" s="66" t="s">
        <v>220</v>
      </c>
      <c r="D291" s="71">
        <v>1</v>
      </c>
      <c r="E291" s="166">
        <v>3218.049</v>
      </c>
      <c r="F291" s="270">
        <f t="shared" si="84"/>
        <v>3218.05</v>
      </c>
      <c r="G291" s="270">
        <f t="shared" si="82"/>
        <v>3861.66</v>
      </c>
      <c r="H291" s="203"/>
    </row>
    <row r="292" spans="1:8" ht="15.6" x14ac:dyDescent="0.3">
      <c r="A292" s="66">
        <f t="shared" si="85"/>
        <v>171</v>
      </c>
      <c r="B292" s="67" t="s">
        <v>1251</v>
      </c>
      <c r="C292" s="66" t="s">
        <v>220</v>
      </c>
      <c r="D292" s="71">
        <v>1</v>
      </c>
      <c r="E292" s="166">
        <v>2182.5523440000002</v>
      </c>
      <c r="F292" s="270">
        <f t="shared" si="84"/>
        <v>2182.5500000000002</v>
      </c>
      <c r="G292" s="270">
        <f t="shared" si="82"/>
        <v>2619.06</v>
      </c>
      <c r="H292" s="203"/>
    </row>
    <row r="293" spans="1:8" ht="15.6" x14ac:dyDescent="0.3">
      <c r="A293" s="66"/>
      <c r="B293" s="62" t="s">
        <v>525</v>
      </c>
      <c r="C293" s="66"/>
      <c r="D293" s="71"/>
      <c r="E293" s="166">
        <v>0</v>
      </c>
      <c r="F293" s="94"/>
      <c r="G293" s="94"/>
    </row>
    <row r="294" spans="1:8" ht="27.6" x14ac:dyDescent="0.3">
      <c r="A294" s="66">
        <f>A292+1</f>
        <v>172</v>
      </c>
      <c r="B294" s="67" t="s">
        <v>526</v>
      </c>
      <c r="C294" s="66" t="s">
        <v>193</v>
      </c>
      <c r="D294" s="68">
        <v>5.88</v>
      </c>
      <c r="E294" s="166">
        <v>25993.823904999994</v>
      </c>
      <c r="F294" s="94">
        <f>ROUND(E294*D294,2)</f>
        <v>152843.68</v>
      </c>
      <c r="G294" s="94">
        <f t="shared" si="82"/>
        <v>183412.42</v>
      </c>
    </row>
    <row r="295" spans="1:8" ht="41.4" x14ac:dyDescent="0.3">
      <c r="A295" s="66">
        <f>A294+1</f>
        <v>173</v>
      </c>
      <c r="B295" s="67" t="s">
        <v>684</v>
      </c>
      <c r="C295" s="66" t="s">
        <v>220</v>
      </c>
      <c r="D295" s="71">
        <v>9</v>
      </c>
      <c r="E295" s="166">
        <v>4884.2832600000002</v>
      </c>
      <c r="F295" s="94">
        <f>ROUND(E295*D295,2)</f>
        <v>43958.55</v>
      </c>
      <c r="G295" s="94">
        <f t="shared" si="82"/>
        <v>52750.26</v>
      </c>
      <c r="H295" s="203"/>
    </row>
    <row r="296" spans="1:8" ht="41.4" x14ac:dyDescent="0.3">
      <c r="A296" s="66">
        <f>A295+1</f>
        <v>174</v>
      </c>
      <c r="B296" s="67" t="s">
        <v>676</v>
      </c>
      <c r="C296" s="66" t="s">
        <v>220</v>
      </c>
      <c r="D296" s="71">
        <v>16</v>
      </c>
      <c r="E296" s="166">
        <v>7401.5127000000002</v>
      </c>
      <c r="F296" s="94">
        <f>ROUND(E296*D296,2)</f>
        <v>118424.2</v>
      </c>
      <c r="G296" s="94">
        <f t="shared" si="82"/>
        <v>142109.04</v>
      </c>
      <c r="H296" s="203"/>
    </row>
    <row r="297" spans="1:8" ht="15.6" x14ac:dyDescent="0.3">
      <c r="A297" s="236"/>
      <c r="B297" s="80"/>
      <c r="C297" s="663"/>
      <c r="D297" s="664"/>
      <c r="E297" s="651"/>
      <c r="F297" s="672">
        <f>SUM(F268:F296)</f>
        <v>6081808.8599999994</v>
      </c>
      <c r="G297" s="672">
        <f>SUM(G268:G296)</f>
        <v>7298170.629999998</v>
      </c>
      <c r="H297" s="203"/>
    </row>
    <row r="298" spans="1:8" ht="24.75" customHeight="1" x14ac:dyDescent="0.3">
      <c r="A298" s="149"/>
      <c r="B298" s="168" t="s">
        <v>615</v>
      </c>
      <c r="C298" s="157"/>
      <c r="D298" s="157"/>
      <c r="E298" s="157"/>
      <c r="F298" s="157"/>
      <c r="G298" s="157"/>
    </row>
    <row r="299" spans="1:8" ht="15.6" x14ac:dyDescent="0.3">
      <c r="A299" s="66"/>
      <c r="B299" s="62" t="s">
        <v>688</v>
      </c>
      <c r="C299" s="66"/>
      <c r="D299" s="71"/>
      <c r="E299" s="166">
        <v>0</v>
      </c>
      <c r="F299" s="156"/>
      <c r="G299" s="164"/>
    </row>
    <row r="300" spans="1:8" ht="15.6" x14ac:dyDescent="0.3">
      <c r="A300" s="66">
        <f>A296+1</f>
        <v>175</v>
      </c>
      <c r="B300" s="67" t="s">
        <v>689</v>
      </c>
      <c r="C300" s="66" t="s">
        <v>193</v>
      </c>
      <c r="D300" s="68">
        <v>2488.65</v>
      </c>
      <c r="E300" s="166">
        <v>464.82929999999999</v>
      </c>
      <c r="F300" s="94">
        <f t="shared" ref="F300:F306" si="86">ROUND(E300*D300,2)</f>
        <v>1156797.4399999999</v>
      </c>
      <c r="G300" s="94">
        <f t="shared" ref="G300" si="87">ROUND(F300*1.2,2)</f>
        <v>1388156.93</v>
      </c>
    </row>
    <row r="301" spans="1:8" ht="27.6" x14ac:dyDescent="0.3">
      <c r="A301" s="66">
        <f>A300+1</f>
        <v>176</v>
      </c>
      <c r="B301" s="67" t="s">
        <v>690</v>
      </c>
      <c r="C301" s="66" t="s">
        <v>193</v>
      </c>
      <c r="D301" s="68">
        <v>2488.65</v>
      </c>
      <c r="E301" s="166">
        <v>464.82929999999999</v>
      </c>
      <c r="F301" s="94">
        <f t="shared" si="86"/>
        <v>1156797.4399999999</v>
      </c>
      <c r="G301" s="94">
        <f t="shared" ref="G301:G303" si="88">ROUND(F301*1.2,2)</f>
        <v>1388156.93</v>
      </c>
    </row>
    <row r="302" spans="1:8" ht="15.6" x14ac:dyDescent="0.3">
      <c r="A302" s="66">
        <f t="shared" ref="A302:A305" si="89">A301+1</f>
        <v>177</v>
      </c>
      <c r="B302" s="67" t="s">
        <v>518</v>
      </c>
      <c r="C302" s="66" t="s">
        <v>239</v>
      </c>
      <c r="D302" s="68">
        <f>2488.65*1.75</f>
        <v>4355.1374999999998</v>
      </c>
      <c r="E302" s="166">
        <v>464.82929999999999</v>
      </c>
      <c r="F302" s="94">
        <f t="shared" si="86"/>
        <v>2024395.52</v>
      </c>
      <c r="G302" s="94">
        <f t="shared" si="88"/>
        <v>2429274.62</v>
      </c>
    </row>
    <row r="303" spans="1:8" ht="15.6" x14ac:dyDescent="0.3">
      <c r="A303" s="512">
        <f t="shared" si="89"/>
        <v>178</v>
      </c>
      <c r="B303" s="514" t="s">
        <v>503</v>
      </c>
      <c r="C303" s="512" t="s">
        <v>193</v>
      </c>
      <c r="D303" s="515">
        <f>(2488.65*1.75)/1.75</f>
        <v>2488.65</v>
      </c>
      <c r="E303" s="516">
        <v>1350</v>
      </c>
      <c r="F303" s="511">
        <f t="shared" si="86"/>
        <v>3359677.5</v>
      </c>
      <c r="G303" s="511">
        <f t="shared" si="88"/>
        <v>4031613</v>
      </c>
    </row>
    <row r="304" spans="1:8" ht="15.6" x14ac:dyDescent="0.3">
      <c r="A304" s="102">
        <f t="shared" si="89"/>
        <v>179</v>
      </c>
      <c r="B304" s="287" t="s">
        <v>1209</v>
      </c>
      <c r="C304" s="102" t="s">
        <v>193</v>
      </c>
      <c r="D304" s="288">
        <v>56</v>
      </c>
      <c r="E304" s="271">
        <v>464.82929999999999</v>
      </c>
      <c r="F304" s="270">
        <f t="shared" si="86"/>
        <v>26030.44</v>
      </c>
      <c r="G304" s="270">
        <f t="shared" ref="G304" si="90">ROUND(F304*1.2,2)</f>
        <v>31236.53</v>
      </c>
    </row>
    <row r="305" spans="1:8" ht="15.6" x14ac:dyDescent="0.3">
      <c r="A305" s="102">
        <f t="shared" si="89"/>
        <v>180</v>
      </c>
      <c r="B305" s="287"/>
      <c r="C305" s="102"/>
      <c r="D305" s="290"/>
      <c r="E305" s="271"/>
      <c r="F305" s="270"/>
      <c r="G305" s="270"/>
      <c r="H305" s="203"/>
    </row>
    <row r="306" spans="1:8" ht="15.6" x14ac:dyDescent="0.3">
      <c r="A306" s="102">
        <f>A305+1</f>
        <v>181</v>
      </c>
      <c r="B306" s="287" t="s">
        <v>1210</v>
      </c>
      <c r="C306" s="102" t="s">
        <v>193</v>
      </c>
      <c r="D306" s="290">
        <v>104</v>
      </c>
      <c r="E306" s="271">
        <v>632.16784799999994</v>
      </c>
      <c r="F306" s="270">
        <f t="shared" si="86"/>
        <v>65745.460000000006</v>
      </c>
      <c r="G306" s="270">
        <f t="shared" ref="G306" si="91">ROUND(F306*1.2,2)</f>
        <v>78894.55</v>
      </c>
    </row>
    <row r="307" spans="1:8" ht="20.25" customHeight="1" x14ac:dyDescent="0.3">
      <c r="A307" s="102"/>
      <c r="B307" s="337" t="s">
        <v>616</v>
      </c>
      <c r="C307" s="102"/>
      <c r="D307" s="288"/>
      <c r="E307" s="271">
        <v>0</v>
      </c>
      <c r="F307" s="270"/>
      <c r="G307" s="270"/>
    </row>
    <row r="308" spans="1:8" ht="27.6" x14ac:dyDescent="0.3">
      <c r="A308" s="102">
        <f>A306+1</f>
        <v>182</v>
      </c>
      <c r="B308" s="287" t="s">
        <v>617</v>
      </c>
      <c r="C308" s="102" t="s">
        <v>194</v>
      </c>
      <c r="D308" s="290">
        <v>163</v>
      </c>
      <c r="E308" s="271">
        <v>6713.5653360000006</v>
      </c>
      <c r="F308" s="270">
        <f>ROUND(E308*D308,2)</f>
        <v>1094311.1499999999</v>
      </c>
      <c r="G308" s="270">
        <f t="shared" ref="G308:G309" si="92">ROUND(F308*1.2,2)</f>
        <v>1313173.3799999999</v>
      </c>
    </row>
    <row r="309" spans="1:8" ht="34.5" customHeight="1" x14ac:dyDescent="0.3">
      <c r="A309" s="102">
        <f>A308+1</f>
        <v>183</v>
      </c>
      <c r="B309" s="287" t="s">
        <v>618</v>
      </c>
      <c r="C309" s="102" t="s">
        <v>194</v>
      </c>
      <c r="D309" s="290">
        <v>163</v>
      </c>
      <c r="E309" s="271">
        <v>792.35517599999991</v>
      </c>
      <c r="F309" s="270">
        <f>ROUND(E309*D309,2)</f>
        <v>129153.89</v>
      </c>
      <c r="G309" s="270">
        <f t="shared" si="92"/>
        <v>154984.67000000001</v>
      </c>
    </row>
    <row r="310" spans="1:8" ht="15.6" x14ac:dyDescent="0.3">
      <c r="A310" s="102"/>
      <c r="B310" s="337" t="s">
        <v>1211</v>
      </c>
      <c r="C310" s="102"/>
      <c r="D310" s="288"/>
      <c r="E310" s="271">
        <v>0</v>
      </c>
      <c r="F310" s="270"/>
      <c r="G310" s="270"/>
    </row>
    <row r="311" spans="1:8" ht="27.6" x14ac:dyDescent="0.3">
      <c r="A311" s="102">
        <f>A309+1</f>
        <v>184</v>
      </c>
      <c r="B311" s="287" t="s">
        <v>620</v>
      </c>
      <c r="C311" s="102" t="s">
        <v>431</v>
      </c>
      <c r="D311" s="288">
        <v>5940.5</v>
      </c>
      <c r="E311" s="271">
        <v>1630.4781600000001</v>
      </c>
      <c r="F311" s="270">
        <f t="shared" ref="F311:F316" si="93">ROUND(E311*D311,2)</f>
        <v>9685855.5099999998</v>
      </c>
      <c r="G311" s="270">
        <f t="shared" ref="G311:G316" si="94">ROUND(F311*1.2,2)</f>
        <v>11623026.609999999</v>
      </c>
    </row>
    <row r="312" spans="1:8" ht="27.6" x14ac:dyDescent="0.3">
      <c r="A312" s="102">
        <f>A311+1</f>
        <v>185</v>
      </c>
      <c r="B312" s="287" t="s">
        <v>691</v>
      </c>
      <c r="C312" s="102" t="s">
        <v>193</v>
      </c>
      <c r="D312" s="288">
        <v>499</v>
      </c>
      <c r="E312" s="271">
        <v>2508.6479759999997</v>
      </c>
      <c r="F312" s="270">
        <f t="shared" si="93"/>
        <v>1251815.3400000001</v>
      </c>
      <c r="G312" s="270">
        <f t="shared" si="94"/>
        <v>1502178.41</v>
      </c>
    </row>
    <row r="313" spans="1:8" ht="27.6" x14ac:dyDescent="0.3">
      <c r="A313" s="66">
        <f t="shared" ref="A313:A316" si="95">A312+1</f>
        <v>186</v>
      </c>
      <c r="B313" s="67" t="s">
        <v>692</v>
      </c>
      <c r="C313" s="66" t="s">
        <v>193</v>
      </c>
      <c r="D313" s="68">
        <v>935.63</v>
      </c>
      <c r="E313" s="166">
        <v>2508.6479759999997</v>
      </c>
      <c r="F313" s="94">
        <f t="shared" si="93"/>
        <v>2347166.31</v>
      </c>
      <c r="G313" s="94">
        <f t="shared" si="94"/>
        <v>2816599.57</v>
      </c>
    </row>
    <row r="314" spans="1:8" ht="27.6" x14ac:dyDescent="0.3">
      <c r="A314" s="591">
        <f t="shared" si="95"/>
        <v>187</v>
      </c>
      <c r="B314" s="621" t="s">
        <v>2165</v>
      </c>
      <c r="C314" s="591" t="s">
        <v>193</v>
      </c>
      <c r="D314" s="622">
        <v>2117</v>
      </c>
      <c r="E314" s="588">
        <v>979</v>
      </c>
      <c r="F314" s="620">
        <f t="shared" si="93"/>
        <v>2072543</v>
      </c>
      <c r="G314" s="620">
        <f t="shared" si="94"/>
        <v>2487051.6</v>
      </c>
    </row>
    <row r="315" spans="1:8" ht="27.6" x14ac:dyDescent="0.3">
      <c r="A315" s="591">
        <f t="shared" si="95"/>
        <v>188</v>
      </c>
      <c r="B315" s="621" t="s">
        <v>2164</v>
      </c>
      <c r="C315" s="591" t="s">
        <v>193</v>
      </c>
      <c r="D315" s="622">
        <v>2117</v>
      </c>
      <c r="E315" s="588">
        <v>979</v>
      </c>
      <c r="F315" s="620">
        <f t="shared" si="93"/>
        <v>2072543</v>
      </c>
      <c r="G315" s="620">
        <f t="shared" si="94"/>
        <v>2487051.6</v>
      </c>
    </row>
    <row r="316" spans="1:8" ht="15.6" x14ac:dyDescent="0.3">
      <c r="A316" s="66">
        <f t="shared" si="95"/>
        <v>189</v>
      </c>
      <c r="B316" s="67" t="s">
        <v>1212</v>
      </c>
      <c r="C316" s="66" t="s">
        <v>220</v>
      </c>
      <c r="D316" s="71">
        <v>144</v>
      </c>
      <c r="E316" s="166">
        <v>2341.3094279999996</v>
      </c>
      <c r="F316" s="270">
        <f t="shared" si="93"/>
        <v>337148.56</v>
      </c>
      <c r="G316" s="270">
        <f t="shared" si="94"/>
        <v>404578.27</v>
      </c>
    </row>
    <row r="317" spans="1:8" ht="22.5" customHeight="1" x14ac:dyDescent="0.3">
      <c r="A317" s="66"/>
      <c r="B317" s="62" t="s">
        <v>1213</v>
      </c>
      <c r="C317" s="66"/>
      <c r="D317" s="68"/>
      <c r="E317" s="166">
        <v>0</v>
      </c>
      <c r="F317" s="270"/>
      <c r="G317" s="270"/>
    </row>
    <row r="318" spans="1:8" ht="27.6" x14ac:dyDescent="0.3">
      <c r="A318" s="66">
        <f>A316+1</f>
        <v>190</v>
      </c>
      <c r="B318" s="67" t="s">
        <v>1215</v>
      </c>
      <c r="C318" s="66" t="s">
        <v>431</v>
      </c>
      <c r="D318" s="68">
        <v>297.02999999999997</v>
      </c>
      <c r="E318" s="166">
        <v>274.78134903545094</v>
      </c>
      <c r="F318" s="270">
        <f>ROUND(E318*D318,2)</f>
        <v>81618.3</v>
      </c>
      <c r="G318" s="270">
        <f t="shared" ref="G318:G322" si="96">ROUND(F318*1.2,2)</f>
        <v>97941.96</v>
      </c>
    </row>
    <row r="319" spans="1:8" ht="27.6" x14ac:dyDescent="0.3">
      <c r="A319" s="66">
        <f>A318+1</f>
        <v>191</v>
      </c>
      <c r="B319" s="67" t="s">
        <v>1216</v>
      </c>
      <c r="C319" s="66" t="s">
        <v>193</v>
      </c>
      <c r="D319" s="68">
        <v>499</v>
      </c>
      <c r="E319" s="166">
        <v>486.99808199999995</v>
      </c>
      <c r="F319" s="270">
        <f>ROUND(E319*D319,2)</f>
        <v>243012.04</v>
      </c>
      <c r="G319" s="270">
        <f t="shared" si="96"/>
        <v>291614.45</v>
      </c>
    </row>
    <row r="320" spans="1:8" ht="27.6" x14ac:dyDescent="0.3">
      <c r="A320" s="66">
        <f t="shared" ref="A320:A322" si="97">A319+1</f>
        <v>192</v>
      </c>
      <c r="B320" s="67" t="s">
        <v>1217</v>
      </c>
      <c r="C320" s="66" t="s">
        <v>193</v>
      </c>
      <c r="D320" s="68">
        <v>935.63</v>
      </c>
      <c r="E320" s="166">
        <v>457.67808000000002</v>
      </c>
      <c r="F320" s="270">
        <f>ROUND(E320*D320,2)</f>
        <v>428217.34</v>
      </c>
      <c r="G320" s="270">
        <f t="shared" si="96"/>
        <v>513860.81</v>
      </c>
    </row>
    <row r="321" spans="1:8" ht="15.6" x14ac:dyDescent="0.3">
      <c r="A321" s="66">
        <f t="shared" si="97"/>
        <v>193</v>
      </c>
      <c r="B321" s="67" t="s">
        <v>1218</v>
      </c>
      <c r="C321" s="66" t="s">
        <v>193</v>
      </c>
      <c r="D321" s="68">
        <v>1960.36</v>
      </c>
      <c r="E321" s="166">
        <v>118.710252</v>
      </c>
      <c r="F321" s="270">
        <f>ROUND(E321*D321,2)</f>
        <v>232714.83</v>
      </c>
      <c r="G321" s="270">
        <f t="shared" si="96"/>
        <v>279257.8</v>
      </c>
    </row>
    <row r="322" spans="1:8" ht="15.6" x14ac:dyDescent="0.3">
      <c r="A322" s="66">
        <f t="shared" si="97"/>
        <v>194</v>
      </c>
      <c r="B322" s="67" t="s">
        <v>1214</v>
      </c>
      <c r="C322" s="66" t="s">
        <v>220</v>
      </c>
      <c r="D322" s="71">
        <v>136</v>
      </c>
      <c r="E322" s="166">
        <v>1671.9552359999998</v>
      </c>
      <c r="F322" s="270">
        <f>ROUND(E322*D322,2)</f>
        <v>227385.91</v>
      </c>
      <c r="G322" s="270">
        <f t="shared" si="96"/>
        <v>272863.09000000003</v>
      </c>
    </row>
    <row r="323" spans="1:8" ht="15.6" x14ac:dyDescent="0.3">
      <c r="A323" s="66"/>
      <c r="B323" s="62" t="s">
        <v>1219</v>
      </c>
      <c r="C323" s="66"/>
      <c r="D323" s="68"/>
      <c r="E323" s="166">
        <v>0</v>
      </c>
      <c r="F323" s="270"/>
      <c r="G323" s="270"/>
    </row>
    <row r="324" spans="1:8" ht="27.6" x14ac:dyDescent="0.3">
      <c r="A324" s="66">
        <f>A322+1</f>
        <v>195</v>
      </c>
      <c r="B324" s="67" t="s">
        <v>1220</v>
      </c>
      <c r="C324" s="66" t="s">
        <v>193</v>
      </c>
      <c r="D324" s="68">
        <v>565.42999999999995</v>
      </c>
      <c r="E324" s="166">
        <v>2508.6479759999997</v>
      </c>
      <c r="F324" s="270">
        <f>ROUND(E324*D324,2)</f>
        <v>1418464.83</v>
      </c>
      <c r="G324" s="270">
        <f t="shared" ref="G324" si="98">ROUND(F324*1.2,2)</f>
        <v>1702157.8</v>
      </c>
    </row>
    <row r="325" spans="1:8" ht="20.25" customHeight="1" x14ac:dyDescent="0.3">
      <c r="A325" s="66"/>
      <c r="B325" s="62" t="s">
        <v>1221</v>
      </c>
      <c r="C325" s="66"/>
      <c r="D325" s="68"/>
      <c r="E325" s="166">
        <v>0</v>
      </c>
      <c r="F325" s="270"/>
      <c r="G325" s="270"/>
    </row>
    <row r="326" spans="1:8" ht="15.6" x14ac:dyDescent="0.3">
      <c r="A326" s="66">
        <f>A324+1</f>
        <v>196</v>
      </c>
      <c r="B326" s="67" t="s">
        <v>1222</v>
      </c>
      <c r="C326" s="66" t="s">
        <v>220</v>
      </c>
      <c r="D326" s="71">
        <v>22</v>
      </c>
      <c r="E326" s="166">
        <v>421.92198000000002</v>
      </c>
      <c r="F326" s="270">
        <f>ROUND(E326*D326,2)</f>
        <v>9282.2800000000007</v>
      </c>
      <c r="G326" s="270">
        <f t="shared" ref="G326:G329" si="99">ROUND(F326*1.2,2)</f>
        <v>11138.74</v>
      </c>
      <c r="H326" s="202" t="s">
        <v>1262</v>
      </c>
    </row>
    <row r="327" spans="1:8" ht="15.6" x14ac:dyDescent="0.3">
      <c r="A327" s="66">
        <f>A326+1</f>
        <v>197</v>
      </c>
      <c r="B327" s="67" t="s">
        <v>1223</v>
      </c>
      <c r="C327" s="66" t="s">
        <v>220</v>
      </c>
      <c r="D327" s="71">
        <v>44</v>
      </c>
      <c r="E327" s="166">
        <v>153.03610799999998</v>
      </c>
      <c r="F327" s="270">
        <f>ROUND(E327*D327,2)</f>
        <v>6733.59</v>
      </c>
      <c r="G327" s="270">
        <f t="shared" si="99"/>
        <v>8080.31</v>
      </c>
      <c r="H327" s="202" t="s">
        <v>1263</v>
      </c>
    </row>
    <row r="328" spans="1:8" ht="15.6" x14ac:dyDescent="0.3">
      <c r="A328" s="66">
        <f>A327+1</f>
        <v>198</v>
      </c>
      <c r="B328" s="67" t="s">
        <v>1224</v>
      </c>
      <c r="C328" s="66" t="s">
        <v>220</v>
      </c>
      <c r="D328" s="71">
        <v>22</v>
      </c>
      <c r="E328" s="166">
        <v>48.628295999999999</v>
      </c>
      <c r="F328" s="270">
        <f>ROUND(E328*D328,2)</f>
        <v>1069.82</v>
      </c>
      <c r="G328" s="270">
        <f t="shared" si="99"/>
        <v>1283.78</v>
      </c>
      <c r="H328" s="202" t="s">
        <v>1264</v>
      </c>
    </row>
    <row r="329" spans="1:8" ht="15.6" x14ac:dyDescent="0.3">
      <c r="A329" s="66">
        <f t="shared" ref="A329" si="100">A328+1</f>
        <v>199</v>
      </c>
      <c r="B329" s="67" t="s">
        <v>1225</v>
      </c>
      <c r="C329" s="66" t="s">
        <v>220</v>
      </c>
      <c r="D329" s="71">
        <v>44</v>
      </c>
      <c r="E329" s="166">
        <v>293.13502</v>
      </c>
      <c r="F329" s="270">
        <f>ROUND(E329*D329,2)</f>
        <v>12897.94</v>
      </c>
      <c r="G329" s="270">
        <f t="shared" si="99"/>
        <v>15477.53</v>
      </c>
      <c r="H329" s="202" t="s">
        <v>1265</v>
      </c>
    </row>
    <row r="330" spans="1:8" ht="22.5" customHeight="1" x14ac:dyDescent="0.3">
      <c r="A330" s="66"/>
      <c r="B330" s="62" t="s">
        <v>1227</v>
      </c>
      <c r="C330" s="66"/>
      <c r="D330" s="68"/>
      <c r="E330" s="166">
        <v>0</v>
      </c>
      <c r="F330" s="270"/>
      <c r="G330" s="270"/>
    </row>
    <row r="331" spans="1:8" ht="15.6" x14ac:dyDescent="0.3">
      <c r="A331" s="66">
        <f>A329+1</f>
        <v>200</v>
      </c>
      <c r="B331" s="67" t="s">
        <v>1228</v>
      </c>
      <c r="C331" s="66" t="s">
        <v>431</v>
      </c>
      <c r="D331" s="71">
        <v>520</v>
      </c>
      <c r="E331" s="166">
        <v>223.11806399999998</v>
      </c>
      <c r="F331" s="270">
        <f>ROUND(E331*D331,2)</f>
        <v>116021.39</v>
      </c>
      <c r="G331" s="270">
        <f t="shared" ref="G331:G332" si="101">ROUND(F331*1.2,2)</f>
        <v>139225.67000000001</v>
      </c>
    </row>
    <row r="332" spans="1:8" ht="15.6" x14ac:dyDescent="0.3">
      <c r="A332" s="236"/>
      <c r="B332" s="80" t="s">
        <v>169</v>
      </c>
      <c r="C332" s="663"/>
      <c r="D332" s="664"/>
      <c r="E332" s="651"/>
      <c r="F332" s="674">
        <f>SUM(F299:F331)</f>
        <v>29557398.829999998</v>
      </c>
      <c r="G332" s="674">
        <f t="shared" si="101"/>
        <v>35468878.600000001</v>
      </c>
    </row>
    <row r="333" spans="1:8" ht="22.5" customHeight="1" x14ac:dyDescent="0.3">
      <c r="A333" s="149"/>
      <c r="B333" s="168" t="s">
        <v>2168</v>
      </c>
      <c r="C333" s="157"/>
      <c r="D333" s="157"/>
      <c r="E333" s="157"/>
      <c r="F333" s="151"/>
      <c r="G333" s="151"/>
    </row>
    <row r="334" spans="1:8" ht="15.6" x14ac:dyDescent="0.3">
      <c r="A334" s="66"/>
      <c r="B334" s="62" t="s">
        <v>625</v>
      </c>
      <c r="C334" s="66"/>
      <c r="D334" s="68"/>
      <c r="E334" s="166">
        <v>0</v>
      </c>
      <c r="F334" s="156"/>
      <c r="G334" s="164"/>
    </row>
    <row r="335" spans="1:8" ht="41.4" x14ac:dyDescent="0.3">
      <c r="A335" s="66">
        <f>A331+1</f>
        <v>201</v>
      </c>
      <c r="B335" s="67" t="s">
        <v>1231</v>
      </c>
      <c r="C335" s="66" t="s">
        <v>194</v>
      </c>
      <c r="D335" s="71">
        <f>450+30</f>
        <v>480</v>
      </c>
      <c r="E335" s="166">
        <v>413.34051599999998</v>
      </c>
      <c r="F335" s="94">
        <f>ROUND(E335*D335,2)</f>
        <v>198403.45</v>
      </c>
      <c r="G335" s="94">
        <f t="shared" ref="G335:G337" si="102">ROUND(F335*1.2,2)</f>
        <v>238084.14</v>
      </c>
    </row>
    <row r="336" spans="1:8" ht="15.6" x14ac:dyDescent="0.3">
      <c r="A336" s="66">
        <f>A335+1</f>
        <v>202</v>
      </c>
      <c r="B336" s="67" t="s">
        <v>693</v>
      </c>
      <c r="C336" s="66" t="s">
        <v>194</v>
      </c>
      <c r="D336" s="71">
        <v>80</v>
      </c>
      <c r="E336" s="166">
        <v>540.63223199999993</v>
      </c>
      <c r="F336" s="94">
        <f>ROUND(E336*D336,2)</f>
        <v>43250.58</v>
      </c>
      <c r="G336" s="94">
        <f t="shared" si="102"/>
        <v>51900.7</v>
      </c>
    </row>
    <row r="337" spans="1:7" ht="15.6" x14ac:dyDescent="0.3">
      <c r="A337" s="66">
        <f t="shared" ref="A337:A338" si="103">A336+1</f>
        <v>203</v>
      </c>
      <c r="B337" s="67" t="s">
        <v>1235</v>
      </c>
      <c r="C337" s="66" t="s">
        <v>220</v>
      </c>
      <c r="D337" s="71">
        <v>4</v>
      </c>
      <c r="E337" s="166">
        <v>17938.120247999999</v>
      </c>
      <c r="F337" s="94">
        <f>ROUND(E337*D337,2)</f>
        <v>71752.479999999996</v>
      </c>
      <c r="G337" s="94">
        <f t="shared" si="102"/>
        <v>86102.98</v>
      </c>
    </row>
    <row r="338" spans="1:7" ht="15.6" x14ac:dyDescent="0.3">
      <c r="A338" s="66">
        <f t="shared" si="103"/>
        <v>204</v>
      </c>
      <c r="B338" s="67" t="s">
        <v>1232</v>
      </c>
      <c r="C338" s="66" t="s">
        <v>220</v>
      </c>
      <c r="D338" s="71">
        <v>1</v>
      </c>
      <c r="E338" s="166">
        <v>2826.24795864</v>
      </c>
      <c r="F338" s="270">
        <f>ROUND(E338*D338,2)</f>
        <v>2826.25</v>
      </c>
      <c r="G338" s="270">
        <f t="shared" ref="G338" si="104">ROUND(F338*1.2,2)</f>
        <v>3391.5</v>
      </c>
    </row>
    <row r="339" spans="1:7" ht="15.6" x14ac:dyDescent="0.3">
      <c r="A339" s="236"/>
      <c r="B339" s="80"/>
      <c r="C339" s="663"/>
      <c r="D339" s="664"/>
      <c r="E339" s="651"/>
      <c r="F339" s="674">
        <f>SUM(F335:F338)</f>
        <v>316232.76</v>
      </c>
      <c r="G339" s="674">
        <f>SUM(G335:G338)</f>
        <v>379479.32</v>
      </c>
    </row>
    <row r="340" spans="1:7" ht="23.25" customHeight="1" x14ac:dyDescent="0.3">
      <c r="A340" s="149"/>
      <c r="B340" s="168" t="s">
        <v>2169</v>
      </c>
      <c r="C340" s="157"/>
      <c r="D340" s="157"/>
      <c r="E340" s="157"/>
      <c r="F340" s="151"/>
      <c r="G340" s="151"/>
    </row>
    <row r="341" spans="1:7" ht="15.6" x14ac:dyDescent="0.3">
      <c r="A341" s="66"/>
      <c r="B341" s="62" t="s">
        <v>632</v>
      </c>
      <c r="C341" s="66"/>
      <c r="D341" s="68"/>
      <c r="E341" s="166">
        <v>0</v>
      </c>
      <c r="F341" s="156"/>
      <c r="G341" s="164"/>
    </row>
    <row r="342" spans="1:7" ht="15.6" x14ac:dyDescent="0.3">
      <c r="A342" s="66">
        <f>A338+1</f>
        <v>205</v>
      </c>
      <c r="B342" s="67" t="s">
        <v>697</v>
      </c>
      <c r="C342" s="66" t="s">
        <v>194</v>
      </c>
      <c r="D342" s="71">
        <v>180</v>
      </c>
      <c r="E342" s="166">
        <v>251.72294399999998</v>
      </c>
      <c r="F342" s="94">
        <f t="shared" ref="F342:F347" si="105">ROUND(E342*D342,2)</f>
        <v>45310.13</v>
      </c>
      <c r="G342" s="94">
        <f t="shared" ref="G342:G396" si="106">ROUND(F342*1.2,2)</f>
        <v>54372.160000000003</v>
      </c>
    </row>
    <row r="343" spans="1:7" ht="15.6" x14ac:dyDescent="0.3">
      <c r="A343" s="66">
        <f>A342+1</f>
        <v>206</v>
      </c>
      <c r="B343" s="67" t="s">
        <v>698</v>
      </c>
      <c r="C343" s="66" t="s">
        <v>194</v>
      </c>
      <c r="D343" s="71">
        <v>120</v>
      </c>
      <c r="E343" s="166">
        <v>120.140496</v>
      </c>
      <c r="F343" s="94">
        <f t="shared" si="105"/>
        <v>14416.86</v>
      </c>
      <c r="G343" s="94">
        <f t="shared" si="106"/>
        <v>17300.23</v>
      </c>
    </row>
    <row r="344" spans="1:7" ht="15.6" x14ac:dyDescent="0.3">
      <c r="A344" s="66">
        <f>A343+1</f>
        <v>207</v>
      </c>
      <c r="B344" s="67" t="s">
        <v>630</v>
      </c>
      <c r="C344" s="66" t="s">
        <v>194</v>
      </c>
      <c r="D344" s="71">
        <v>12</v>
      </c>
      <c r="E344" s="166">
        <v>10110.394835999999</v>
      </c>
      <c r="F344" s="94">
        <f t="shared" si="105"/>
        <v>121324.74</v>
      </c>
      <c r="G344" s="94">
        <f t="shared" si="106"/>
        <v>145589.69</v>
      </c>
    </row>
    <row r="345" spans="1:7" ht="15.6" x14ac:dyDescent="0.3">
      <c r="A345" s="66">
        <f t="shared" ref="A345:A347" si="107">A344+1</f>
        <v>208</v>
      </c>
      <c r="B345" s="67" t="s">
        <v>631</v>
      </c>
      <c r="C345" s="66" t="s">
        <v>194</v>
      </c>
      <c r="D345" s="71">
        <v>180</v>
      </c>
      <c r="E345" s="166">
        <v>220.25757599999997</v>
      </c>
      <c r="F345" s="94">
        <f t="shared" si="105"/>
        <v>39646.36</v>
      </c>
      <c r="G345" s="94">
        <f t="shared" si="106"/>
        <v>47575.63</v>
      </c>
    </row>
    <row r="346" spans="1:7" ht="15.6" x14ac:dyDescent="0.3">
      <c r="A346" s="66">
        <f t="shared" si="107"/>
        <v>209</v>
      </c>
      <c r="B346" s="80" t="s">
        <v>1237</v>
      </c>
      <c r="C346" s="66" t="s">
        <v>194</v>
      </c>
      <c r="D346" s="71">
        <v>60</v>
      </c>
      <c r="E346" s="166">
        <v>26.388001800000001</v>
      </c>
      <c r="F346" s="270">
        <f t="shared" si="105"/>
        <v>1583.28</v>
      </c>
      <c r="G346" s="270">
        <f t="shared" si="106"/>
        <v>1899.94</v>
      </c>
    </row>
    <row r="347" spans="1:7" ht="15.6" x14ac:dyDescent="0.3">
      <c r="A347" s="66">
        <f t="shared" si="107"/>
        <v>210</v>
      </c>
      <c r="B347" s="80" t="s">
        <v>1238</v>
      </c>
      <c r="C347" s="66" t="s">
        <v>220</v>
      </c>
      <c r="D347" s="71">
        <v>1</v>
      </c>
      <c r="E347" s="166">
        <v>2826.24795864</v>
      </c>
      <c r="F347" s="270">
        <f t="shared" si="105"/>
        <v>2826.25</v>
      </c>
      <c r="G347" s="270">
        <f t="shared" si="106"/>
        <v>3391.5</v>
      </c>
    </row>
    <row r="348" spans="1:7" ht="15.6" x14ac:dyDescent="0.3">
      <c r="A348" s="66"/>
      <c r="B348" s="62" t="s">
        <v>513</v>
      </c>
      <c r="C348" s="66"/>
      <c r="D348" s="71"/>
      <c r="E348" s="166">
        <v>0</v>
      </c>
      <c r="F348" s="270"/>
      <c r="G348" s="270"/>
    </row>
    <row r="349" spans="1:7" ht="15.6" x14ac:dyDescent="0.3">
      <c r="A349" s="66">
        <f>A347+1</f>
        <v>211</v>
      </c>
      <c r="B349" s="67" t="s">
        <v>695</v>
      </c>
      <c r="C349" s="66" t="s">
        <v>193</v>
      </c>
      <c r="D349" s="68">
        <v>72</v>
      </c>
      <c r="E349" s="166">
        <v>2541.5435879999995</v>
      </c>
      <c r="F349" s="94">
        <f>ROUND(E349*D349,2)</f>
        <v>182991.14</v>
      </c>
      <c r="G349" s="94">
        <f t="shared" si="106"/>
        <v>219589.37</v>
      </c>
    </row>
    <row r="350" spans="1:7" ht="15.6" x14ac:dyDescent="0.3">
      <c r="A350" s="66">
        <f>A349+1</f>
        <v>212</v>
      </c>
      <c r="B350" s="67" t="s">
        <v>696</v>
      </c>
      <c r="C350" s="66" t="s">
        <v>193</v>
      </c>
      <c r="D350" s="68">
        <v>55.4</v>
      </c>
      <c r="E350" s="166">
        <v>1285.789356</v>
      </c>
      <c r="F350" s="94">
        <f>ROUND(E350*D350,2)</f>
        <v>71232.73</v>
      </c>
      <c r="G350" s="94">
        <f t="shared" si="106"/>
        <v>85479.28</v>
      </c>
    </row>
    <row r="351" spans="1:7" ht="15.6" x14ac:dyDescent="0.3">
      <c r="A351" s="66">
        <f>A350+1</f>
        <v>213</v>
      </c>
      <c r="B351" s="67" t="s">
        <v>1112</v>
      </c>
      <c r="C351" s="66" t="s">
        <v>193</v>
      </c>
      <c r="D351" s="68">
        <v>16.7</v>
      </c>
      <c r="E351" s="166">
        <v>1972.306476</v>
      </c>
      <c r="F351" s="94">
        <f>ROUND(E351*D351,2)</f>
        <v>32937.519999999997</v>
      </c>
      <c r="G351" s="94">
        <f t="shared" ref="G351" si="108">ROUND(F351*1.2,2)</f>
        <v>39525.019999999997</v>
      </c>
    </row>
    <row r="352" spans="1:7" ht="15.6" x14ac:dyDescent="0.3">
      <c r="A352" s="66">
        <f>A351+1</f>
        <v>214</v>
      </c>
      <c r="B352" s="67" t="s">
        <v>518</v>
      </c>
      <c r="C352" s="66" t="s">
        <v>239</v>
      </c>
      <c r="D352" s="68">
        <f>16.7*1.75</f>
        <v>29.224999999999998</v>
      </c>
      <c r="E352" s="166">
        <v>464.82929999999999</v>
      </c>
      <c r="F352" s="94">
        <f>ROUND(E352*D352,2)</f>
        <v>13584.64</v>
      </c>
      <c r="G352" s="94">
        <f t="shared" si="106"/>
        <v>16301.57</v>
      </c>
    </row>
    <row r="353" spans="1:7" ht="15.6" x14ac:dyDescent="0.3">
      <c r="A353" s="507">
        <f t="shared" ref="A353" si="109">A352+1</f>
        <v>215</v>
      </c>
      <c r="B353" s="508" t="s">
        <v>503</v>
      </c>
      <c r="C353" s="507" t="s">
        <v>193</v>
      </c>
      <c r="D353" s="509">
        <f>(16.7*1.75)/1.75</f>
        <v>16.7</v>
      </c>
      <c r="E353" s="510">
        <v>1350</v>
      </c>
      <c r="F353" s="511">
        <f>ROUND(E353*D353,2)</f>
        <v>22545</v>
      </c>
      <c r="G353" s="511">
        <f t="shared" si="106"/>
        <v>27054</v>
      </c>
    </row>
    <row r="354" spans="1:7" ht="15.6" x14ac:dyDescent="0.3">
      <c r="A354" s="66"/>
      <c r="B354" s="62" t="s">
        <v>636</v>
      </c>
      <c r="C354" s="66"/>
      <c r="D354" s="68"/>
      <c r="E354" s="166">
        <v>0</v>
      </c>
      <c r="F354" s="94"/>
      <c r="G354" s="94"/>
    </row>
    <row r="355" spans="1:7" ht="15.6" x14ac:dyDescent="0.3">
      <c r="A355" s="66">
        <f>A350+1</f>
        <v>213</v>
      </c>
      <c r="B355" s="67" t="s">
        <v>699</v>
      </c>
      <c r="C355" s="66" t="s">
        <v>194</v>
      </c>
      <c r="D355" s="71">
        <v>60</v>
      </c>
      <c r="E355" s="166">
        <v>251.72294399999998</v>
      </c>
      <c r="F355" s="94">
        <f t="shared" ref="F355:F360" si="110">ROUND(E355*D355,2)</f>
        <v>15103.38</v>
      </c>
      <c r="G355" s="94">
        <f t="shared" si="106"/>
        <v>18124.060000000001</v>
      </c>
    </row>
    <row r="356" spans="1:7" ht="15.6" x14ac:dyDescent="0.3">
      <c r="A356" s="66">
        <f t="shared" ref="A356:A360" si="111">A355+1</f>
        <v>214</v>
      </c>
      <c r="B356" s="67" t="s">
        <v>700</v>
      </c>
      <c r="C356" s="66" t="s">
        <v>194</v>
      </c>
      <c r="D356" s="71">
        <v>20</v>
      </c>
      <c r="E356" s="166">
        <v>120.140496</v>
      </c>
      <c r="F356" s="94">
        <f t="shared" si="110"/>
        <v>2402.81</v>
      </c>
      <c r="G356" s="94">
        <f t="shared" si="106"/>
        <v>2883.37</v>
      </c>
    </row>
    <row r="357" spans="1:7" ht="15.6" x14ac:dyDescent="0.3">
      <c r="A357" s="66">
        <f t="shared" si="111"/>
        <v>215</v>
      </c>
      <c r="B357" s="67" t="s">
        <v>630</v>
      </c>
      <c r="C357" s="66" t="s">
        <v>194</v>
      </c>
      <c r="D357" s="71">
        <v>4</v>
      </c>
      <c r="E357" s="166">
        <v>10110.394835999999</v>
      </c>
      <c r="F357" s="94">
        <f t="shared" si="110"/>
        <v>40441.58</v>
      </c>
      <c r="G357" s="94">
        <f t="shared" si="106"/>
        <v>48529.9</v>
      </c>
    </row>
    <row r="358" spans="1:7" ht="15.6" x14ac:dyDescent="0.3">
      <c r="A358" s="66">
        <f t="shared" si="111"/>
        <v>216</v>
      </c>
      <c r="B358" s="67" t="s">
        <v>631</v>
      </c>
      <c r="C358" s="66" t="s">
        <v>194</v>
      </c>
      <c r="D358" s="71">
        <v>60</v>
      </c>
      <c r="E358" s="166">
        <v>220.25757599999997</v>
      </c>
      <c r="F358" s="94">
        <f t="shared" si="110"/>
        <v>13215.45</v>
      </c>
      <c r="G358" s="94">
        <f t="shared" si="106"/>
        <v>15858.54</v>
      </c>
    </row>
    <row r="359" spans="1:7" ht="15.6" x14ac:dyDescent="0.3">
      <c r="A359" s="66">
        <f t="shared" si="111"/>
        <v>217</v>
      </c>
      <c r="B359" s="80" t="s">
        <v>1237</v>
      </c>
      <c r="C359" s="66" t="s">
        <v>194</v>
      </c>
      <c r="D359" s="71">
        <v>30</v>
      </c>
      <c r="E359" s="166">
        <v>26.388001800000001</v>
      </c>
      <c r="F359" s="270">
        <f t="shared" si="110"/>
        <v>791.64</v>
      </c>
      <c r="G359" s="270">
        <f t="shared" ref="G359:G360" si="112">ROUND(F359*1.2,2)</f>
        <v>949.97</v>
      </c>
    </row>
    <row r="360" spans="1:7" ht="15.6" x14ac:dyDescent="0.3">
      <c r="A360" s="66">
        <f t="shared" si="111"/>
        <v>218</v>
      </c>
      <c r="B360" s="80" t="s">
        <v>1238</v>
      </c>
      <c r="C360" s="66" t="s">
        <v>220</v>
      </c>
      <c r="D360" s="71">
        <v>1</v>
      </c>
      <c r="E360" s="166">
        <v>2826.24795864</v>
      </c>
      <c r="F360" s="270">
        <f t="shared" si="110"/>
        <v>2826.25</v>
      </c>
      <c r="G360" s="270">
        <f t="shared" si="112"/>
        <v>3391.5</v>
      </c>
    </row>
    <row r="361" spans="1:7" ht="15.6" x14ac:dyDescent="0.3">
      <c r="A361" s="66"/>
      <c r="B361" s="62" t="s">
        <v>513</v>
      </c>
      <c r="C361" s="66"/>
      <c r="D361" s="71"/>
      <c r="E361" s="166">
        <v>0</v>
      </c>
      <c r="F361" s="94"/>
      <c r="G361" s="94"/>
    </row>
    <row r="362" spans="1:7" ht="15.6" x14ac:dyDescent="0.3">
      <c r="A362" s="66">
        <f>A358+1</f>
        <v>217</v>
      </c>
      <c r="B362" s="67" t="s">
        <v>695</v>
      </c>
      <c r="C362" s="66" t="s">
        <v>193</v>
      </c>
      <c r="D362" s="68">
        <v>25.2</v>
      </c>
      <c r="E362" s="166">
        <v>2541.5435879999995</v>
      </c>
      <c r="F362" s="94">
        <f>ROUND(E362*D362,2)</f>
        <v>64046.9</v>
      </c>
      <c r="G362" s="94">
        <f t="shared" si="106"/>
        <v>76856.28</v>
      </c>
    </row>
    <row r="363" spans="1:7" ht="15.6" x14ac:dyDescent="0.3">
      <c r="A363" s="66">
        <f>A362+1</f>
        <v>218</v>
      </c>
      <c r="B363" s="67" t="s">
        <v>696</v>
      </c>
      <c r="C363" s="66" t="s">
        <v>193</v>
      </c>
      <c r="D363" s="68">
        <v>19.600000000000001</v>
      </c>
      <c r="E363" s="166">
        <v>1285.789356</v>
      </c>
      <c r="F363" s="94">
        <f>ROUND(E363*D363,2)</f>
        <v>25201.47</v>
      </c>
      <c r="G363" s="94">
        <f t="shared" si="106"/>
        <v>30241.759999999998</v>
      </c>
    </row>
    <row r="364" spans="1:7" ht="15.6" x14ac:dyDescent="0.3">
      <c r="A364" s="66">
        <f>A363+1</f>
        <v>219</v>
      </c>
      <c r="B364" s="67" t="s">
        <v>1112</v>
      </c>
      <c r="C364" s="66" t="s">
        <v>193</v>
      </c>
      <c r="D364" s="68">
        <v>5.6</v>
      </c>
      <c r="E364" s="166">
        <v>1972.306476</v>
      </c>
      <c r="F364" s="94">
        <f>ROUND(E364*D364,2)</f>
        <v>11044.92</v>
      </c>
      <c r="G364" s="94">
        <f t="shared" si="106"/>
        <v>13253.9</v>
      </c>
    </row>
    <row r="365" spans="1:7" ht="15.6" x14ac:dyDescent="0.3">
      <c r="A365" s="66">
        <f>A363+1</f>
        <v>219</v>
      </c>
      <c r="B365" s="67" t="s">
        <v>518</v>
      </c>
      <c r="C365" s="66" t="s">
        <v>239</v>
      </c>
      <c r="D365" s="68">
        <f>5.6*1.75</f>
        <v>9.7999999999999989</v>
      </c>
      <c r="E365" s="166">
        <v>464.82929999999999</v>
      </c>
      <c r="F365" s="94">
        <f>ROUND(E365*D365,2)</f>
        <v>4555.33</v>
      </c>
      <c r="G365" s="94">
        <f t="shared" ref="G365:G366" si="113">ROUND(F365*1.2,2)</f>
        <v>5466.4</v>
      </c>
    </row>
    <row r="366" spans="1:7" ht="15.6" x14ac:dyDescent="0.3">
      <c r="A366" s="507">
        <f t="shared" ref="A366" si="114">A365+1</f>
        <v>220</v>
      </c>
      <c r="B366" s="508" t="s">
        <v>503</v>
      </c>
      <c r="C366" s="507" t="s">
        <v>193</v>
      </c>
      <c r="D366" s="509">
        <f>(5.6*1.75)/1.75</f>
        <v>5.6</v>
      </c>
      <c r="E366" s="510">
        <v>1350</v>
      </c>
      <c r="F366" s="511">
        <f>ROUND(E366*D366,2)</f>
        <v>7560</v>
      </c>
      <c r="G366" s="511">
        <f t="shared" si="113"/>
        <v>9072</v>
      </c>
    </row>
    <row r="367" spans="1:7" s="202" customFormat="1" ht="15.6" x14ac:dyDescent="0.3">
      <c r="A367" s="838"/>
      <c r="B367" s="843" t="s">
        <v>628</v>
      </c>
      <c r="C367" s="838"/>
      <c r="D367" s="237"/>
      <c r="E367" s="826">
        <v>0</v>
      </c>
      <c r="F367" s="842"/>
      <c r="G367" s="842"/>
    </row>
    <row r="368" spans="1:7" s="202" customFormat="1" ht="15.6" x14ac:dyDescent="0.3">
      <c r="A368" s="838">
        <f>A366+1</f>
        <v>221</v>
      </c>
      <c r="B368" s="201" t="s">
        <v>694</v>
      </c>
      <c r="C368" s="838" t="s">
        <v>194</v>
      </c>
      <c r="D368" s="237">
        <v>160</v>
      </c>
      <c r="E368" s="826">
        <v>316.08392399999997</v>
      </c>
      <c r="F368" s="842">
        <f>ROUND(E368*D368,2)</f>
        <v>50573.43</v>
      </c>
      <c r="G368" s="842">
        <f t="shared" ref="G368:G372" si="115">ROUND(F368*1.2,2)</f>
        <v>60688.12</v>
      </c>
    </row>
    <row r="369" spans="1:7" s="202" customFormat="1" ht="15.6" x14ac:dyDescent="0.3">
      <c r="A369" s="838">
        <f t="shared" ref="A369:A375" si="116">A368+1</f>
        <v>222</v>
      </c>
      <c r="B369" s="201" t="s">
        <v>630</v>
      </c>
      <c r="C369" s="838" t="s">
        <v>220</v>
      </c>
      <c r="D369" s="237">
        <v>16</v>
      </c>
      <c r="E369" s="826">
        <v>10110.394835999999</v>
      </c>
      <c r="F369" s="842">
        <f>ROUND(E369*D369,2)</f>
        <v>161766.32</v>
      </c>
      <c r="G369" s="842">
        <f t="shared" si="115"/>
        <v>194119.58</v>
      </c>
    </row>
    <row r="370" spans="1:7" s="202" customFormat="1" ht="15.6" x14ac:dyDescent="0.3">
      <c r="A370" s="838">
        <f t="shared" si="116"/>
        <v>223</v>
      </c>
      <c r="B370" s="201" t="s">
        <v>631</v>
      </c>
      <c r="C370" s="838" t="s">
        <v>220</v>
      </c>
      <c r="D370" s="237">
        <v>160</v>
      </c>
      <c r="E370" s="826">
        <v>224.54830799999999</v>
      </c>
      <c r="F370" s="842">
        <f>ROUND(E370*D370,2)</f>
        <v>35927.730000000003</v>
      </c>
      <c r="G370" s="842">
        <f t="shared" si="115"/>
        <v>43113.279999999999</v>
      </c>
    </row>
    <row r="371" spans="1:7" s="202" customFormat="1" ht="15.6" x14ac:dyDescent="0.3">
      <c r="A371" s="838">
        <f t="shared" si="116"/>
        <v>224</v>
      </c>
      <c r="B371" s="844" t="s">
        <v>1237</v>
      </c>
      <c r="C371" s="838" t="s">
        <v>194</v>
      </c>
      <c r="D371" s="237">
        <v>60</v>
      </c>
      <c r="E371" s="826">
        <v>26.388001800000001</v>
      </c>
      <c r="F371" s="839">
        <f>ROUND(E371*D371,2)</f>
        <v>1583.28</v>
      </c>
      <c r="G371" s="839">
        <f t="shared" si="115"/>
        <v>1899.94</v>
      </c>
    </row>
    <row r="372" spans="1:7" s="202" customFormat="1" ht="15.6" x14ac:dyDescent="0.3">
      <c r="A372" s="838">
        <f t="shared" si="116"/>
        <v>225</v>
      </c>
      <c r="B372" s="844" t="s">
        <v>1238</v>
      </c>
      <c r="C372" s="838" t="s">
        <v>220</v>
      </c>
      <c r="D372" s="237">
        <v>1</v>
      </c>
      <c r="E372" s="826">
        <v>2826.24795864</v>
      </c>
      <c r="F372" s="839">
        <f>ROUND(E372*D372,2)</f>
        <v>2826.25</v>
      </c>
      <c r="G372" s="839">
        <f t="shared" si="115"/>
        <v>3391.5</v>
      </c>
    </row>
    <row r="373" spans="1:7" s="202" customFormat="1" ht="15.6" x14ac:dyDescent="0.3">
      <c r="A373" s="838"/>
      <c r="B373" s="843" t="s">
        <v>513</v>
      </c>
      <c r="C373" s="838"/>
      <c r="D373" s="237"/>
      <c r="E373" s="826">
        <v>0</v>
      </c>
      <c r="F373" s="842"/>
      <c r="G373" s="842"/>
    </row>
    <row r="374" spans="1:7" s="202" customFormat="1" ht="15.6" x14ac:dyDescent="0.3">
      <c r="A374" s="838">
        <f>A370+1</f>
        <v>224</v>
      </c>
      <c r="B374" s="201" t="s">
        <v>695</v>
      </c>
      <c r="C374" s="838" t="s">
        <v>193</v>
      </c>
      <c r="D374" s="845">
        <v>66.400000000000006</v>
      </c>
      <c r="E374" s="826">
        <v>2541.5435879999995</v>
      </c>
      <c r="F374" s="842">
        <f>ROUND(E374*D374,2)</f>
        <v>168758.49</v>
      </c>
      <c r="G374" s="842">
        <f t="shared" ref="G374:G378" si="117">ROUND(F374*1.2,2)</f>
        <v>202510.19</v>
      </c>
    </row>
    <row r="375" spans="1:7" s="202" customFormat="1" ht="15.6" x14ac:dyDescent="0.3">
      <c r="A375" s="838">
        <f t="shared" si="116"/>
        <v>225</v>
      </c>
      <c r="B375" s="201" t="s">
        <v>696</v>
      </c>
      <c r="C375" s="838" t="s">
        <v>193</v>
      </c>
      <c r="D375" s="845">
        <v>51.4</v>
      </c>
      <c r="E375" s="826">
        <v>1285.789356</v>
      </c>
      <c r="F375" s="842">
        <f>ROUND(E375*D375,2)</f>
        <v>66089.570000000007</v>
      </c>
      <c r="G375" s="842">
        <f t="shared" si="117"/>
        <v>79307.48</v>
      </c>
    </row>
    <row r="376" spans="1:7" s="202" customFormat="1" ht="15.6" x14ac:dyDescent="0.3">
      <c r="A376" s="838">
        <f>A375+1</f>
        <v>226</v>
      </c>
      <c r="B376" s="201" t="s">
        <v>1112</v>
      </c>
      <c r="C376" s="838" t="s">
        <v>193</v>
      </c>
      <c r="D376" s="845">
        <v>15</v>
      </c>
      <c r="E376" s="826">
        <v>1972.306476</v>
      </c>
      <c r="F376" s="842">
        <f>ROUND(E376*D376,2)</f>
        <v>29584.6</v>
      </c>
      <c r="G376" s="842">
        <f t="shared" si="117"/>
        <v>35501.519999999997</v>
      </c>
    </row>
    <row r="377" spans="1:7" s="202" customFormat="1" ht="15.6" x14ac:dyDescent="0.3">
      <c r="A377" s="838">
        <f>A375+1</f>
        <v>226</v>
      </c>
      <c r="B377" s="201" t="s">
        <v>518</v>
      </c>
      <c r="C377" s="838" t="s">
        <v>239</v>
      </c>
      <c r="D377" s="845">
        <f>15*1.75</f>
        <v>26.25</v>
      </c>
      <c r="E377" s="826">
        <v>464.82929999999999</v>
      </c>
      <c r="F377" s="842">
        <f>ROUND(E377*D377,2)</f>
        <v>12201.77</v>
      </c>
      <c r="G377" s="842">
        <f t="shared" si="117"/>
        <v>14642.12</v>
      </c>
    </row>
    <row r="378" spans="1:7" s="202" customFormat="1" ht="15.6" x14ac:dyDescent="0.3">
      <c r="A378" s="832">
        <f t="shared" ref="A378" si="118">A377+1</f>
        <v>227</v>
      </c>
      <c r="B378" s="833" t="s">
        <v>503</v>
      </c>
      <c r="C378" s="832" t="s">
        <v>193</v>
      </c>
      <c r="D378" s="834">
        <f>(15*1.75)/1.75</f>
        <v>15</v>
      </c>
      <c r="E378" s="835">
        <v>1350</v>
      </c>
      <c r="F378" s="836">
        <f>ROUND(E378*D378,2)</f>
        <v>20250</v>
      </c>
      <c r="G378" s="836">
        <f t="shared" si="117"/>
        <v>24300</v>
      </c>
    </row>
    <row r="379" spans="1:7" ht="15.6" x14ac:dyDescent="0.3">
      <c r="A379" s="66"/>
      <c r="B379" s="62" t="s">
        <v>638</v>
      </c>
      <c r="C379" s="66"/>
      <c r="D379" s="68"/>
      <c r="E379" s="166">
        <v>0</v>
      </c>
      <c r="F379" s="94"/>
      <c r="G379" s="94"/>
    </row>
    <row r="380" spans="1:7" ht="15.6" x14ac:dyDescent="0.3">
      <c r="A380" s="66">
        <f>A363+1</f>
        <v>219</v>
      </c>
      <c r="B380" s="67" t="s">
        <v>701</v>
      </c>
      <c r="C380" s="66" t="s">
        <v>194</v>
      </c>
      <c r="D380" s="71">
        <v>50</v>
      </c>
      <c r="E380" s="166">
        <v>174.489768</v>
      </c>
      <c r="F380" s="94">
        <f t="shared" ref="F380:F389" si="119">ROUND(E380*D380,2)</f>
        <v>8724.49</v>
      </c>
      <c r="G380" s="94">
        <f t="shared" si="106"/>
        <v>10469.39</v>
      </c>
    </row>
    <row r="381" spans="1:7" ht="15.6" x14ac:dyDescent="0.3">
      <c r="A381" s="66">
        <f>A380+1</f>
        <v>220</v>
      </c>
      <c r="B381" s="67" t="s">
        <v>1240</v>
      </c>
      <c r="C381" s="66" t="s">
        <v>194</v>
      </c>
      <c r="D381" s="71">
        <v>160</v>
      </c>
      <c r="E381" s="166">
        <v>190.22245199999998</v>
      </c>
      <c r="F381" s="270">
        <f t="shared" si="119"/>
        <v>30435.59</v>
      </c>
      <c r="G381" s="270">
        <f t="shared" si="106"/>
        <v>36522.71</v>
      </c>
    </row>
    <row r="382" spans="1:7" ht="15.6" x14ac:dyDescent="0.3">
      <c r="A382" s="66">
        <f t="shared" ref="A382:A389" si="120">A381+1</f>
        <v>221</v>
      </c>
      <c r="B382" s="67" t="s">
        <v>694</v>
      </c>
      <c r="C382" s="66" t="s">
        <v>194</v>
      </c>
      <c r="D382" s="71">
        <v>210</v>
      </c>
      <c r="E382" s="166">
        <v>316.08392399999997</v>
      </c>
      <c r="F382" s="270">
        <f t="shared" si="119"/>
        <v>66377.62</v>
      </c>
      <c r="G382" s="270">
        <f t="shared" si="106"/>
        <v>79653.14</v>
      </c>
    </row>
    <row r="383" spans="1:7" ht="15.6" x14ac:dyDescent="0.3">
      <c r="A383" s="66">
        <f t="shared" si="120"/>
        <v>222</v>
      </c>
      <c r="B383" s="67" t="s">
        <v>702</v>
      </c>
      <c r="C383" s="66" t="s">
        <v>220</v>
      </c>
      <c r="D383" s="71">
        <v>2</v>
      </c>
      <c r="E383" s="166">
        <v>10110.394835999999</v>
      </c>
      <c r="F383" s="270">
        <f t="shared" si="119"/>
        <v>20220.79</v>
      </c>
      <c r="G383" s="270">
        <f t="shared" si="106"/>
        <v>24264.95</v>
      </c>
    </row>
    <row r="384" spans="1:7" ht="15.6" x14ac:dyDescent="0.3">
      <c r="A384" s="66">
        <f t="shared" si="120"/>
        <v>223</v>
      </c>
      <c r="B384" s="67" t="s">
        <v>1239</v>
      </c>
      <c r="C384" s="66" t="s">
        <v>220</v>
      </c>
      <c r="D384" s="71">
        <v>2</v>
      </c>
      <c r="E384" s="166">
        <v>17938.120247999999</v>
      </c>
      <c r="F384" s="270">
        <f t="shared" si="119"/>
        <v>35876.239999999998</v>
      </c>
      <c r="G384" s="270">
        <f t="shared" ref="G384" si="121">ROUND(F384*1.2,2)</f>
        <v>43051.49</v>
      </c>
    </row>
    <row r="385" spans="1:7" ht="15.6" x14ac:dyDescent="0.3">
      <c r="A385" s="66">
        <f t="shared" si="120"/>
        <v>224</v>
      </c>
      <c r="B385" s="67" t="s">
        <v>631</v>
      </c>
      <c r="C385" s="66" t="s">
        <v>194</v>
      </c>
      <c r="D385" s="71">
        <v>50</v>
      </c>
      <c r="E385" s="166">
        <v>224.54830799999999</v>
      </c>
      <c r="F385" s="270">
        <f t="shared" si="119"/>
        <v>11227.42</v>
      </c>
      <c r="G385" s="270">
        <f t="shared" si="106"/>
        <v>13472.9</v>
      </c>
    </row>
    <row r="386" spans="1:7" ht="15.6" x14ac:dyDescent="0.3">
      <c r="A386" s="66">
        <f t="shared" si="120"/>
        <v>225</v>
      </c>
      <c r="B386" s="80" t="s">
        <v>1241</v>
      </c>
      <c r="C386" s="66" t="s">
        <v>194</v>
      </c>
      <c r="D386" s="71">
        <v>160</v>
      </c>
      <c r="E386" s="166">
        <v>599.27223599999991</v>
      </c>
      <c r="F386" s="270">
        <f t="shared" si="119"/>
        <v>95883.56</v>
      </c>
      <c r="G386" s="270">
        <f t="shared" ref="G386" si="122">ROUND(F386*1.2,2)</f>
        <v>115060.27</v>
      </c>
    </row>
    <row r="387" spans="1:7" ht="15.6" x14ac:dyDescent="0.3">
      <c r="A387" s="66">
        <f t="shared" si="120"/>
        <v>226</v>
      </c>
      <c r="B387" s="80" t="s">
        <v>1237</v>
      </c>
      <c r="C387" s="66" t="s">
        <v>194</v>
      </c>
      <c r="D387" s="71">
        <v>100</v>
      </c>
      <c r="E387" s="166">
        <v>26.388001800000001</v>
      </c>
      <c r="F387" s="270">
        <f t="shared" si="119"/>
        <v>2638.8</v>
      </c>
      <c r="G387" s="270">
        <f t="shared" si="106"/>
        <v>3166.56</v>
      </c>
    </row>
    <row r="388" spans="1:7" ht="15.6" x14ac:dyDescent="0.3">
      <c r="A388" s="66">
        <f t="shared" si="120"/>
        <v>227</v>
      </c>
      <c r="B388" s="80" t="s">
        <v>1238</v>
      </c>
      <c r="C388" s="66" t="s">
        <v>220</v>
      </c>
      <c r="D388" s="71">
        <v>1</v>
      </c>
      <c r="E388" s="166">
        <v>2826.24795864</v>
      </c>
      <c r="F388" s="270">
        <f t="shared" si="119"/>
        <v>2826.25</v>
      </c>
      <c r="G388" s="270">
        <f t="shared" si="106"/>
        <v>3391.5</v>
      </c>
    </row>
    <row r="389" spans="1:7" ht="27.6" x14ac:dyDescent="0.3">
      <c r="A389" s="66">
        <f t="shared" si="120"/>
        <v>228</v>
      </c>
      <c r="B389" s="80" t="s">
        <v>1242</v>
      </c>
      <c r="C389" s="66" t="s">
        <v>220</v>
      </c>
      <c r="D389" s="71">
        <v>320</v>
      </c>
      <c r="E389" s="166">
        <v>258.87416400000001</v>
      </c>
      <c r="F389" s="270">
        <f t="shared" si="119"/>
        <v>82839.73</v>
      </c>
      <c r="G389" s="270">
        <f t="shared" ref="G389" si="123">ROUND(F389*1.2,2)</f>
        <v>99407.679999999993</v>
      </c>
    </row>
    <row r="390" spans="1:7" ht="15.6" x14ac:dyDescent="0.3">
      <c r="A390" s="66"/>
      <c r="B390" s="62" t="s">
        <v>513</v>
      </c>
      <c r="C390" s="66"/>
      <c r="D390" s="71"/>
      <c r="E390" s="166">
        <v>0</v>
      </c>
      <c r="F390" s="270"/>
      <c r="G390" s="270"/>
    </row>
    <row r="391" spans="1:7" ht="15.6" x14ac:dyDescent="0.3">
      <c r="A391" s="66">
        <f>A389+1</f>
        <v>229</v>
      </c>
      <c r="B391" s="67" t="s">
        <v>695</v>
      </c>
      <c r="C391" s="66" t="s">
        <v>193</v>
      </c>
      <c r="D391" s="68">
        <v>71.400000000000006</v>
      </c>
      <c r="E391" s="166">
        <v>2541.5435879999995</v>
      </c>
      <c r="F391" s="94">
        <f>ROUND(E391*D391,2)</f>
        <v>181466.21</v>
      </c>
      <c r="G391" s="94">
        <f t="shared" si="106"/>
        <v>217759.45</v>
      </c>
    </row>
    <row r="392" spans="1:7" ht="15.6" x14ac:dyDescent="0.3">
      <c r="A392" s="66">
        <f>A391+1</f>
        <v>230</v>
      </c>
      <c r="B392" s="67" t="s">
        <v>696</v>
      </c>
      <c r="C392" s="66" t="s">
        <v>193</v>
      </c>
      <c r="D392" s="68">
        <v>56.5</v>
      </c>
      <c r="E392" s="166">
        <v>1285.789356</v>
      </c>
      <c r="F392" s="94">
        <f>ROUND(E392*D392,2)</f>
        <v>72647.100000000006</v>
      </c>
      <c r="G392" s="94">
        <f t="shared" si="106"/>
        <v>87176.52</v>
      </c>
    </row>
    <row r="393" spans="1:7" ht="15.6" x14ac:dyDescent="0.3">
      <c r="A393" s="66">
        <f>A392+1</f>
        <v>231</v>
      </c>
      <c r="B393" s="67" t="s">
        <v>1112</v>
      </c>
      <c r="C393" s="66" t="s">
        <v>193</v>
      </c>
      <c r="D393" s="68">
        <v>14.9</v>
      </c>
      <c r="E393" s="166">
        <v>1972.306476</v>
      </c>
      <c r="F393" s="94">
        <f>ROUND(E393*D393,2)</f>
        <v>29387.37</v>
      </c>
      <c r="G393" s="94">
        <f t="shared" si="106"/>
        <v>35264.839999999997</v>
      </c>
    </row>
    <row r="394" spans="1:7" ht="15.6" x14ac:dyDescent="0.3">
      <c r="A394" s="66">
        <f>A392+1</f>
        <v>231</v>
      </c>
      <c r="B394" s="67" t="s">
        <v>518</v>
      </c>
      <c r="C394" s="66" t="s">
        <v>239</v>
      </c>
      <c r="D394" s="68">
        <f>14.9*1.75</f>
        <v>26.074999999999999</v>
      </c>
      <c r="E394" s="166">
        <v>464.82929999999999</v>
      </c>
      <c r="F394" s="94">
        <f>ROUND(E394*D394,2)</f>
        <v>12120.42</v>
      </c>
      <c r="G394" s="94">
        <f t="shared" si="106"/>
        <v>14544.5</v>
      </c>
    </row>
    <row r="395" spans="1:7" ht="15.6" x14ac:dyDescent="0.3">
      <c r="A395" s="507">
        <f t="shared" ref="A395" si="124">A394+1</f>
        <v>232</v>
      </c>
      <c r="B395" s="508" t="s">
        <v>503</v>
      </c>
      <c r="C395" s="507" t="s">
        <v>193</v>
      </c>
      <c r="D395" s="509">
        <f>14.9*1.75/1.75</f>
        <v>14.9</v>
      </c>
      <c r="E395" s="510">
        <v>1350</v>
      </c>
      <c r="F395" s="511">
        <f>ROUND(E395*D395,2)</f>
        <v>20115</v>
      </c>
      <c r="G395" s="511">
        <f t="shared" si="106"/>
        <v>24138</v>
      </c>
    </row>
    <row r="396" spans="1:7" s="1" customFormat="1" ht="15.6" x14ac:dyDescent="0.3">
      <c r="A396" s="675"/>
      <c r="B396" s="676" t="s">
        <v>169</v>
      </c>
      <c r="C396" s="677"/>
      <c r="D396" s="678"/>
      <c r="E396" s="679"/>
      <c r="F396" s="672">
        <f>SUM(F341:F395)</f>
        <v>1957936.4100000006</v>
      </c>
      <c r="G396" s="672">
        <f t="shared" si="106"/>
        <v>2349523.69</v>
      </c>
    </row>
    <row r="397" spans="1:7" x14ac:dyDescent="0.3">
      <c r="A397" s="162"/>
      <c r="B397" s="951" t="s">
        <v>721</v>
      </c>
      <c r="C397" s="952"/>
      <c r="D397" s="952"/>
      <c r="E397" s="953"/>
      <c r="F397" s="680">
        <f>F396+F339+F332+F297+F266+F159+F137+F115+F79+F58+F36</f>
        <v>69900018.560000002</v>
      </c>
      <c r="G397" s="680">
        <f>G396+G339+G332+G297+G266+G159+G137+G115+G79+G58+G36</f>
        <v>83752191.709999993</v>
      </c>
    </row>
    <row r="398" spans="1:7" x14ac:dyDescent="0.3">
      <c r="B398" s="951"/>
      <c r="C398" s="952"/>
      <c r="D398" s="952"/>
      <c r="E398" s="953"/>
    </row>
  </sheetData>
  <mergeCells count="11">
    <mergeCell ref="B398:E398"/>
    <mergeCell ref="B397:E397"/>
    <mergeCell ref="D1:D2"/>
    <mergeCell ref="C1:C2"/>
    <mergeCell ref="B1:B2"/>
    <mergeCell ref="A1:A2"/>
    <mergeCell ref="F244:F246"/>
    <mergeCell ref="G244:G246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J292"/>
  <sheetViews>
    <sheetView topLeftCell="A268" zoomScaleNormal="100" zoomScaleSheetLayoutView="70" workbookViewId="0">
      <selection activeCell="J281" sqref="J281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9" max="9" width="10.6640625" bestFit="1" customWidth="1"/>
  </cols>
  <sheetData>
    <row r="1" spans="1:10" ht="19.5" customHeight="1" x14ac:dyDescent="0.3">
      <c r="A1" s="884" t="s">
        <v>226</v>
      </c>
      <c r="B1" s="963" t="s">
        <v>201</v>
      </c>
      <c r="C1" s="884" t="s">
        <v>705</v>
      </c>
      <c r="D1" s="884" t="s">
        <v>202</v>
      </c>
      <c r="E1" s="942" t="s">
        <v>704</v>
      </c>
      <c r="F1" s="940" t="s">
        <v>197</v>
      </c>
      <c r="G1" s="940" t="s">
        <v>198</v>
      </c>
    </row>
    <row r="2" spans="1:10" s="54" customFormat="1" ht="29.4" customHeight="1" x14ac:dyDescent="0.3">
      <c r="A2" s="884"/>
      <c r="B2" s="963"/>
      <c r="C2" s="884"/>
      <c r="D2" s="884"/>
      <c r="E2" s="943"/>
      <c r="F2" s="941"/>
      <c r="G2" s="941"/>
      <c r="I2"/>
      <c r="J2" s="335"/>
    </row>
    <row r="3" spans="1:10" ht="13.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6</v>
      </c>
      <c r="F3" s="144">
        <v>7</v>
      </c>
      <c r="G3" s="144">
        <v>8</v>
      </c>
      <c r="J3" s="335"/>
    </row>
    <row r="4" spans="1:10" x14ac:dyDescent="0.3">
      <c r="A4" s="149"/>
      <c r="B4" s="957" t="s">
        <v>550</v>
      </c>
      <c r="C4" s="958"/>
      <c r="D4" s="959"/>
      <c r="E4" s="151"/>
      <c r="F4" s="152"/>
      <c r="G4" s="121"/>
      <c r="J4" s="335"/>
    </row>
    <row r="5" spans="1:10" x14ac:dyDescent="0.3">
      <c r="A5" s="591">
        <v>1</v>
      </c>
      <c r="B5" s="621" t="s">
        <v>234</v>
      </c>
      <c r="C5" s="591" t="s">
        <v>193</v>
      </c>
      <c r="D5" s="623">
        <v>13</v>
      </c>
      <c r="E5" s="588">
        <v>979</v>
      </c>
      <c r="F5" s="620">
        <f t="shared" ref="F5:F27" si="0">ROUND(E5*D5,2)</f>
        <v>12727</v>
      </c>
      <c r="G5" s="620">
        <f>ROUND(F5*1.2,2)</f>
        <v>15272.4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859">
        <v>35</v>
      </c>
      <c r="E6" s="94">
        <v>510.3529200000001</v>
      </c>
      <c r="F6" s="94">
        <f t="shared" si="0"/>
        <v>17862.349999999999</v>
      </c>
      <c r="G6" s="94">
        <f t="shared" ref="G6:G28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859">
        <v>3</v>
      </c>
      <c r="E7" s="94">
        <v>609.58821000000012</v>
      </c>
      <c r="F7" s="94">
        <f t="shared" si="0"/>
        <v>1828.76</v>
      </c>
      <c r="G7" s="94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859">
        <v>6</v>
      </c>
      <c r="E8" s="94">
        <v>6095.8821000000007</v>
      </c>
      <c r="F8" s="94">
        <f t="shared" si="0"/>
        <v>36575.29</v>
      </c>
      <c r="G8" s="94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859">
        <v>2</v>
      </c>
      <c r="E9" s="94">
        <v>19075.084770000001</v>
      </c>
      <c r="F9" s="94">
        <f t="shared" si="0"/>
        <v>38150.17</v>
      </c>
      <c r="G9" s="94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859">
        <v>1</v>
      </c>
      <c r="E10" s="94">
        <v>23674.704900000004</v>
      </c>
      <c r="F10" s="94">
        <f t="shared" si="0"/>
        <v>23674.7</v>
      </c>
      <c r="G10" s="94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859">
        <v>2</v>
      </c>
      <c r="E11" s="94">
        <v>9356.4702000000016</v>
      </c>
      <c r="F11" s="94">
        <f t="shared" si="0"/>
        <v>18712.939999999999</v>
      </c>
      <c r="G11" s="94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859">
        <v>1</v>
      </c>
      <c r="E12" s="94">
        <v>9356.4702000000016</v>
      </c>
      <c r="F12" s="94">
        <f t="shared" si="0"/>
        <v>9356.4699999999993</v>
      </c>
      <c r="G12" s="94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859">
        <v>1</v>
      </c>
      <c r="E13" s="94">
        <v>793.88231999999994</v>
      </c>
      <c r="F13" s="94">
        <f t="shared" si="0"/>
        <v>793.88</v>
      </c>
      <c r="G13" s="94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861">
        <f>32*0.137</f>
        <v>4.3840000000000003</v>
      </c>
      <c r="E14" s="94">
        <v>163.67379</v>
      </c>
      <c r="F14" s="94">
        <f t="shared" si="0"/>
        <v>717.55</v>
      </c>
      <c r="G14" s="94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861">
        <f>16*0.243</f>
        <v>3.8879999999999999</v>
      </c>
      <c r="E15" s="94">
        <v>163.67379</v>
      </c>
      <c r="F15" s="94">
        <f t="shared" si="0"/>
        <v>636.36</v>
      </c>
      <c r="G15" s="94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861">
        <f>32*0.032</f>
        <v>1.024</v>
      </c>
      <c r="E16" s="94">
        <v>189.44919000000002</v>
      </c>
      <c r="F16" s="94">
        <f t="shared" si="0"/>
        <v>194</v>
      </c>
      <c r="G16" s="94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861">
        <f>16*0.071</f>
        <v>1.1359999999999999</v>
      </c>
      <c r="E17" s="94">
        <v>189.44919000000002</v>
      </c>
      <c r="F17" s="94">
        <f t="shared" si="0"/>
        <v>215.21</v>
      </c>
      <c r="G17" s="94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861">
        <f>64*0.013</f>
        <v>0.83199999999999996</v>
      </c>
      <c r="E18" s="94">
        <v>255.17646000000005</v>
      </c>
      <c r="F18" s="94">
        <f t="shared" si="0"/>
        <v>212.31</v>
      </c>
      <c r="G18" s="94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861">
        <f>32*0.0172</f>
        <v>0.5504</v>
      </c>
      <c r="E19" s="94">
        <v>255.17646000000005</v>
      </c>
      <c r="F19" s="94">
        <f t="shared" si="0"/>
        <v>140.44999999999999</v>
      </c>
      <c r="G19" s="94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859">
        <v>4</v>
      </c>
      <c r="E20" s="94">
        <v>36.085560000000001</v>
      </c>
      <c r="F20" s="94">
        <f t="shared" si="0"/>
        <v>144.34</v>
      </c>
      <c r="G20" s="94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859">
        <v>2</v>
      </c>
      <c r="E21" s="94">
        <v>42.529410000000006</v>
      </c>
      <c r="F21" s="94">
        <f t="shared" si="0"/>
        <v>85.06</v>
      </c>
      <c r="G21" s="94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859">
        <v>1</v>
      </c>
      <c r="E22" s="94">
        <v>992.3529000000002</v>
      </c>
      <c r="F22" s="94">
        <f t="shared" si="0"/>
        <v>992.35</v>
      </c>
      <c r="G22" s="94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859">
        <v>1</v>
      </c>
      <c r="E23" s="94">
        <v>1701.1764000000003</v>
      </c>
      <c r="F23" s="94">
        <f t="shared" si="0"/>
        <v>1701.18</v>
      </c>
      <c r="G23" s="94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859">
        <v>1</v>
      </c>
      <c r="E24" s="94">
        <v>2409.9999000000003</v>
      </c>
      <c r="F24" s="94">
        <f t="shared" si="0"/>
        <v>2410</v>
      </c>
      <c r="G24" s="94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859">
        <v>1</v>
      </c>
      <c r="E25" s="94">
        <v>6804.7056000000011</v>
      </c>
      <c r="F25" s="94">
        <f t="shared" si="0"/>
        <v>6804.71</v>
      </c>
      <c r="G25" s="94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861">
        <v>7.0000000000000007E-2</v>
      </c>
      <c r="E26" s="94">
        <v>7200.3579900000004</v>
      </c>
      <c r="F26" s="94">
        <f t="shared" si="0"/>
        <v>504.03</v>
      </c>
      <c r="G26" s="94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756</v>
      </c>
      <c r="C27" s="66" t="s">
        <v>193</v>
      </c>
      <c r="D27" s="862">
        <v>0.5</v>
      </c>
      <c r="E27" s="94">
        <v>4961.7645000000002</v>
      </c>
      <c r="F27" s="94">
        <f t="shared" si="0"/>
        <v>2480.88</v>
      </c>
      <c r="G27" s="94">
        <f t="shared" si="1"/>
        <v>2977.06</v>
      </c>
    </row>
    <row r="28" spans="1:7" ht="21.75" customHeight="1" x14ac:dyDescent="0.3">
      <c r="A28" s="649"/>
      <c r="B28" s="80"/>
      <c r="C28" s="663"/>
      <c r="D28" s="681"/>
      <c r="E28" s="673"/>
      <c r="F28" s="94">
        <f>SUM(F5:F27)</f>
        <v>176919.98999999996</v>
      </c>
      <c r="G28" s="94">
        <f t="shared" si="1"/>
        <v>212303.99</v>
      </c>
    </row>
    <row r="29" spans="1:7" ht="30.75" customHeight="1" x14ac:dyDescent="0.3">
      <c r="A29" s="149"/>
      <c r="B29" s="955" t="s">
        <v>1163</v>
      </c>
      <c r="C29" s="956"/>
      <c r="D29" s="956"/>
      <c r="E29" s="296"/>
      <c r="F29" s="152"/>
      <c r="G29" s="121"/>
    </row>
    <row r="30" spans="1:7" x14ac:dyDescent="0.3">
      <c r="A30" s="591">
        <f>A27+1</f>
        <v>24</v>
      </c>
      <c r="B30" s="621" t="s">
        <v>234</v>
      </c>
      <c r="C30" s="591" t="s">
        <v>193</v>
      </c>
      <c r="D30" s="623">
        <v>114</v>
      </c>
      <c r="E30" s="620">
        <v>979.00333333333299</v>
      </c>
      <c r="F30" s="620">
        <f t="shared" ref="F30:F41" si="3">ROUND(E30*D30,2)</f>
        <v>111606.38</v>
      </c>
      <c r="G30" s="620">
        <f t="shared" ref="G30" si="4">ROUND(F30*1.2,2)</f>
        <v>133927.66</v>
      </c>
    </row>
    <row r="31" spans="1:7" x14ac:dyDescent="0.3">
      <c r="A31" s="66">
        <f>A30+1</f>
        <v>25</v>
      </c>
      <c r="B31" s="67" t="s">
        <v>1185</v>
      </c>
      <c r="C31" s="74" t="s">
        <v>194</v>
      </c>
      <c r="D31" s="859">
        <v>101</v>
      </c>
      <c r="E31" s="94">
        <v>510.3529200000001</v>
      </c>
      <c r="F31" s="94">
        <f t="shared" si="3"/>
        <v>51545.64</v>
      </c>
      <c r="G31" s="94">
        <f t="shared" ref="G31:G42" si="5">ROUND(F31*1.2,2)</f>
        <v>61854.77</v>
      </c>
    </row>
    <row r="32" spans="1:7" x14ac:dyDescent="0.3">
      <c r="A32" s="66">
        <f>A31+1</f>
        <v>26</v>
      </c>
      <c r="B32" s="67" t="s">
        <v>553</v>
      </c>
      <c r="C32" s="66" t="s">
        <v>194</v>
      </c>
      <c r="D32" s="859">
        <v>12</v>
      </c>
      <c r="E32" s="94">
        <v>6095.8821000000007</v>
      </c>
      <c r="F32" s="94">
        <f t="shared" si="3"/>
        <v>73150.59</v>
      </c>
      <c r="G32" s="94">
        <f t="shared" si="5"/>
        <v>87780.71</v>
      </c>
    </row>
    <row r="33" spans="1:7" s="57" customFormat="1" x14ac:dyDescent="0.3">
      <c r="A33" s="87">
        <f>A32+1</f>
        <v>27</v>
      </c>
      <c r="B33" s="233" t="s">
        <v>1162</v>
      </c>
      <c r="C33" s="87" t="s">
        <v>220</v>
      </c>
      <c r="D33" s="859">
        <v>5</v>
      </c>
      <c r="E33" s="94">
        <v>734.59890000000007</v>
      </c>
      <c r="F33" s="99">
        <f t="shared" si="3"/>
        <v>3672.99</v>
      </c>
      <c r="G33" s="99">
        <f t="shared" si="5"/>
        <v>4407.59</v>
      </c>
    </row>
    <row r="34" spans="1:7" x14ac:dyDescent="0.3">
      <c r="A34" s="66">
        <f>A33+1</f>
        <v>28</v>
      </c>
      <c r="B34" s="67" t="s">
        <v>557</v>
      </c>
      <c r="C34" s="66" t="s">
        <v>220</v>
      </c>
      <c r="D34" s="859">
        <v>2</v>
      </c>
      <c r="E34" s="94">
        <v>9356.4702000000016</v>
      </c>
      <c r="F34" s="94">
        <f t="shared" si="3"/>
        <v>18712.939999999999</v>
      </c>
      <c r="G34" s="94">
        <f t="shared" si="5"/>
        <v>22455.53</v>
      </c>
    </row>
    <row r="35" spans="1:7" x14ac:dyDescent="0.3">
      <c r="A35" s="66">
        <f>A34+1</f>
        <v>29</v>
      </c>
      <c r="B35" s="67" t="s">
        <v>558</v>
      </c>
      <c r="C35" s="66" t="s">
        <v>220</v>
      </c>
      <c r="D35" s="859">
        <v>2</v>
      </c>
      <c r="E35" s="94">
        <v>793.88231999999994</v>
      </c>
      <c r="F35" s="94">
        <f t="shared" si="3"/>
        <v>1587.76</v>
      </c>
      <c r="G35" s="94">
        <f t="shared" si="5"/>
        <v>1905.31</v>
      </c>
    </row>
    <row r="36" spans="1:7" x14ac:dyDescent="0.3">
      <c r="A36" s="66">
        <f t="shared" ref="A36:A40" si="6">A35+1</f>
        <v>30</v>
      </c>
      <c r="B36" s="67" t="s">
        <v>577</v>
      </c>
      <c r="C36" s="74" t="s">
        <v>254</v>
      </c>
      <c r="D36" s="861">
        <f>16*0.137</f>
        <v>2.1920000000000002</v>
      </c>
      <c r="E36" s="94">
        <v>163.67379</v>
      </c>
      <c r="F36" s="94">
        <f t="shared" si="3"/>
        <v>358.77</v>
      </c>
      <c r="G36" s="94">
        <f t="shared" si="5"/>
        <v>430.52</v>
      </c>
    </row>
    <row r="37" spans="1:7" x14ac:dyDescent="0.3">
      <c r="A37" s="66">
        <f t="shared" si="6"/>
        <v>31</v>
      </c>
      <c r="B37" s="67" t="s">
        <v>405</v>
      </c>
      <c r="C37" s="74" t="s">
        <v>254</v>
      </c>
      <c r="D37" s="861">
        <f>16*0.032</f>
        <v>0.51200000000000001</v>
      </c>
      <c r="E37" s="94">
        <v>189.44919000000002</v>
      </c>
      <c r="F37" s="94">
        <f t="shared" si="3"/>
        <v>97</v>
      </c>
      <c r="G37" s="94">
        <f t="shared" si="5"/>
        <v>116.4</v>
      </c>
    </row>
    <row r="38" spans="1:7" x14ac:dyDescent="0.3">
      <c r="A38" s="66">
        <f t="shared" si="6"/>
        <v>32</v>
      </c>
      <c r="B38" s="67" t="s">
        <v>578</v>
      </c>
      <c r="C38" s="74" t="s">
        <v>254</v>
      </c>
      <c r="D38" s="861">
        <f>32*0.013</f>
        <v>0.41599999999999998</v>
      </c>
      <c r="E38" s="94">
        <v>255.17646000000005</v>
      </c>
      <c r="F38" s="94">
        <f t="shared" si="3"/>
        <v>106.15</v>
      </c>
      <c r="G38" s="94">
        <f t="shared" si="5"/>
        <v>127.38</v>
      </c>
    </row>
    <row r="39" spans="1:7" x14ac:dyDescent="0.3">
      <c r="A39" s="66">
        <f t="shared" si="6"/>
        <v>33</v>
      </c>
      <c r="B39" s="67" t="s">
        <v>406</v>
      </c>
      <c r="C39" s="66" t="s">
        <v>220</v>
      </c>
      <c r="D39" s="859">
        <v>2</v>
      </c>
      <c r="E39" s="94">
        <v>42.529410000000006</v>
      </c>
      <c r="F39" s="94">
        <f t="shared" si="3"/>
        <v>85.06</v>
      </c>
      <c r="G39" s="94">
        <f t="shared" si="5"/>
        <v>102.07</v>
      </c>
    </row>
    <row r="40" spans="1:7" ht="27.6" x14ac:dyDescent="0.3">
      <c r="A40" s="66">
        <f t="shared" si="6"/>
        <v>34</v>
      </c>
      <c r="B40" s="67" t="s">
        <v>576</v>
      </c>
      <c r="C40" s="66" t="s">
        <v>220</v>
      </c>
      <c r="D40" s="859">
        <v>2</v>
      </c>
      <c r="E40" s="94">
        <v>992.3529000000002</v>
      </c>
      <c r="F40" s="94">
        <f t="shared" si="3"/>
        <v>1984.71</v>
      </c>
      <c r="G40" s="94">
        <f t="shared" si="5"/>
        <v>2381.65</v>
      </c>
    </row>
    <row r="41" spans="1:7" ht="21.75" customHeight="1" x14ac:dyDescent="0.3">
      <c r="A41" s="87">
        <f t="shared" ref="A41" si="7">A40+1</f>
        <v>35</v>
      </c>
      <c r="B41" s="233" t="s">
        <v>756</v>
      </c>
      <c r="C41" s="87" t="s">
        <v>193</v>
      </c>
      <c r="D41" s="862">
        <v>0.3</v>
      </c>
      <c r="E41" s="94">
        <v>4961.7645000000002</v>
      </c>
      <c r="F41" s="99">
        <f t="shared" si="3"/>
        <v>1488.53</v>
      </c>
      <c r="G41" s="99">
        <f t="shared" si="5"/>
        <v>1786.24</v>
      </c>
    </row>
    <row r="42" spans="1:7" ht="21.75" customHeight="1" x14ac:dyDescent="0.3">
      <c r="A42" s="649"/>
      <c r="B42" s="249"/>
      <c r="C42" s="650"/>
      <c r="D42" s="659"/>
      <c r="E42" s="673"/>
      <c r="F42" s="99">
        <f>SUM(F30:F41)</f>
        <v>264396.52</v>
      </c>
      <c r="G42" s="99">
        <f t="shared" si="5"/>
        <v>317275.82</v>
      </c>
    </row>
    <row r="43" spans="1:7" ht="30" customHeight="1" x14ac:dyDescent="0.3">
      <c r="A43" s="149"/>
      <c r="B43" s="955" t="s">
        <v>1164</v>
      </c>
      <c r="C43" s="956"/>
      <c r="D43" s="956"/>
      <c r="E43" s="296"/>
      <c r="F43" s="152"/>
      <c r="G43" s="121"/>
    </row>
    <row r="44" spans="1:7" x14ac:dyDescent="0.3">
      <c r="A44" s="591">
        <f>A41+1</f>
        <v>36</v>
      </c>
      <c r="B44" s="621" t="s">
        <v>234</v>
      </c>
      <c r="C44" s="591" t="s">
        <v>193</v>
      </c>
      <c r="D44" s="623">
        <v>47</v>
      </c>
      <c r="E44" s="620">
        <v>979.00333333333299</v>
      </c>
      <c r="F44" s="620">
        <f t="shared" ref="F44:F55" si="8">ROUND(E44*D44,2)</f>
        <v>46013.16</v>
      </c>
      <c r="G44" s="620">
        <f t="shared" ref="G44" si="9">ROUND(F44*1.2,2)</f>
        <v>55215.79</v>
      </c>
    </row>
    <row r="45" spans="1:7" s="57" customFormat="1" x14ac:dyDescent="0.3">
      <c r="A45" s="87">
        <f>A44+1</f>
        <v>37</v>
      </c>
      <c r="B45" s="233" t="s">
        <v>1186</v>
      </c>
      <c r="C45" s="87" t="s">
        <v>194</v>
      </c>
      <c r="D45" s="859">
        <v>32</v>
      </c>
      <c r="E45" s="94">
        <v>4720.76451</v>
      </c>
      <c r="F45" s="99">
        <f t="shared" si="8"/>
        <v>151064.46</v>
      </c>
      <c r="G45" s="99">
        <f t="shared" ref="G45" si="10">ROUND(F45*1.2,2)</f>
        <v>181277.35</v>
      </c>
    </row>
    <row r="46" spans="1:7" s="57" customFormat="1" x14ac:dyDescent="0.3">
      <c r="A46" s="87">
        <f>A45+1</f>
        <v>38</v>
      </c>
      <c r="B46" s="233" t="s">
        <v>1187</v>
      </c>
      <c r="C46" s="87" t="s">
        <v>194</v>
      </c>
      <c r="D46" s="859">
        <v>6</v>
      </c>
      <c r="E46" s="94">
        <v>17776.00461</v>
      </c>
      <c r="F46" s="99">
        <f t="shared" si="8"/>
        <v>106656.03</v>
      </c>
      <c r="G46" s="99">
        <f t="shared" ref="G46" si="11">ROUND(F46*1.2,2)</f>
        <v>127987.24</v>
      </c>
    </row>
    <row r="47" spans="1:7" s="57" customFormat="1" x14ac:dyDescent="0.3">
      <c r="A47" s="87">
        <f t="shared" ref="A47:A48" si="12">A46+1</f>
        <v>39</v>
      </c>
      <c r="B47" s="233" t="s">
        <v>1189</v>
      </c>
      <c r="C47" s="87" t="s">
        <v>220</v>
      </c>
      <c r="D47" s="859">
        <v>3</v>
      </c>
      <c r="E47" s="94">
        <v>1244.95182</v>
      </c>
      <c r="F47" s="99">
        <f t="shared" si="8"/>
        <v>3734.86</v>
      </c>
      <c r="G47" s="99">
        <f t="shared" ref="G47" si="13">ROUND(F47*1.2,2)</f>
        <v>4481.83</v>
      </c>
    </row>
    <row r="48" spans="1:7" s="57" customFormat="1" x14ac:dyDescent="0.3">
      <c r="A48" s="87">
        <f t="shared" si="12"/>
        <v>40</v>
      </c>
      <c r="B48" s="233" t="s">
        <v>779</v>
      </c>
      <c r="C48" s="87" t="s">
        <v>220</v>
      </c>
      <c r="D48" s="859">
        <v>2</v>
      </c>
      <c r="E48" s="94">
        <v>6907.8072000000011</v>
      </c>
      <c r="F48" s="99">
        <f t="shared" si="8"/>
        <v>13815.61</v>
      </c>
      <c r="G48" s="99">
        <f t="shared" ref="G48:G49" si="14">ROUND(F48*1.2,2)</f>
        <v>16578.73</v>
      </c>
    </row>
    <row r="49" spans="1:7" s="57" customFormat="1" x14ac:dyDescent="0.3">
      <c r="A49" s="87">
        <f t="shared" ref="A49:A55" si="15">A48+1</f>
        <v>41</v>
      </c>
      <c r="B49" s="233" t="s">
        <v>781</v>
      </c>
      <c r="C49" s="87" t="s">
        <v>220</v>
      </c>
      <c r="D49" s="859">
        <v>2</v>
      </c>
      <c r="E49" s="94">
        <v>3915.2832600000002</v>
      </c>
      <c r="F49" s="99">
        <f t="shared" si="8"/>
        <v>7830.57</v>
      </c>
      <c r="G49" s="99">
        <f t="shared" si="14"/>
        <v>9396.68</v>
      </c>
    </row>
    <row r="50" spans="1:7" x14ac:dyDescent="0.3">
      <c r="A50" s="66">
        <f t="shared" si="15"/>
        <v>42</v>
      </c>
      <c r="B50" s="67" t="s">
        <v>795</v>
      </c>
      <c r="C50" s="66" t="s">
        <v>254</v>
      </c>
      <c r="D50" s="861">
        <f>24*0.243</f>
        <v>5.8319999999999999</v>
      </c>
      <c r="E50" s="94">
        <v>163.67379</v>
      </c>
      <c r="F50" s="94">
        <f t="shared" si="8"/>
        <v>954.55</v>
      </c>
      <c r="G50" s="94">
        <f t="shared" ref="G50:G56" si="16">ROUND(F50*1.2,2)</f>
        <v>1145.46</v>
      </c>
    </row>
    <row r="51" spans="1:7" x14ac:dyDescent="0.3">
      <c r="A51" s="66">
        <f t="shared" si="15"/>
        <v>43</v>
      </c>
      <c r="B51" s="67" t="s">
        <v>1188</v>
      </c>
      <c r="C51" s="66" t="s">
        <v>254</v>
      </c>
      <c r="D51" s="861">
        <f>24*0.071</f>
        <v>1.7039999999999997</v>
      </c>
      <c r="E51" s="94">
        <v>189.44919000000002</v>
      </c>
      <c r="F51" s="94">
        <f t="shared" si="8"/>
        <v>322.82</v>
      </c>
      <c r="G51" s="94">
        <f t="shared" si="16"/>
        <v>387.38</v>
      </c>
    </row>
    <row r="52" spans="1:7" x14ac:dyDescent="0.3">
      <c r="A52" s="66">
        <f t="shared" si="15"/>
        <v>44</v>
      </c>
      <c r="B52" s="67" t="s">
        <v>797</v>
      </c>
      <c r="C52" s="66" t="s">
        <v>254</v>
      </c>
      <c r="D52" s="861">
        <f>48*0.0172</f>
        <v>0.8256</v>
      </c>
      <c r="E52" s="94">
        <v>255.17646000000005</v>
      </c>
      <c r="F52" s="94">
        <f t="shared" si="8"/>
        <v>210.67</v>
      </c>
      <c r="G52" s="94">
        <f t="shared" si="16"/>
        <v>252.8</v>
      </c>
    </row>
    <row r="53" spans="1:7" s="57" customFormat="1" ht="27.6" x14ac:dyDescent="0.3">
      <c r="A53" s="87">
        <f t="shared" si="15"/>
        <v>45</v>
      </c>
      <c r="B53" s="233" t="s">
        <v>794</v>
      </c>
      <c r="C53" s="87" t="s">
        <v>220</v>
      </c>
      <c r="D53" s="859">
        <v>2</v>
      </c>
      <c r="E53" s="94">
        <v>184.50031319999999</v>
      </c>
      <c r="F53" s="99">
        <f t="shared" si="8"/>
        <v>369</v>
      </c>
      <c r="G53" s="99">
        <f t="shared" si="16"/>
        <v>442.8</v>
      </c>
    </row>
    <row r="54" spans="1:7" ht="27.6" x14ac:dyDescent="0.3">
      <c r="A54" s="66">
        <f t="shared" si="15"/>
        <v>46</v>
      </c>
      <c r="B54" s="67" t="s">
        <v>598</v>
      </c>
      <c r="C54" s="66" t="s">
        <v>220</v>
      </c>
      <c r="D54" s="859">
        <v>2</v>
      </c>
      <c r="E54" s="94">
        <v>4394.7057000000004</v>
      </c>
      <c r="F54" s="94">
        <f t="shared" si="8"/>
        <v>8789.41</v>
      </c>
      <c r="G54" s="94">
        <f t="shared" si="16"/>
        <v>10547.29</v>
      </c>
    </row>
    <row r="55" spans="1:7" x14ac:dyDescent="0.3">
      <c r="A55" s="87">
        <f t="shared" si="15"/>
        <v>47</v>
      </c>
      <c r="B55" s="233" t="s">
        <v>756</v>
      </c>
      <c r="C55" s="87" t="s">
        <v>193</v>
      </c>
      <c r="D55" s="862">
        <v>1</v>
      </c>
      <c r="E55" s="94">
        <v>4961.7645000000002</v>
      </c>
      <c r="F55" s="99">
        <f t="shared" si="8"/>
        <v>4961.76</v>
      </c>
      <c r="G55" s="99">
        <f t="shared" si="16"/>
        <v>5954.11</v>
      </c>
    </row>
    <row r="56" spans="1:7" x14ac:dyDescent="0.3">
      <c r="A56" s="649"/>
      <c r="B56" s="249"/>
      <c r="C56" s="650"/>
      <c r="D56" s="659"/>
      <c r="E56" s="673"/>
      <c r="F56" s="99">
        <f>SUM(F44:F55)</f>
        <v>344722.89999999997</v>
      </c>
      <c r="G56" s="99">
        <f t="shared" si="16"/>
        <v>413667.48</v>
      </c>
    </row>
    <row r="57" spans="1:7" ht="27.6" x14ac:dyDescent="0.3">
      <c r="A57" s="149"/>
      <c r="B57" s="232" t="s">
        <v>1169</v>
      </c>
      <c r="C57" s="157"/>
      <c r="D57" s="157"/>
      <c r="E57" s="157"/>
      <c r="F57" s="151"/>
      <c r="G57" s="163"/>
    </row>
    <row r="58" spans="1:7" x14ac:dyDescent="0.3">
      <c r="A58" s="591">
        <f>A55+1</f>
        <v>48</v>
      </c>
      <c r="B58" s="621" t="s">
        <v>234</v>
      </c>
      <c r="C58" s="591" t="s">
        <v>193</v>
      </c>
      <c r="D58" s="623">
        <v>636.5</v>
      </c>
      <c r="E58" s="620">
        <v>979.00333333333299</v>
      </c>
      <c r="F58" s="620">
        <f t="shared" ref="F58:F94" si="17">ROUND(E58*D58,2)</f>
        <v>623135.62</v>
      </c>
      <c r="G58" s="620">
        <f t="shared" ref="G58:G59" si="18">ROUND(F58*1.2,2)</f>
        <v>747762.74</v>
      </c>
    </row>
    <row r="59" spans="1:7" s="57" customFormat="1" x14ac:dyDescent="0.3">
      <c r="A59" s="87">
        <f>A58+1</f>
        <v>49</v>
      </c>
      <c r="B59" s="233" t="s">
        <v>1186</v>
      </c>
      <c r="C59" s="87" t="s">
        <v>194</v>
      </c>
      <c r="D59" s="859">
        <v>238</v>
      </c>
      <c r="E59" s="94">
        <v>4238.249022</v>
      </c>
      <c r="F59" s="99">
        <f t="shared" si="17"/>
        <v>1008703.27</v>
      </c>
      <c r="G59" s="99">
        <f t="shared" si="18"/>
        <v>1210443.92</v>
      </c>
    </row>
    <row r="60" spans="1:7" s="57" customFormat="1" x14ac:dyDescent="0.3">
      <c r="A60" s="87">
        <f t="shared" ref="A60:A94" si="19">A59+1</f>
        <v>50</v>
      </c>
      <c r="B60" s="233" t="s">
        <v>1190</v>
      </c>
      <c r="C60" s="87" t="s">
        <v>194</v>
      </c>
      <c r="D60" s="859">
        <v>23</v>
      </c>
      <c r="E60" s="94">
        <v>1217.8876500000001</v>
      </c>
      <c r="F60" s="99">
        <f t="shared" si="17"/>
        <v>28011.42</v>
      </c>
      <c r="G60" s="99">
        <f t="shared" ref="G60:G66" si="20">ROUND(F60*1.2,2)</f>
        <v>33613.699999999997</v>
      </c>
    </row>
    <row r="61" spans="1:7" s="57" customFormat="1" x14ac:dyDescent="0.3">
      <c r="A61" s="87">
        <f t="shared" si="19"/>
        <v>51</v>
      </c>
      <c r="B61" s="233" t="s">
        <v>1187</v>
      </c>
      <c r="C61" s="87" t="s">
        <v>194</v>
      </c>
      <c r="D61" s="859">
        <v>99</v>
      </c>
      <c r="E61" s="94">
        <v>16281.031409999998</v>
      </c>
      <c r="F61" s="99">
        <f t="shared" si="17"/>
        <v>1611822.11</v>
      </c>
      <c r="G61" s="99">
        <f t="shared" si="20"/>
        <v>1934186.53</v>
      </c>
    </row>
    <row r="62" spans="1:7" s="57" customFormat="1" x14ac:dyDescent="0.3">
      <c r="A62" s="87">
        <f t="shared" si="19"/>
        <v>52</v>
      </c>
      <c r="B62" s="233" t="s">
        <v>1191</v>
      </c>
      <c r="C62" s="239" t="s">
        <v>194</v>
      </c>
      <c r="D62" s="862">
        <v>10.5</v>
      </c>
      <c r="E62" s="94">
        <v>6505.7109599999994</v>
      </c>
      <c r="F62" s="99">
        <f t="shared" si="17"/>
        <v>68309.97</v>
      </c>
      <c r="G62" s="99">
        <f t="shared" si="20"/>
        <v>81971.960000000006</v>
      </c>
    </row>
    <row r="63" spans="1:7" s="57" customFormat="1" x14ac:dyDescent="0.3">
      <c r="A63" s="87">
        <f t="shared" si="19"/>
        <v>53</v>
      </c>
      <c r="B63" s="233" t="s">
        <v>1189</v>
      </c>
      <c r="C63" s="87" t="s">
        <v>220</v>
      </c>
      <c r="D63" s="859">
        <v>2</v>
      </c>
      <c r="E63" s="94">
        <v>2226.9945600000001</v>
      </c>
      <c r="F63" s="99">
        <f t="shared" si="17"/>
        <v>4453.99</v>
      </c>
      <c r="G63" s="99">
        <f t="shared" ref="G63:G64" si="21">ROUND(F63*1.2,2)</f>
        <v>5344.79</v>
      </c>
    </row>
    <row r="64" spans="1:7" s="57" customFormat="1" x14ac:dyDescent="0.3">
      <c r="A64" s="87">
        <f t="shared" si="19"/>
        <v>54</v>
      </c>
      <c r="B64" s="233" t="s">
        <v>1203</v>
      </c>
      <c r="C64" s="87" t="s">
        <v>220</v>
      </c>
      <c r="D64" s="859">
        <v>3</v>
      </c>
      <c r="E64" s="94">
        <v>1247.52936</v>
      </c>
      <c r="F64" s="99">
        <f t="shared" si="17"/>
        <v>3742.59</v>
      </c>
      <c r="G64" s="99">
        <f t="shared" si="21"/>
        <v>4491.1099999999997</v>
      </c>
    </row>
    <row r="65" spans="1:7" x14ac:dyDescent="0.3">
      <c r="A65" s="66">
        <f t="shared" si="19"/>
        <v>55</v>
      </c>
      <c r="B65" s="67" t="s">
        <v>603</v>
      </c>
      <c r="C65" s="66" t="s">
        <v>220</v>
      </c>
      <c r="D65" s="859">
        <v>1</v>
      </c>
      <c r="E65" s="94">
        <v>155941.17000000004</v>
      </c>
      <c r="F65" s="94">
        <f t="shared" si="17"/>
        <v>155941.17000000001</v>
      </c>
      <c r="G65" s="94">
        <f t="shared" si="20"/>
        <v>187129.4</v>
      </c>
    </row>
    <row r="66" spans="1:7" x14ac:dyDescent="0.3">
      <c r="A66" s="66">
        <f t="shared" si="19"/>
        <v>56</v>
      </c>
      <c r="B66" s="67" t="s">
        <v>602</v>
      </c>
      <c r="C66" s="66" t="s">
        <v>220</v>
      </c>
      <c r="D66" s="859">
        <v>2</v>
      </c>
      <c r="E66" s="94">
        <v>42038.388630000001</v>
      </c>
      <c r="F66" s="94">
        <f t="shared" si="17"/>
        <v>84076.78</v>
      </c>
      <c r="G66" s="94">
        <f t="shared" si="20"/>
        <v>100892.14</v>
      </c>
    </row>
    <row r="67" spans="1:7" s="57" customFormat="1" x14ac:dyDescent="0.3">
      <c r="A67" s="87">
        <f t="shared" si="19"/>
        <v>57</v>
      </c>
      <c r="B67" s="233" t="s">
        <v>1192</v>
      </c>
      <c r="C67" s="87" t="s">
        <v>220</v>
      </c>
      <c r="D67" s="859">
        <v>2</v>
      </c>
      <c r="E67" s="94">
        <v>22257.0579</v>
      </c>
      <c r="F67" s="99">
        <f t="shared" si="17"/>
        <v>44514.12</v>
      </c>
      <c r="G67" s="99">
        <f t="shared" ref="G67:G69" si="22">ROUND(F67*1.2,2)</f>
        <v>53416.94</v>
      </c>
    </row>
    <row r="68" spans="1:7" s="57" customFormat="1" x14ac:dyDescent="0.3">
      <c r="A68" s="87">
        <f t="shared" si="19"/>
        <v>58</v>
      </c>
      <c r="B68" s="233" t="s">
        <v>779</v>
      </c>
      <c r="C68" s="87" t="s">
        <v>220</v>
      </c>
      <c r="D68" s="859">
        <v>14</v>
      </c>
      <c r="E68" s="94">
        <v>3788.9838</v>
      </c>
      <c r="F68" s="99">
        <f t="shared" si="17"/>
        <v>53045.77</v>
      </c>
      <c r="G68" s="99">
        <f t="shared" si="22"/>
        <v>63654.92</v>
      </c>
    </row>
    <row r="69" spans="1:7" s="57" customFormat="1" x14ac:dyDescent="0.3">
      <c r="A69" s="87">
        <f t="shared" si="19"/>
        <v>59</v>
      </c>
      <c r="B69" s="233" t="s">
        <v>781</v>
      </c>
      <c r="C69" s="87" t="s">
        <v>220</v>
      </c>
      <c r="D69" s="859">
        <v>14</v>
      </c>
      <c r="E69" s="94">
        <v>3578.9142900000002</v>
      </c>
      <c r="F69" s="99">
        <f t="shared" si="17"/>
        <v>50104.800000000003</v>
      </c>
      <c r="G69" s="99">
        <f t="shared" si="22"/>
        <v>60125.760000000002</v>
      </c>
    </row>
    <row r="70" spans="1:7" s="57" customFormat="1" x14ac:dyDescent="0.3">
      <c r="A70" s="87">
        <f t="shared" si="19"/>
        <v>60</v>
      </c>
      <c r="B70" s="233" t="s">
        <v>1193</v>
      </c>
      <c r="C70" s="87" t="s">
        <v>220</v>
      </c>
      <c r="D70" s="859">
        <v>2</v>
      </c>
      <c r="E70" s="94">
        <v>1971.8181000000002</v>
      </c>
      <c r="F70" s="99">
        <f t="shared" si="17"/>
        <v>3943.64</v>
      </c>
      <c r="G70" s="99">
        <f t="shared" ref="G70:G71" si="23">ROUND(F70*1.2,2)</f>
        <v>4732.37</v>
      </c>
    </row>
    <row r="71" spans="1:7" s="57" customFormat="1" x14ac:dyDescent="0.3">
      <c r="A71" s="87">
        <f t="shared" si="19"/>
        <v>61</v>
      </c>
      <c r="B71" s="233" t="s">
        <v>1194</v>
      </c>
      <c r="C71" s="87" t="s">
        <v>220</v>
      </c>
      <c r="D71" s="859">
        <v>2</v>
      </c>
      <c r="E71" s="94">
        <v>639.22991999999999</v>
      </c>
      <c r="F71" s="99">
        <f t="shared" si="17"/>
        <v>1278.46</v>
      </c>
      <c r="G71" s="99">
        <f t="shared" si="23"/>
        <v>1534.15</v>
      </c>
    </row>
    <row r="72" spans="1:7" s="57" customFormat="1" x14ac:dyDescent="0.3">
      <c r="A72" s="87">
        <f t="shared" si="19"/>
        <v>62</v>
      </c>
      <c r="B72" s="233" t="s">
        <v>1195</v>
      </c>
      <c r="C72" s="87" t="s">
        <v>220</v>
      </c>
      <c r="D72" s="859">
        <v>1</v>
      </c>
      <c r="E72" s="94">
        <v>451.06950000000001</v>
      </c>
      <c r="F72" s="99">
        <f t="shared" si="17"/>
        <v>451.07</v>
      </c>
      <c r="G72" s="99">
        <f t="shared" ref="G72:G75" si="24">ROUND(F72*1.2,2)</f>
        <v>541.28</v>
      </c>
    </row>
    <row r="73" spans="1:7" x14ac:dyDescent="0.3">
      <c r="A73" s="66">
        <f t="shared" si="19"/>
        <v>63</v>
      </c>
      <c r="B73" s="67" t="s">
        <v>1196</v>
      </c>
      <c r="C73" s="66" t="s">
        <v>254</v>
      </c>
      <c r="D73" s="861">
        <f>196*0.243</f>
        <v>47.628</v>
      </c>
      <c r="E73" s="94">
        <v>163.67379</v>
      </c>
      <c r="F73" s="94">
        <f t="shared" si="17"/>
        <v>7795.46</v>
      </c>
      <c r="G73" s="94">
        <f t="shared" si="24"/>
        <v>9354.5499999999993</v>
      </c>
    </row>
    <row r="74" spans="1:7" x14ac:dyDescent="0.3">
      <c r="A74" s="66">
        <f t="shared" si="19"/>
        <v>64</v>
      </c>
      <c r="B74" s="67" t="s">
        <v>1197</v>
      </c>
      <c r="C74" s="66" t="s">
        <v>254</v>
      </c>
      <c r="D74" s="861">
        <f>196*0.071</f>
        <v>13.915999999999999</v>
      </c>
      <c r="E74" s="94">
        <v>189.44919000000002</v>
      </c>
      <c r="F74" s="94">
        <f t="shared" si="17"/>
        <v>2636.37</v>
      </c>
      <c r="G74" s="94">
        <f t="shared" si="24"/>
        <v>3163.64</v>
      </c>
    </row>
    <row r="75" spans="1:7" ht="15.75" customHeight="1" x14ac:dyDescent="0.3">
      <c r="A75" s="66">
        <f t="shared" si="19"/>
        <v>65</v>
      </c>
      <c r="B75" s="67" t="s">
        <v>1198</v>
      </c>
      <c r="C75" s="66" t="s">
        <v>254</v>
      </c>
      <c r="D75" s="861">
        <f>392*0.0172</f>
        <v>6.7423999999999999</v>
      </c>
      <c r="E75" s="94">
        <v>255.17646000000005</v>
      </c>
      <c r="F75" s="94">
        <f t="shared" si="17"/>
        <v>1720.5</v>
      </c>
      <c r="G75" s="94">
        <f t="shared" si="24"/>
        <v>2064.6</v>
      </c>
    </row>
    <row r="76" spans="1:7" s="57" customFormat="1" ht="27.6" x14ac:dyDescent="0.3">
      <c r="A76" s="87">
        <f t="shared" si="19"/>
        <v>66</v>
      </c>
      <c r="B76" s="233" t="s">
        <v>794</v>
      </c>
      <c r="C76" s="87" t="s">
        <v>220</v>
      </c>
      <c r="D76" s="859">
        <v>2</v>
      </c>
      <c r="E76" s="94">
        <v>115.9893</v>
      </c>
      <c r="F76" s="99">
        <f t="shared" si="17"/>
        <v>231.98</v>
      </c>
      <c r="G76" s="99">
        <f t="shared" ref="G76" si="25">ROUND(F76*1.2,2)</f>
        <v>278.38</v>
      </c>
    </row>
    <row r="77" spans="1:7" ht="27.6" x14ac:dyDescent="0.3">
      <c r="A77" s="66">
        <f t="shared" si="19"/>
        <v>67</v>
      </c>
      <c r="B77" s="67" t="s">
        <v>1199</v>
      </c>
      <c r="C77" s="66" t="s">
        <v>220</v>
      </c>
      <c r="D77" s="859">
        <v>2</v>
      </c>
      <c r="E77" s="94">
        <v>42.529410000000006</v>
      </c>
      <c r="F77" s="94">
        <f t="shared" si="17"/>
        <v>85.06</v>
      </c>
      <c r="G77" s="94">
        <f t="shared" ref="G77:G89" si="26">ROUND(F77*1.2,2)</f>
        <v>102.07</v>
      </c>
    </row>
    <row r="78" spans="1:7" ht="27.6" x14ac:dyDescent="0.3">
      <c r="A78" s="66">
        <f t="shared" si="19"/>
        <v>68</v>
      </c>
      <c r="B78" s="67" t="s">
        <v>598</v>
      </c>
      <c r="C78" s="66" t="s">
        <v>220</v>
      </c>
      <c r="D78" s="859">
        <v>14</v>
      </c>
      <c r="E78" s="94">
        <v>4394.7057000000004</v>
      </c>
      <c r="F78" s="94">
        <f t="shared" si="17"/>
        <v>61525.88</v>
      </c>
      <c r="G78" s="94">
        <f t="shared" si="26"/>
        <v>73831.06</v>
      </c>
    </row>
    <row r="79" spans="1:7" ht="27.6" x14ac:dyDescent="0.3">
      <c r="A79" s="66">
        <f t="shared" si="19"/>
        <v>69</v>
      </c>
      <c r="B79" s="67" t="s">
        <v>601</v>
      </c>
      <c r="C79" s="66" t="s">
        <v>220</v>
      </c>
      <c r="D79" s="859">
        <v>2</v>
      </c>
      <c r="E79" s="94">
        <v>1927.9999200000002</v>
      </c>
      <c r="F79" s="94">
        <f t="shared" si="17"/>
        <v>3856</v>
      </c>
      <c r="G79" s="94">
        <f t="shared" si="26"/>
        <v>4627.2</v>
      </c>
    </row>
    <row r="80" spans="1:7" s="57" customFormat="1" x14ac:dyDescent="0.3">
      <c r="A80" s="87">
        <f t="shared" si="19"/>
        <v>70</v>
      </c>
      <c r="B80" s="233" t="s">
        <v>1200</v>
      </c>
      <c r="C80" s="87" t="s">
        <v>220</v>
      </c>
      <c r="D80" s="859">
        <v>2</v>
      </c>
      <c r="E80" s="94">
        <v>32623.923780000001</v>
      </c>
      <c r="F80" s="99">
        <f t="shared" si="17"/>
        <v>65247.85</v>
      </c>
      <c r="G80" s="99">
        <f t="shared" si="26"/>
        <v>78297.42</v>
      </c>
    </row>
    <row r="81" spans="1:8" s="57" customFormat="1" x14ac:dyDescent="0.3">
      <c r="A81" s="87">
        <f t="shared" si="19"/>
        <v>71</v>
      </c>
      <c r="B81" s="233" t="s">
        <v>1201</v>
      </c>
      <c r="C81" s="87" t="s">
        <v>220</v>
      </c>
      <c r="D81" s="859">
        <v>2</v>
      </c>
      <c r="E81" s="94">
        <v>29796.362400000002</v>
      </c>
      <c r="F81" s="99">
        <f t="shared" si="17"/>
        <v>59592.72</v>
      </c>
      <c r="G81" s="99">
        <f t="shared" si="26"/>
        <v>71511.259999999995</v>
      </c>
    </row>
    <row r="82" spans="1:8" x14ac:dyDescent="0.3">
      <c r="A82" s="66">
        <f t="shared" si="19"/>
        <v>72</v>
      </c>
      <c r="B82" s="233" t="s">
        <v>756</v>
      </c>
      <c r="C82" s="87" t="s">
        <v>193</v>
      </c>
      <c r="D82" s="859">
        <v>14</v>
      </c>
      <c r="E82" s="94">
        <v>4961.7645000000002</v>
      </c>
      <c r="F82" s="99">
        <f t="shared" si="17"/>
        <v>69464.7</v>
      </c>
      <c r="G82" s="99">
        <f t="shared" si="26"/>
        <v>83357.64</v>
      </c>
    </row>
    <row r="83" spans="1:8" x14ac:dyDescent="0.3">
      <c r="A83" s="66">
        <f t="shared" si="19"/>
        <v>73</v>
      </c>
      <c r="B83" s="233" t="s">
        <v>757</v>
      </c>
      <c r="C83" s="87" t="s">
        <v>220</v>
      </c>
      <c r="D83" s="859">
        <v>3</v>
      </c>
      <c r="E83" s="94">
        <v>5883.2350500000002</v>
      </c>
      <c r="F83" s="99">
        <f t="shared" si="17"/>
        <v>17649.71</v>
      </c>
      <c r="G83" s="99">
        <f t="shared" si="26"/>
        <v>21179.65</v>
      </c>
    </row>
    <row r="84" spans="1:8" x14ac:dyDescent="0.3">
      <c r="A84" s="66">
        <f t="shared" si="19"/>
        <v>74</v>
      </c>
      <c r="B84" s="233" t="s">
        <v>1129</v>
      </c>
      <c r="C84" s="87" t="s">
        <v>220</v>
      </c>
      <c r="D84" s="859">
        <v>3</v>
      </c>
      <c r="E84" s="94">
        <v>5528.8233</v>
      </c>
      <c r="F84" s="99">
        <f t="shared" si="17"/>
        <v>16586.47</v>
      </c>
      <c r="G84" s="99">
        <f t="shared" si="26"/>
        <v>19903.759999999998</v>
      </c>
    </row>
    <row r="85" spans="1:8" x14ac:dyDescent="0.3">
      <c r="A85" s="66">
        <f t="shared" si="19"/>
        <v>75</v>
      </c>
      <c r="B85" s="233" t="s">
        <v>1130</v>
      </c>
      <c r="C85" s="87" t="s">
        <v>220</v>
      </c>
      <c r="D85" s="859">
        <v>4</v>
      </c>
      <c r="E85" s="94">
        <v>6521.1762000000008</v>
      </c>
      <c r="F85" s="99">
        <f t="shared" si="17"/>
        <v>26084.7</v>
      </c>
      <c r="G85" s="99">
        <f t="shared" si="26"/>
        <v>31301.64</v>
      </c>
    </row>
    <row r="86" spans="1:8" x14ac:dyDescent="0.3">
      <c r="A86" s="66">
        <f t="shared" si="19"/>
        <v>76</v>
      </c>
      <c r="B86" s="233" t="s">
        <v>1131</v>
      </c>
      <c r="C86" s="87" t="s">
        <v>220</v>
      </c>
      <c r="D86" s="859">
        <v>4</v>
      </c>
      <c r="E86" s="94">
        <v>5245.2939000000006</v>
      </c>
      <c r="F86" s="99">
        <f t="shared" si="17"/>
        <v>20981.18</v>
      </c>
      <c r="G86" s="99">
        <f t="shared" si="26"/>
        <v>25177.42</v>
      </c>
    </row>
    <row r="87" spans="1:8" x14ac:dyDescent="0.3">
      <c r="A87" s="66">
        <f t="shared" si="19"/>
        <v>77</v>
      </c>
      <c r="B87" s="233" t="s">
        <v>590</v>
      </c>
      <c r="C87" s="87" t="s">
        <v>220</v>
      </c>
      <c r="D87" s="863" t="s">
        <v>586</v>
      </c>
      <c r="E87" s="94">
        <v>1019.41707</v>
      </c>
      <c r="F87" s="99">
        <f t="shared" si="17"/>
        <v>4077.67</v>
      </c>
      <c r="G87" s="99">
        <f t="shared" si="26"/>
        <v>4893.2</v>
      </c>
    </row>
    <row r="88" spans="1:8" x14ac:dyDescent="0.3">
      <c r="A88" s="66">
        <f t="shared" si="19"/>
        <v>78</v>
      </c>
      <c r="B88" s="233" t="s">
        <v>1124</v>
      </c>
      <c r="C88" s="87" t="s">
        <v>220</v>
      </c>
      <c r="D88" s="863" t="s">
        <v>1144</v>
      </c>
      <c r="E88" s="94">
        <v>19563.528600000005</v>
      </c>
      <c r="F88" s="99">
        <f t="shared" si="17"/>
        <v>58690.59</v>
      </c>
      <c r="G88" s="99">
        <f t="shared" si="26"/>
        <v>70428.710000000006</v>
      </c>
    </row>
    <row r="89" spans="1:8" ht="17.25" customHeight="1" x14ac:dyDescent="0.3">
      <c r="A89" s="66">
        <f t="shared" si="19"/>
        <v>79</v>
      </c>
      <c r="B89" s="233" t="s">
        <v>1204</v>
      </c>
      <c r="C89" s="87" t="s">
        <v>254</v>
      </c>
      <c r="D89" s="863" t="s">
        <v>766</v>
      </c>
      <c r="E89" s="94">
        <v>904.71654000000001</v>
      </c>
      <c r="F89" s="99">
        <f t="shared" si="17"/>
        <v>20808.48</v>
      </c>
      <c r="G89" s="99">
        <f t="shared" si="26"/>
        <v>24970.18</v>
      </c>
    </row>
    <row r="90" spans="1:8" s="57" customFormat="1" x14ac:dyDescent="0.3">
      <c r="A90" s="87">
        <f t="shared" si="19"/>
        <v>80</v>
      </c>
      <c r="B90" s="233" t="s">
        <v>1205</v>
      </c>
      <c r="C90" s="87" t="s">
        <v>254</v>
      </c>
      <c r="D90" s="861">
        <f>18*0.92</f>
        <v>16.560000000000002</v>
      </c>
      <c r="E90" s="94">
        <v>552.88232999999991</v>
      </c>
      <c r="F90" s="99">
        <f t="shared" si="17"/>
        <v>9155.73</v>
      </c>
      <c r="G90" s="99">
        <f t="shared" ref="G90:G91" si="27">ROUND(F90*1.2,2)</f>
        <v>10986.88</v>
      </c>
    </row>
    <row r="91" spans="1:8" s="57" customFormat="1" x14ac:dyDescent="0.3">
      <c r="A91" s="87">
        <f t="shared" si="19"/>
        <v>81</v>
      </c>
      <c r="B91" s="233" t="s">
        <v>1206</v>
      </c>
      <c r="C91" s="87" t="s">
        <v>254</v>
      </c>
      <c r="D91" s="861">
        <f>18*0.94</f>
        <v>16.919999999999998</v>
      </c>
      <c r="E91" s="94">
        <v>371.16575999999998</v>
      </c>
      <c r="F91" s="99">
        <f t="shared" si="17"/>
        <v>6280.12</v>
      </c>
      <c r="G91" s="99">
        <f t="shared" si="27"/>
        <v>7536.14</v>
      </c>
    </row>
    <row r="92" spans="1:8" x14ac:dyDescent="0.3">
      <c r="A92" s="66">
        <f t="shared" si="19"/>
        <v>82</v>
      </c>
      <c r="B92" s="67" t="s">
        <v>769</v>
      </c>
      <c r="C92" s="87" t="s">
        <v>387</v>
      </c>
      <c r="D92" s="862">
        <f>15.5*20/16</f>
        <v>19.375</v>
      </c>
      <c r="E92" s="94">
        <v>322.1925</v>
      </c>
      <c r="F92" s="99">
        <f t="shared" si="17"/>
        <v>6242.48</v>
      </c>
      <c r="G92" s="99">
        <f t="shared" ref="G92:G93" si="28">ROUND(F92*1.2,2)</f>
        <v>7490.98</v>
      </c>
    </row>
    <row r="93" spans="1:8" x14ac:dyDescent="0.3">
      <c r="A93" s="66">
        <f t="shared" si="19"/>
        <v>83</v>
      </c>
      <c r="B93" s="67" t="s">
        <v>388</v>
      </c>
      <c r="C93" s="87" t="s">
        <v>254</v>
      </c>
      <c r="D93" s="859">
        <f>102</f>
        <v>102</v>
      </c>
      <c r="E93" s="94">
        <v>402.09624000000002</v>
      </c>
      <c r="F93" s="99">
        <f t="shared" si="17"/>
        <v>41013.82</v>
      </c>
      <c r="G93" s="99">
        <f t="shared" si="28"/>
        <v>49216.58</v>
      </c>
    </row>
    <row r="94" spans="1:8" x14ac:dyDescent="0.3">
      <c r="A94" s="591">
        <f t="shared" si="19"/>
        <v>84</v>
      </c>
      <c r="B94" s="621" t="s">
        <v>772</v>
      </c>
      <c r="C94" s="624" t="s">
        <v>193</v>
      </c>
      <c r="D94" s="623">
        <v>2</v>
      </c>
      <c r="E94" s="620">
        <v>3184.5</v>
      </c>
      <c r="F94" s="620">
        <f t="shared" si="17"/>
        <v>6369</v>
      </c>
      <c r="G94" s="620">
        <f t="shared" ref="G94:G95" si="29">ROUND(F94*1.2,2)</f>
        <v>7642.8</v>
      </c>
    </row>
    <row r="95" spans="1:8" s="57" customFormat="1" x14ac:dyDescent="0.3">
      <c r="A95" s="649"/>
      <c r="B95" s="249"/>
      <c r="C95" s="687"/>
      <c r="D95" s="661"/>
      <c r="E95" s="652"/>
      <c r="F95" s="99">
        <f>SUM(F58:F94)</f>
        <v>4247631.2500000009</v>
      </c>
      <c r="G95" s="99">
        <f t="shared" si="29"/>
        <v>5097157.5</v>
      </c>
    </row>
    <row r="96" spans="1:8" ht="36" customHeight="1" x14ac:dyDescent="0.3">
      <c r="A96" s="149"/>
      <c r="B96" s="955" t="s">
        <v>1156</v>
      </c>
      <c r="C96" s="956"/>
      <c r="D96" s="956"/>
      <c r="E96" s="296"/>
      <c r="F96" s="152"/>
      <c r="G96" s="121"/>
      <c r="H96" s="203"/>
    </row>
    <row r="97" spans="1:8" x14ac:dyDescent="0.3">
      <c r="A97" s="591">
        <f>A27+1</f>
        <v>24</v>
      </c>
      <c r="B97" s="621" t="s">
        <v>234</v>
      </c>
      <c r="C97" s="591" t="s">
        <v>193</v>
      </c>
      <c r="D97" s="625">
        <f>9.5+2</f>
        <v>11.5</v>
      </c>
      <c r="E97" s="620">
        <v>979.00333333333299</v>
      </c>
      <c r="F97" s="620">
        <f t="shared" ref="F97:F108" si="30">ROUND(E97*D97,2)</f>
        <v>11258.54</v>
      </c>
      <c r="G97" s="620">
        <f t="shared" ref="G97:G109" si="31">ROUND(F97*1.2,2)</f>
        <v>13510.25</v>
      </c>
    </row>
    <row r="98" spans="1:8" x14ac:dyDescent="0.3">
      <c r="A98" s="66">
        <f t="shared" ref="A98:A108" si="32">A97+1</f>
        <v>25</v>
      </c>
      <c r="B98" s="67" t="s">
        <v>572</v>
      </c>
      <c r="C98" s="74" t="s">
        <v>194</v>
      </c>
      <c r="D98" s="859">
        <v>32</v>
      </c>
      <c r="E98" s="94">
        <v>1063.2352500000004</v>
      </c>
      <c r="F98" s="94">
        <f t="shared" si="30"/>
        <v>34023.53</v>
      </c>
      <c r="G98" s="94">
        <f t="shared" si="31"/>
        <v>40828.239999999998</v>
      </c>
    </row>
    <row r="99" spans="1:8" x14ac:dyDescent="0.3">
      <c r="A99" s="66">
        <f t="shared" si="32"/>
        <v>26</v>
      </c>
      <c r="B99" s="67" t="s">
        <v>573</v>
      </c>
      <c r="C99" s="74" t="s">
        <v>194</v>
      </c>
      <c r="D99" s="862">
        <v>7.5</v>
      </c>
      <c r="E99" s="94">
        <v>7797.0585000000019</v>
      </c>
      <c r="F99" s="94">
        <f t="shared" si="30"/>
        <v>58477.94</v>
      </c>
      <c r="G99" s="94">
        <f t="shared" si="31"/>
        <v>70173.53</v>
      </c>
    </row>
    <row r="100" spans="1:8" s="57" customFormat="1" x14ac:dyDescent="0.3">
      <c r="A100" s="87">
        <f>A99+1</f>
        <v>27</v>
      </c>
      <c r="B100" s="233" t="s">
        <v>1160</v>
      </c>
      <c r="C100" s="87" t="s">
        <v>220</v>
      </c>
      <c r="D100" s="862">
        <v>3</v>
      </c>
      <c r="E100" s="94">
        <v>1247.52936</v>
      </c>
      <c r="F100" s="99">
        <f t="shared" si="30"/>
        <v>3742.59</v>
      </c>
      <c r="G100" s="99">
        <f t="shared" ref="G100" si="33">ROUND(F100*1.2,2)</f>
        <v>4491.1099999999997</v>
      </c>
    </row>
    <row r="101" spans="1:8" x14ac:dyDescent="0.3">
      <c r="A101" s="66">
        <f>A100+1</f>
        <v>28</v>
      </c>
      <c r="B101" s="67" t="s">
        <v>574</v>
      </c>
      <c r="C101" s="66" t="s">
        <v>220</v>
      </c>
      <c r="D101" s="859">
        <v>2</v>
      </c>
      <c r="E101" s="94">
        <v>13099.058279999999</v>
      </c>
      <c r="F101" s="94">
        <f t="shared" si="30"/>
        <v>26198.12</v>
      </c>
      <c r="G101" s="94">
        <f t="shared" si="31"/>
        <v>31437.74</v>
      </c>
    </row>
    <row r="102" spans="1:8" ht="27.6" x14ac:dyDescent="0.3">
      <c r="A102" s="66">
        <f t="shared" si="32"/>
        <v>29</v>
      </c>
      <c r="B102" s="67" t="s">
        <v>575</v>
      </c>
      <c r="C102" s="66" t="s">
        <v>220</v>
      </c>
      <c r="D102" s="859">
        <v>2</v>
      </c>
      <c r="E102" s="94">
        <v>992.3529000000002</v>
      </c>
      <c r="F102" s="94">
        <f t="shared" si="30"/>
        <v>1984.71</v>
      </c>
      <c r="G102" s="94">
        <f t="shared" si="31"/>
        <v>2381.65</v>
      </c>
    </row>
    <row r="103" spans="1:8" x14ac:dyDescent="0.3">
      <c r="A103" s="66">
        <f t="shared" si="32"/>
        <v>30</v>
      </c>
      <c r="B103" s="67" t="s">
        <v>560</v>
      </c>
      <c r="C103" s="74" t="s">
        <v>254</v>
      </c>
      <c r="D103" s="861">
        <f>16*0.243</f>
        <v>3.8879999999999999</v>
      </c>
      <c r="E103" s="94">
        <v>163.67379</v>
      </c>
      <c r="F103" s="94">
        <f t="shared" si="30"/>
        <v>636.36</v>
      </c>
      <c r="G103" s="94">
        <f t="shared" si="31"/>
        <v>763.63</v>
      </c>
    </row>
    <row r="104" spans="1:8" x14ac:dyDescent="0.3">
      <c r="A104" s="66">
        <f t="shared" si="32"/>
        <v>31</v>
      </c>
      <c r="B104" s="67" t="s">
        <v>562</v>
      </c>
      <c r="C104" s="74" t="s">
        <v>254</v>
      </c>
      <c r="D104" s="861">
        <f>16*0.071</f>
        <v>1.1359999999999999</v>
      </c>
      <c r="E104" s="94">
        <v>189.44919000000002</v>
      </c>
      <c r="F104" s="94">
        <f t="shared" si="30"/>
        <v>215.21</v>
      </c>
      <c r="G104" s="94">
        <f t="shared" si="31"/>
        <v>258.25</v>
      </c>
    </row>
    <row r="105" spans="1:8" x14ac:dyDescent="0.3">
      <c r="A105" s="66">
        <f t="shared" si="32"/>
        <v>32</v>
      </c>
      <c r="B105" s="67" t="s">
        <v>564</v>
      </c>
      <c r="C105" s="74" t="s">
        <v>254</v>
      </c>
      <c r="D105" s="861">
        <f>32*0.0172</f>
        <v>0.5504</v>
      </c>
      <c r="E105" s="94">
        <v>255.17646000000005</v>
      </c>
      <c r="F105" s="94">
        <f t="shared" si="30"/>
        <v>140.44999999999999</v>
      </c>
      <c r="G105" s="94">
        <f t="shared" si="31"/>
        <v>168.54</v>
      </c>
    </row>
    <row r="106" spans="1:8" x14ac:dyDescent="0.3">
      <c r="A106" s="66">
        <f t="shared" si="32"/>
        <v>33</v>
      </c>
      <c r="B106" s="67" t="s">
        <v>406</v>
      </c>
      <c r="C106" s="66" t="s">
        <v>220</v>
      </c>
      <c r="D106" s="859">
        <v>2</v>
      </c>
      <c r="E106" s="94">
        <v>42.529410000000006</v>
      </c>
      <c r="F106" s="94">
        <f t="shared" si="30"/>
        <v>85.06</v>
      </c>
      <c r="G106" s="94">
        <f t="shared" si="31"/>
        <v>102.07</v>
      </c>
    </row>
    <row r="107" spans="1:8" ht="30.75" customHeight="1" x14ac:dyDescent="0.3">
      <c r="A107" s="66">
        <f t="shared" si="32"/>
        <v>34</v>
      </c>
      <c r="B107" s="67" t="s">
        <v>576</v>
      </c>
      <c r="C107" s="66" t="s">
        <v>220</v>
      </c>
      <c r="D107" s="859">
        <v>2</v>
      </c>
      <c r="E107" s="94">
        <v>992.3529000000002</v>
      </c>
      <c r="F107" s="94">
        <f t="shared" si="30"/>
        <v>1984.71</v>
      </c>
      <c r="G107" s="94">
        <f t="shared" si="31"/>
        <v>2381.65</v>
      </c>
    </row>
    <row r="108" spans="1:8" ht="21.75" customHeight="1" x14ac:dyDescent="0.3">
      <c r="A108" s="87">
        <f t="shared" si="32"/>
        <v>35</v>
      </c>
      <c r="B108" s="233" t="s">
        <v>756</v>
      </c>
      <c r="C108" s="87" t="s">
        <v>193</v>
      </c>
      <c r="D108" s="218">
        <v>0.7</v>
      </c>
      <c r="E108" s="94">
        <v>4961.7645000000002</v>
      </c>
      <c r="F108" s="99">
        <f t="shared" si="30"/>
        <v>3473.24</v>
      </c>
      <c r="G108" s="99">
        <f t="shared" si="31"/>
        <v>4167.8900000000003</v>
      </c>
    </row>
    <row r="109" spans="1:8" ht="21.75" customHeight="1" x14ac:dyDescent="0.3">
      <c r="A109" s="649"/>
      <c r="B109" s="249"/>
      <c r="C109" s="650"/>
      <c r="D109" s="659"/>
      <c r="E109" s="673"/>
      <c r="F109" s="99">
        <f>SUM(F97:F108)</f>
        <v>142220.45999999996</v>
      </c>
      <c r="G109" s="99">
        <f t="shared" si="31"/>
        <v>170664.55</v>
      </c>
    </row>
    <row r="110" spans="1:8" ht="29.25" customHeight="1" x14ac:dyDescent="0.3">
      <c r="A110" s="149"/>
      <c r="B110" s="955" t="s">
        <v>1159</v>
      </c>
      <c r="C110" s="956"/>
      <c r="D110" s="956"/>
      <c r="E110" s="296"/>
      <c r="F110" s="152"/>
      <c r="G110" s="121"/>
      <c r="H110" s="203"/>
    </row>
    <row r="111" spans="1:8" x14ac:dyDescent="0.3">
      <c r="A111" s="591">
        <f>A108+1</f>
        <v>36</v>
      </c>
      <c r="B111" s="621" t="s">
        <v>234</v>
      </c>
      <c r="C111" s="591" t="s">
        <v>193</v>
      </c>
      <c r="D111" s="623">
        <f>12+3</f>
        <v>15</v>
      </c>
      <c r="E111" s="620">
        <v>979.00333333333299</v>
      </c>
      <c r="F111" s="620">
        <f t="shared" ref="F111:F122" si="34">ROUND(E111*D111,2)</f>
        <v>14685.05</v>
      </c>
      <c r="G111" s="620">
        <f t="shared" ref="G111:G123" si="35">ROUND(F111*1.2,2)</f>
        <v>17622.060000000001</v>
      </c>
    </row>
    <row r="112" spans="1:8" x14ac:dyDescent="0.3">
      <c r="A112" s="66">
        <f>A111+1</f>
        <v>37</v>
      </c>
      <c r="B112" s="67" t="s">
        <v>551</v>
      </c>
      <c r="C112" s="66" t="s">
        <v>194</v>
      </c>
      <c r="D112" s="859">
        <v>50</v>
      </c>
      <c r="E112" s="94">
        <v>510.3529200000001</v>
      </c>
      <c r="F112" s="94">
        <f t="shared" si="34"/>
        <v>25517.65</v>
      </c>
      <c r="G112" s="94">
        <f t="shared" si="35"/>
        <v>30621.18</v>
      </c>
    </row>
    <row r="113" spans="1:9" x14ac:dyDescent="0.3">
      <c r="A113" s="66">
        <f t="shared" ref="A113:A122" si="36">A112+1</f>
        <v>38</v>
      </c>
      <c r="B113" s="67" t="s">
        <v>553</v>
      </c>
      <c r="C113" s="66" t="s">
        <v>194</v>
      </c>
      <c r="D113" s="859">
        <v>17</v>
      </c>
      <c r="E113" s="94">
        <v>6095.8821000000007</v>
      </c>
      <c r="F113" s="94">
        <f t="shared" si="34"/>
        <v>103630</v>
      </c>
      <c r="G113" s="94">
        <f t="shared" si="35"/>
        <v>124356</v>
      </c>
    </row>
    <row r="114" spans="1:9" s="57" customFormat="1" x14ac:dyDescent="0.3">
      <c r="A114" s="87">
        <f>A113+1</f>
        <v>39</v>
      </c>
      <c r="B114" s="233" t="s">
        <v>1162</v>
      </c>
      <c r="C114" s="87" t="s">
        <v>220</v>
      </c>
      <c r="D114" s="862">
        <v>5</v>
      </c>
      <c r="E114" s="94">
        <v>1069.6791000000003</v>
      </c>
      <c r="F114" s="99">
        <f t="shared" si="34"/>
        <v>5348.4</v>
      </c>
      <c r="G114" s="99">
        <f t="shared" si="35"/>
        <v>6418.08</v>
      </c>
    </row>
    <row r="115" spans="1:9" x14ac:dyDescent="0.3">
      <c r="A115" s="66">
        <f>A113+1</f>
        <v>39</v>
      </c>
      <c r="B115" s="67" t="s">
        <v>557</v>
      </c>
      <c r="C115" s="66" t="s">
        <v>220</v>
      </c>
      <c r="D115" s="859">
        <v>2</v>
      </c>
      <c r="E115" s="94">
        <v>9356.4702000000016</v>
      </c>
      <c r="F115" s="94">
        <f t="shared" si="34"/>
        <v>18712.939999999999</v>
      </c>
      <c r="G115" s="94">
        <f t="shared" si="35"/>
        <v>22455.53</v>
      </c>
    </row>
    <row r="116" spans="1:9" x14ac:dyDescent="0.3">
      <c r="A116" s="66">
        <f t="shared" si="36"/>
        <v>40</v>
      </c>
      <c r="B116" s="67" t="s">
        <v>558</v>
      </c>
      <c r="C116" s="66" t="s">
        <v>220</v>
      </c>
      <c r="D116" s="859">
        <v>2</v>
      </c>
      <c r="E116" s="94">
        <v>793.88231999999994</v>
      </c>
      <c r="F116" s="94">
        <f t="shared" si="34"/>
        <v>1587.76</v>
      </c>
      <c r="G116" s="94">
        <f t="shared" si="35"/>
        <v>1905.31</v>
      </c>
    </row>
    <row r="117" spans="1:9" x14ac:dyDescent="0.3">
      <c r="A117" s="66">
        <f t="shared" si="36"/>
        <v>41</v>
      </c>
      <c r="B117" s="67" t="s">
        <v>577</v>
      </c>
      <c r="C117" s="74" t="s">
        <v>254</v>
      </c>
      <c r="D117" s="861">
        <f>16*0.137</f>
        <v>2.1920000000000002</v>
      </c>
      <c r="E117" s="94">
        <v>163.67379</v>
      </c>
      <c r="F117" s="94">
        <f t="shared" si="34"/>
        <v>358.77</v>
      </c>
      <c r="G117" s="94">
        <f t="shared" si="35"/>
        <v>430.52</v>
      </c>
    </row>
    <row r="118" spans="1:9" x14ac:dyDescent="0.3">
      <c r="A118" s="66">
        <f t="shared" si="36"/>
        <v>42</v>
      </c>
      <c r="B118" s="67" t="s">
        <v>405</v>
      </c>
      <c r="C118" s="74" t="s">
        <v>254</v>
      </c>
      <c r="D118" s="861">
        <f>16*0.032</f>
        <v>0.51200000000000001</v>
      </c>
      <c r="E118" s="94">
        <v>189.44919000000002</v>
      </c>
      <c r="F118" s="94">
        <f t="shared" si="34"/>
        <v>97</v>
      </c>
      <c r="G118" s="94">
        <f t="shared" si="35"/>
        <v>116.4</v>
      </c>
    </row>
    <row r="119" spans="1:9" x14ac:dyDescent="0.3">
      <c r="A119" s="66">
        <f t="shared" si="36"/>
        <v>43</v>
      </c>
      <c r="B119" s="67" t="s">
        <v>578</v>
      </c>
      <c r="C119" s="74" t="s">
        <v>254</v>
      </c>
      <c r="D119" s="861">
        <f>32*0.013</f>
        <v>0.41599999999999998</v>
      </c>
      <c r="E119" s="94">
        <v>255.17646000000005</v>
      </c>
      <c r="F119" s="94">
        <f t="shared" si="34"/>
        <v>106.15</v>
      </c>
      <c r="G119" s="94">
        <f t="shared" si="35"/>
        <v>127.38</v>
      </c>
    </row>
    <row r="120" spans="1:9" x14ac:dyDescent="0.3">
      <c r="A120" s="66">
        <f t="shared" si="36"/>
        <v>44</v>
      </c>
      <c r="B120" s="67" t="s">
        <v>565</v>
      </c>
      <c r="C120" s="74" t="s">
        <v>220</v>
      </c>
      <c r="D120" s="859">
        <v>2</v>
      </c>
      <c r="E120" s="94">
        <v>36.085560000000001</v>
      </c>
      <c r="F120" s="94">
        <f t="shared" si="34"/>
        <v>72.17</v>
      </c>
      <c r="G120" s="94">
        <f t="shared" si="35"/>
        <v>86.6</v>
      </c>
    </row>
    <row r="121" spans="1:9" ht="27.6" x14ac:dyDescent="0.3">
      <c r="A121" s="66">
        <f t="shared" si="36"/>
        <v>45</v>
      </c>
      <c r="B121" s="67" t="s">
        <v>579</v>
      </c>
      <c r="C121" s="66" t="s">
        <v>220</v>
      </c>
      <c r="D121" s="859">
        <v>2</v>
      </c>
      <c r="E121" s="94">
        <v>992.3529000000002</v>
      </c>
      <c r="F121" s="94">
        <f t="shared" si="34"/>
        <v>1984.71</v>
      </c>
      <c r="G121" s="94">
        <f t="shared" si="35"/>
        <v>2381.65</v>
      </c>
    </row>
    <row r="122" spans="1:9" ht="21.75" customHeight="1" x14ac:dyDescent="0.3">
      <c r="A122" s="87">
        <f t="shared" si="36"/>
        <v>46</v>
      </c>
      <c r="B122" s="233" t="s">
        <v>756</v>
      </c>
      <c r="C122" s="87" t="s">
        <v>193</v>
      </c>
      <c r="D122" s="862">
        <v>1.3</v>
      </c>
      <c r="E122" s="94">
        <v>4961.7645000000002</v>
      </c>
      <c r="F122" s="99">
        <f t="shared" si="34"/>
        <v>6450.29</v>
      </c>
      <c r="G122" s="99">
        <f t="shared" si="35"/>
        <v>7740.35</v>
      </c>
    </row>
    <row r="123" spans="1:9" ht="21.75" customHeight="1" x14ac:dyDescent="0.3">
      <c r="A123" s="649"/>
      <c r="B123" s="249"/>
      <c r="C123" s="650"/>
      <c r="D123" s="659"/>
      <c r="E123" s="673"/>
      <c r="F123" s="99">
        <f>SUM(F111:F122)</f>
        <v>178550.89</v>
      </c>
      <c r="G123" s="99">
        <f t="shared" si="35"/>
        <v>214261.07</v>
      </c>
    </row>
    <row r="124" spans="1:9" x14ac:dyDescent="0.3">
      <c r="A124" s="149"/>
      <c r="B124" s="957" t="s">
        <v>580</v>
      </c>
      <c r="C124" s="958"/>
      <c r="D124" s="958"/>
      <c r="E124" s="295"/>
      <c r="F124" s="152"/>
      <c r="G124" s="121"/>
    </row>
    <row r="125" spans="1:9" x14ac:dyDescent="0.3">
      <c r="A125" s="591">
        <f>A122+1</f>
        <v>47</v>
      </c>
      <c r="B125" s="621" t="s">
        <v>234</v>
      </c>
      <c r="C125" s="591" t="s">
        <v>193</v>
      </c>
      <c r="D125" s="625">
        <f>107+1964</f>
        <v>2071</v>
      </c>
      <c r="E125" s="620">
        <v>979.00333333333299</v>
      </c>
      <c r="F125" s="620">
        <f t="shared" ref="F125:F139" si="37">ROUND(E125*D125,2)</f>
        <v>2027515.9</v>
      </c>
      <c r="G125" s="620">
        <f t="shared" ref="G125:G126" si="38">ROUND(F125*1.2,2)</f>
        <v>2433019.08</v>
      </c>
      <c r="I125" s="30"/>
    </row>
    <row r="126" spans="1:9" x14ac:dyDescent="0.3">
      <c r="A126" s="591">
        <f>A125+1</f>
        <v>48</v>
      </c>
      <c r="B126" s="621" t="s">
        <v>160</v>
      </c>
      <c r="C126" s="624" t="s">
        <v>193</v>
      </c>
      <c r="D126" s="622">
        <v>7.73</v>
      </c>
      <c r="E126" s="620">
        <v>3184.5</v>
      </c>
      <c r="F126" s="620">
        <f t="shared" si="37"/>
        <v>24616.19</v>
      </c>
      <c r="G126" s="620">
        <f t="shared" si="38"/>
        <v>29539.43</v>
      </c>
      <c r="I126" s="30"/>
    </row>
    <row r="127" spans="1:9" x14ac:dyDescent="0.3">
      <c r="A127" s="591">
        <f t="shared" ref="A127:A128" si="39">A126+1</f>
        <v>49</v>
      </c>
      <c r="B127" s="621" t="s">
        <v>2166</v>
      </c>
      <c r="C127" s="631" t="s">
        <v>193</v>
      </c>
      <c r="D127" s="632">
        <v>50</v>
      </c>
      <c r="E127" s="620">
        <f>1042*1.2</f>
        <v>1250.3999999999999</v>
      </c>
      <c r="F127" s="620">
        <f t="shared" si="37"/>
        <v>62520</v>
      </c>
      <c r="G127" s="620">
        <f>ROUND(F127*1.2,2)</f>
        <v>75024</v>
      </c>
      <c r="I127" s="30"/>
    </row>
    <row r="128" spans="1:9" x14ac:dyDescent="0.3">
      <c r="A128" s="87">
        <f t="shared" si="39"/>
        <v>50</v>
      </c>
      <c r="B128" s="233" t="s">
        <v>584</v>
      </c>
      <c r="C128" s="239" t="s">
        <v>194</v>
      </c>
      <c r="D128" s="861">
        <f>242+0.9+0.86+0.96+1+0.9+1.4</f>
        <v>248.02000000000004</v>
      </c>
      <c r="E128" s="94">
        <v>5245.2939000000006</v>
      </c>
      <c r="F128" s="99">
        <f t="shared" si="37"/>
        <v>1300937.79</v>
      </c>
      <c r="G128" s="99">
        <f t="shared" ref="G128:G137" si="40">ROUND(F128*1.2,2)</f>
        <v>1561125.35</v>
      </c>
    </row>
    <row r="129" spans="1:7" x14ac:dyDescent="0.3">
      <c r="A129" s="87">
        <f t="shared" ref="A129:A139" si="41">A128+1</f>
        <v>51</v>
      </c>
      <c r="B129" s="233" t="s">
        <v>582</v>
      </c>
      <c r="C129" s="239" t="s">
        <v>194</v>
      </c>
      <c r="D129" s="859">
        <v>132</v>
      </c>
      <c r="E129" s="94">
        <v>58052.644650000009</v>
      </c>
      <c r="F129" s="99">
        <f t="shared" si="37"/>
        <v>7662949.0899999999</v>
      </c>
      <c r="G129" s="99">
        <f t="shared" si="40"/>
        <v>9195538.9100000001</v>
      </c>
    </row>
    <row r="130" spans="1:7" x14ac:dyDescent="0.3">
      <c r="A130" s="87">
        <f t="shared" si="41"/>
        <v>52</v>
      </c>
      <c r="B130" s="233" t="s">
        <v>583</v>
      </c>
      <c r="C130" s="239" t="s">
        <v>194</v>
      </c>
      <c r="D130" s="859">
        <v>31</v>
      </c>
      <c r="E130" s="94">
        <v>17153.528700000006</v>
      </c>
      <c r="F130" s="99">
        <f t="shared" si="37"/>
        <v>531759.39</v>
      </c>
      <c r="G130" s="99">
        <f t="shared" si="40"/>
        <v>638111.27</v>
      </c>
    </row>
    <row r="131" spans="1:7" s="57" customFormat="1" ht="17.25" customHeight="1" x14ac:dyDescent="0.3">
      <c r="A131" s="87">
        <f t="shared" si="41"/>
        <v>53</v>
      </c>
      <c r="B131" s="233" t="s">
        <v>1151</v>
      </c>
      <c r="C131" s="87" t="s">
        <v>220</v>
      </c>
      <c r="D131" s="859">
        <v>6</v>
      </c>
      <c r="E131" s="94">
        <v>3737.433</v>
      </c>
      <c r="F131" s="99">
        <f t="shared" si="37"/>
        <v>22424.6</v>
      </c>
      <c r="G131" s="99">
        <f t="shared" ref="G131:G134" si="42">ROUND(F131*1.2,2)</f>
        <v>26909.52</v>
      </c>
    </row>
    <row r="132" spans="1:7" s="57" customFormat="1" x14ac:dyDescent="0.3">
      <c r="A132" s="87">
        <f t="shared" si="41"/>
        <v>54</v>
      </c>
      <c r="B132" s="233" t="s">
        <v>1152</v>
      </c>
      <c r="C132" s="87" t="s">
        <v>220</v>
      </c>
      <c r="D132" s="859">
        <v>6</v>
      </c>
      <c r="E132" s="94">
        <v>28352.94</v>
      </c>
      <c r="F132" s="99">
        <f t="shared" si="37"/>
        <v>170117.64</v>
      </c>
      <c r="G132" s="99">
        <f t="shared" si="42"/>
        <v>204141.17</v>
      </c>
    </row>
    <row r="133" spans="1:7" s="57" customFormat="1" x14ac:dyDescent="0.3">
      <c r="A133" s="87">
        <f t="shared" si="41"/>
        <v>55</v>
      </c>
      <c r="B133" s="233" t="s">
        <v>1153</v>
      </c>
      <c r="C133" s="87" t="s">
        <v>220</v>
      </c>
      <c r="D133" s="859">
        <v>6</v>
      </c>
      <c r="E133" s="94">
        <v>6495.4008000000003</v>
      </c>
      <c r="F133" s="99">
        <f t="shared" si="37"/>
        <v>38972.400000000001</v>
      </c>
      <c r="G133" s="99">
        <f t="shared" si="42"/>
        <v>46766.879999999997</v>
      </c>
    </row>
    <row r="134" spans="1:7" s="57" customFormat="1" x14ac:dyDescent="0.3">
      <c r="A134" s="87">
        <f t="shared" si="41"/>
        <v>56</v>
      </c>
      <c r="B134" s="233" t="s">
        <v>1154</v>
      </c>
      <c r="C134" s="87" t="s">
        <v>220</v>
      </c>
      <c r="D134" s="859">
        <v>4</v>
      </c>
      <c r="E134" s="94">
        <v>1675.4010000000003</v>
      </c>
      <c r="F134" s="99">
        <f t="shared" si="37"/>
        <v>6701.6</v>
      </c>
      <c r="G134" s="99">
        <f t="shared" si="42"/>
        <v>8041.92</v>
      </c>
    </row>
    <row r="135" spans="1:7" s="57" customFormat="1" x14ac:dyDescent="0.3">
      <c r="A135" s="87">
        <f t="shared" ref="A135" si="43">A134+1</f>
        <v>57</v>
      </c>
      <c r="B135" s="233" t="s">
        <v>1155</v>
      </c>
      <c r="C135" s="87" t="s">
        <v>220</v>
      </c>
      <c r="D135" s="859">
        <v>2</v>
      </c>
      <c r="E135" s="94">
        <v>1417.6470000000002</v>
      </c>
      <c r="F135" s="99">
        <f t="shared" si="37"/>
        <v>2835.29</v>
      </c>
      <c r="G135" s="99">
        <f t="shared" ref="G135" si="44">ROUND(F135*1.2,2)</f>
        <v>3402.35</v>
      </c>
    </row>
    <row r="136" spans="1:7" x14ac:dyDescent="0.3">
      <c r="A136" s="87">
        <f>A130+1</f>
        <v>53</v>
      </c>
      <c r="B136" s="233" t="s">
        <v>581</v>
      </c>
      <c r="C136" s="239" t="s">
        <v>194</v>
      </c>
      <c r="D136" s="859">
        <v>14</v>
      </c>
      <c r="E136" s="94">
        <v>109158.81900000002</v>
      </c>
      <c r="F136" s="99">
        <f t="shared" si="37"/>
        <v>1528223.47</v>
      </c>
      <c r="G136" s="99">
        <f t="shared" si="40"/>
        <v>1833868.16</v>
      </c>
    </row>
    <row r="137" spans="1:7" x14ac:dyDescent="0.3">
      <c r="A137" s="87">
        <f t="shared" si="41"/>
        <v>54</v>
      </c>
      <c r="B137" s="233" t="s">
        <v>599</v>
      </c>
      <c r="C137" s="239" t="s">
        <v>194</v>
      </c>
      <c r="D137" s="859">
        <v>39</v>
      </c>
      <c r="E137" s="94">
        <v>14459.999400000001</v>
      </c>
      <c r="F137" s="99">
        <f t="shared" si="37"/>
        <v>563939.98</v>
      </c>
      <c r="G137" s="99">
        <f t="shared" si="40"/>
        <v>676727.98</v>
      </c>
    </row>
    <row r="138" spans="1:7" x14ac:dyDescent="0.3">
      <c r="A138" s="87">
        <f t="shared" si="41"/>
        <v>55</v>
      </c>
      <c r="B138" s="233" t="s">
        <v>1150</v>
      </c>
      <c r="C138" s="239" t="s">
        <v>194</v>
      </c>
      <c r="D138" s="859">
        <v>6</v>
      </c>
      <c r="E138" s="94">
        <v>14318.234700000001</v>
      </c>
      <c r="F138" s="99">
        <f t="shared" si="37"/>
        <v>85909.41</v>
      </c>
      <c r="G138" s="99">
        <f t="shared" ref="G138" si="45">ROUND(F138*1.2,2)</f>
        <v>103091.29</v>
      </c>
    </row>
    <row r="139" spans="1:7" ht="18.75" customHeight="1" x14ac:dyDescent="0.3">
      <c r="A139" s="87">
        <f t="shared" si="41"/>
        <v>56</v>
      </c>
      <c r="B139" s="233" t="s">
        <v>756</v>
      </c>
      <c r="C139" s="87" t="s">
        <v>193</v>
      </c>
      <c r="D139" s="867">
        <f>1.88+6.33</f>
        <v>8.2100000000000009</v>
      </c>
      <c r="E139" s="94">
        <v>4961.7645000000002</v>
      </c>
      <c r="F139" s="99">
        <f t="shared" si="37"/>
        <v>40736.089999999997</v>
      </c>
      <c r="G139" s="99">
        <f t="shared" ref="G139" si="46">ROUND(F139*1.2,2)</f>
        <v>48883.31</v>
      </c>
    </row>
    <row r="140" spans="1:7" ht="21.75" customHeight="1" x14ac:dyDescent="0.3">
      <c r="A140" s="87"/>
      <c r="B140" s="216" t="s">
        <v>1119</v>
      </c>
      <c r="C140" s="240"/>
      <c r="D140" s="241"/>
      <c r="E140" s="94">
        <v>0</v>
      </c>
      <c r="F140" s="99"/>
      <c r="G140" s="99"/>
    </row>
    <row r="141" spans="1:7" x14ac:dyDescent="0.3">
      <c r="A141" s="87">
        <f>A139+1</f>
        <v>57</v>
      </c>
      <c r="B141" s="233" t="s">
        <v>1120</v>
      </c>
      <c r="C141" s="87" t="s">
        <v>220</v>
      </c>
      <c r="D141" s="859">
        <v>1</v>
      </c>
      <c r="E141" s="94">
        <v>2248.9036499999997</v>
      </c>
      <c r="F141" s="99">
        <f t="shared" ref="F141:F151" si="47">ROUND(E141*D141,2)</f>
        <v>2248.9</v>
      </c>
      <c r="G141" s="99">
        <f t="shared" ref="G141:G144" si="48">ROUND(F141*1.2,2)</f>
        <v>2698.68</v>
      </c>
    </row>
    <row r="142" spans="1:7" x14ac:dyDescent="0.3">
      <c r="A142" s="87">
        <f>A141+1</f>
        <v>58</v>
      </c>
      <c r="B142" s="233" t="s">
        <v>1121</v>
      </c>
      <c r="C142" s="87" t="s">
        <v>220</v>
      </c>
      <c r="D142" s="859">
        <v>1</v>
      </c>
      <c r="E142" s="94">
        <v>1937.0213100000001</v>
      </c>
      <c r="F142" s="99">
        <f t="shared" si="47"/>
        <v>1937.02</v>
      </c>
      <c r="G142" s="99">
        <f t="shared" si="48"/>
        <v>2324.42</v>
      </c>
    </row>
    <row r="143" spans="1:7" x14ac:dyDescent="0.3">
      <c r="A143" s="87">
        <f>A142+1</f>
        <v>59</v>
      </c>
      <c r="B143" s="233" t="s">
        <v>1122</v>
      </c>
      <c r="C143" s="87" t="s">
        <v>220</v>
      </c>
      <c r="D143" s="859">
        <v>1</v>
      </c>
      <c r="E143" s="94">
        <v>3392.0426400000001</v>
      </c>
      <c r="F143" s="99">
        <f t="shared" si="47"/>
        <v>3392.04</v>
      </c>
      <c r="G143" s="99">
        <f t="shared" si="48"/>
        <v>4070.45</v>
      </c>
    </row>
    <row r="144" spans="1:7" x14ac:dyDescent="0.3">
      <c r="A144" s="87">
        <f t="shared" ref="A144:A151" si="49">A143+1</f>
        <v>60</v>
      </c>
      <c r="B144" s="233" t="s">
        <v>1123</v>
      </c>
      <c r="C144" s="87" t="s">
        <v>220</v>
      </c>
      <c r="D144" s="859">
        <v>2</v>
      </c>
      <c r="E144" s="94">
        <v>0</v>
      </c>
      <c r="F144" s="99">
        <f t="shared" si="47"/>
        <v>0</v>
      </c>
      <c r="G144" s="99">
        <f t="shared" si="48"/>
        <v>0</v>
      </c>
    </row>
    <row r="145" spans="1:7" x14ac:dyDescent="0.3">
      <c r="A145" s="87">
        <f t="shared" si="49"/>
        <v>61</v>
      </c>
      <c r="B145" s="233" t="s">
        <v>590</v>
      </c>
      <c r="C145" s="87" t="s">
        <v>220</v>
      </c>
      <c r="D145" s="863" t="s">
        <v>758</v>
      </c>
      <c r="E145" s="94">
        <v>1019.41707</v>
      </c>
      <c r="F145" s="99">
        <f t="shared" si="47"/>
        <v>1019.42</v>
      </c>
      <c r="G145" s="99">
        <f t="shared" ref="G145:G147" si="50">ROUND(F145*1.2,2)</f>
        <v>1223.3</v>
      </c>
    </row>
    <row r="146" spans="1:7" x14ac:dyDescent="0.3">
      <c r="A146" s="87">
        <f t="shared" si="49"/>
        <v>62</v>
      </c>
      <c r="B146" s="233" t="s">
        <v>591</v>
      </c>
      <c r="C146" s="87" t="s">
        <v>220</v>
      </c>
      <c r="D146" s="863" t="s">
        <v>758</v>
      </c>
      <c r="E146" s="94">
        <v>1871.2940400000005</v>
      </c>
      <c r="F146" s="99">
        <f t="shared" si="47"/>
        <v>1871.29</v>
      </c>
      <c r="G146" s="99">
        <f t="shared" si="50"/>
        <v>2245.5500000000002</v>
      </c>
    </row>
    <row r="147" spans="1:7" x14ac:dyDescent="0.3">
      <c r="A147" s="87">
        <f t="shared" si="49"/>
        <v>63</v>
      </c>
      <c r="B147" s="233" t="s">
        <v>1124</v>
      </c>
      <c r="C147" s="87" t="s">
        <v>220</v>
      </c>
      <c r="D147" s="863" t="s">
        <v>758</v>
      </c>
      <c r="E147" s="94">
        <v>19563.528600000005</v>
      </c>
      <c r="F147" s="99">
        <f t="shared" si="47"/>
        <v>19563.53</v>
      </c>
      <c r="G147" s="99">
        <f t="shared" si="50"/>
        <v>23476.240000000002</v>
      </c>
    </row>
    <row r="148" spans="1:7" s="57" customFormat="1" ht="27.6" x14ac:dyDescent="0.3">
      <c r="A148" s="87">
        <f t="shared" si="49"/>
        <v>64</v>
      </c>
      <c r="B148" s="233" t="s">
        <v>1128</v>
      </c>
      <c r="C148" s="87" t="s">
        <v>220</v>
      </c>
      <c r="D148" s="863" t="s">
        <v>758</v>
      </c>
      <c r="E148" s="94">
        <v>18446.165010000001</v>
      </c>
      <c r="F148" s="99">
        <f t="shared" si="47"/>
        <v>18446.169999999998</v>
      </c>
      <c r="G148" s="99">
        <f t="shared" ref="G148" si="51">ROUND(F148*1.2,2)</f>
        <v>22135.4</v>
      </c>
    </row>
    <row r="149" spans="1:7" ht="18" customHeight="1" x14ac:dyDescent="0.3">
      <c r="A149" s="87">
        <f t="shared" si="49"/>
        <v>65</v>
      </c>
      <c r="B149" s="233" t="s">
        <v>1125</v>
      </c>
      <c r="C149" s="87" t="s">
        <v>254</v>
      </c>
      <c r="D149" s="863" t="s">
        <v>1126</v>
      </c>
      <c r="E149" s="94">
        <v>904.71654000000001</v>
      </c>
      <c r="F149" s="99">
        <f t="shared" si="47"/>
        <v>14656.41</v>
      </c>
      <c r="G149" s="99">
        <f t="shared" ref="G149:G151" si="52">ROUND(F149*1.2,2)</f>
        <v>17587.689999999999</v>
      </c>
    </row>
    <row r="150" spans="1:7" x14ac:dyDescent="0.3">
      <c r="A150" s="87">
        <f t="shared" si="49"/>
        <v>66</v>
      </c>
      <c r="B150" s="233" t="s">
        <v>595</v>
      </c>
      <c r="C150" s="87" t="s">
        <v>387</v>
      </c>
      <c r="D150" s="868">
        <f>6.38*20/16</f>
        <v>7.9749999999999996</v>
      </c>
      <c r="E150" s="94">
        <v>322.1925</v>
      </c>
      <c r="F150" s="99">
        <f t="shared" si="47"/>
        <v>2569.4899999999998</v>
      </c>
      <c r="G150" s="99">
        <f t="shared" si="52"/>
        <v>3083.39</v>
      </c>
    </row>
    <row r="151" spans="1:7" x14ac:dyDescent="0.3">
      <c r="A151" s="87">
        <f t="shared" si="49"/>
        <v>67</v>
      </c>
      <c r="B151" s="233" t="s">
        <v>388</v>
      </c>
      <c r="C151" s="87" t="s">
        <v>254</v>
      </c>
      <c r="D151" s="863" t="s">
        <v>1127</v>
      </c>
      <c r="E151" s="94">
        <v>402.09624000000002</v>
      </c>
      <c r="F151" s="99">
        <f t="shared" si="47"/>
        <v>14648.37</v>
      </c>
      <c r="G151" s="99">
        <f t="shared" si="52"/>
        <v>17578.04</v>
      </c>
    </row>
    <row r="152" spans="1:7" ht="27.6" x14ac:dyDescent="0.3">
      <c r="A152" s="87"/>
      <c r="B152" s="85" t="s">
        <v>1083</v>
      </c>
      <c r="C152" s="87"/>
      <c r="D152" s="863"/>
      <c r="E152" s="94">
        <v>0</v>
      </c>
      <c r="F152" s="99"/>
      <c r="G152" s="99"/>
    </row>
    <row r="153" spans="1:7" x14ac:dyDescent="0.3">
      <c r="A153" s="87">
        <f>A151+1</f>
        <v>68</v>
      </c>
      <c r="B153" s="233" t="s">
        <v>1120</v>
      </c>
      <c r="C153" s="87" t="s">
        <v>220</v>
      </c>
      <c r="D153" s="859">
        <v>4</v>
      </c>
      <c r="E153" s="94">
        <v>2248.9036499999997</v>
      </c>
      <c r="F153" s="99">
        <f t="shared" ref="F153:F170" si="53">ROUND(E153*D153,2)</f>
        <v>8995.61</v>
      </c>
      <c r="G153" s="99">
        <f t="shared" ref="G153:G170" si="54">ROUND(F153*1.2,2)</f>
        <v>10794.73</v>
      </c>
    </row>
    <row r="154" spans="1:7" x14ac:dyDescent="0.3">
      <c r="A154" s="87">
        <f>A153+1</f>
        <v>69</v>
      </c>
      <c r="B154" s="233" t="s">
        <v>1121</v>
      </c>
      <c r="C154" s="87" t="s">
        <v>220</v>
      </c>
      <c r="D154" s="859">
        <v>5</v>
      </c>
      <c r="E154" s="94">
        <v>1937.0213100000001</v>
      </c>
      <c r="F154" s="99">
        <f t="shared" si="53"/>
        <v>9685.11</v>
      </c>
      <c r="G154" s="99">
        <f t="shared" si="54"/>
        <v>11622.13</v>
      </c>
    </row>
    <row r="155" spans="1:7" x14ac:dyDescent="0.3">
      <c r="A155" s="87">
        <f t="shared" ref="A155:A170" si="55">A154+1</f>
        <v>70</v>
      </c>
      <c r="B155" s="233" t="s">
        <v>1122</v>
      </c>
      <c r="C155" s="87" t="s">
        <v>220</v>
      </c>
      <c r="D155" s="859">
        <v>7</v>
      </c>
      <c r="E155" s="94">
        <v>3392.0426400000001</v>
      </c>
      <c r="F155" s="99">
        <f t="shared" si="53"/>
        <v>23744.3</v>
      </c>
      <c r="G155" s="99">
        <f t="shared" si="54"/>
        <v>28493.16</v>
      </c>
    </row>
    <row r="156" spans="1:7" s="57" customFormat="1" x14ac:dyDescent="0.3">
      <c r="A156" s="87">
        <f t="shared" si="55"/>
        <v>71</v>
      </c>
      <c r="B156" s="233" t="s">
        <v>1123</v>
      </c>
      <c r="C156" s="87" t="s">
        <v>220</v>
      </c>
      <c r="D156" s="859">
        <v>2</v>
      </c>
      <c r="E156" s="94">
        <v>1933.155</v>
      </c>
      <c r="F156" s="99">
        <f t="shared" si="53"/>
        <v>3866.31</v>
      </c>
      <c r="G156" s="99">
        <f t="shared" si="54"/>
        <v>4639.57</v>
      </c>
    </row>
    <row r="157" spans="1:7" x14ac:dyDescent="0.3">
      <c r="A157" s="87">
        <f t="shared" si="55"/>
        <v>72</v>
      </c>
      <c r="B157" s="233" t="s">
        <v>757</v>
      </c>
      <c r="C157" s="87" t="s">
        <v>220</v>
      </c>
      <c r="D157" s="859">
        <v>10</v>
      </c>
      <c r="E157" s="94">
        <v>5883.2350500000002</v>
      </c>
      <c r="F157" s="99">
        <f t="shared" si="53"/>
        <v>58832.35</v>
      </c>
      <c r="G157" s="99">
        <f t="shared" ref="G157:G160" si="56">ROUND(F157*1.2,2)</f>
        <v>70598.820000000007</v>
      </c>
    </row>
    <row r="158" spans="1:7" x14ac:dyDescent="0.3">
      <c r="A158" s="87">
        <f t="shared" si="55"/>
        <v>73</v>
      </c>
      <c r="B158" s="233" t="s">
        <v>1129</v>
      </c>
      <c r="C158" s="87" t="s">
        <v>220</v>
      </c>
      <c r="D158" s="859">
        <v>5</v>
      </c>
      <c r="E158" s="94">
        <v>5528.8233</v>
      </c>
      <c r="F158" s="99">
        <f t="shared" si="53"/>
        <v>27644.12</v>
      </c>
      <c r="G158" s="99">
        <f t="shared" si="56"/>
        <v>33172.94</v>
      </c>
    </row>
    <row r="159" spans="1:7" x14ac:dyDescent="0.3">
      <c r="A159" s="87">
        <f t="shared" si="55"/>
        <v>74</v>
      </c>
      <c r="B159" s="233" t="s">
        <v>1130</v>
      </c>
      <c r="C159" s="87" t="s">
        <v>220</v>
      </c>
      <c r="D159" s="859">
        <v>15</v>
      </c>
      <c r="E159" s="94">
        <v>6521.1762000000008</v>
      </c>
      <c r="F159" s="99">
        <f t="shared" si="53"/>
        <v>97817.64</v>
      </c>
      <c r="G159" s="99">
        <f t="shared" si="56"/>
        <v>117381.17</v>
      </c>
    </row>
    <row r="160" spans="1:7" x14ac:dyDescent="0.3">
      <c r="A160" s="87">
        <f t="shared" si="55"/>
        <v>75</v>
      </c>
      <c r="B160" s="233" t="s">
        <v>1131</v>
      </c>
      <c r="C160" s="87" t="s">
        <v>220</v>
      </c>
      <c r="D160" s="859">
        <v>2</v>
      </c>
      <c r="E160" s="94">
        <v>5245.2939000000006</v>
      </c>
      <c r="F160" s="99">
        <f t="shared" si="53"/>
        <v>10490.59</v>
      </c>
      <c r="G160" s="99">
        <f t="shared" si="56"/>
        <v>12588.71</v>
      </c>
    </row>
    <row r="161" spans="1:7" x14ac:dyDescent="0.3">
      <c r="A161" s="87">
        <f t="shared" si="55"/>
        <v>76</v>
      </c>
      <c r="B161" s="233" t="s">
        <v>590</v>
      </c>
      <c r="C161" s="87" t="s">
        <v>220</v>
      </c>
      <c r="D161" s="863" t="s">
        <v>1132</v>
      </c>
      <c r="E161" s="94">
        <v>1019.41707</v>
      </c>
      <c r="F161" s="99">
        <f t="shared" si="53"/>
        <v>19368.919999999998</v>
      </c>
      <c r="G161" s="99">
        <f t="shared" si="54"/>
        <v>23242.7</v>
      </c>
    </row>
    <row r="162" spans="1:7" x14ac:dyDescent="0.3">
      <c r="A162" s="87">
        <f t="shared" si="55"/>
        <v>77</v>
      </c>
      <c r="B162" s="233" t="s">
        <v>591</v>
      </c>
      <c r="C162" s="87" t="s">
        <v>220</v>
      </c>
      <c r="D162" s="863" t="s">
        <v>758</v>
      </c>
      <c r="E162" s="94">
        <v>1871.2940400000005</v>
      </c>
      <c r="F162" s="99">
        <f t="shared" si="53"/>
        <v>1871.29</v>
      </c>
      <c r="G162" s="99">
        <f t="shared" si="54"/>
        <v>2245.5500000000002</v>
      </c>
    </row>
    <row r="163" spans="1:7" x14ac:dyDescent="0.3">
      <c r="A163" s="87">
        <f t="shared" si="55"/>
        <v>78</v>
      </c>
      <c r="B163" s="233" t="s">
        <v>1124</v>
      </c>
      <c r="C163" s="87" t="s">
        <v>220</v>
      </c>
      <c r="D163" s="863" t="s">
        <v>600</v>
      </c>
      <c r="E163" s="94">
        <v>19563.528600000005</v>
      </c>
      <c r="F163" s="99">
        <f t="shared" si="53"/>
        <v>195635.29</v>
      </c>
      <c r="G163" s="99">
        <f t="shared" si="54"/>
        <v>234762.35</v>
      </c>
    </row>
    <row r="164" spans="1:7" s="57" customFormat="1" ht="27.6" x14ac:dyDescent="0.3">
      <c r="A164" s="87">
        <f t="shared" si="55"/>
        <v>79</v>
      </c>
      <c r="B164" s="233" t="s">
        <v>1133</v>
      </c>
      <c r="C164" s="87" t="s">
        <v>220</v>
      </c>
      <c r="D164" s="863" t="s">
        <v>834</v>
      </c>
      <c r="E164" s="94">
        <v>3609.8447699999997</v>
      </c>
      <c r="F164" s="99">
        <f t="shared" si="53"/>
        <v>54147.67</v>
      </c>
      <c r="G164" s="99">
        <f t="shared" si="54"/>
        <v>64977.2</v>
      </c>
    </row>
    <row r="165" spans="1:7" ht="21.75" customHeight="1" x14ac:dyDescent="0.3">
      <c r="A165" s="87">
        <f t="shared" si="55"/>
        <v>80</v>
      </c>
      <c r="B165" s="233" t="s">
        <v>1125</v>
      </c>
      <c r="C165" s="87" t="s">
        <v>254</v>
      </c>
      <c r="D165" s="863" t="s">
        <v>1137</v>
      </c>
      <c r="E165" s="94">
        <v>904.71654000000001</v>
      </c>
      <c r="F165" s="99">
        <f t="shared" si="53"/>
        <v>29312.82</v>
      </c>
      <c r="G165" s="99">
        <f t="shared" si="54"/>
        <v>35175.379999999997</v>
      </c>
    </row>
    <row r="166" spans="1:7" ht="21.75" customHeight="1" x14ac:dyDescent="0.3">
      <c r="A166" s="87">
        <f t="shared" si="55"/>
        <v>81</v>
      </c>
      <c r="B166" s="233" t="s">
        <v>1134</v>
      </c>
      <c r="C166" s="87" t="s">
        <v>254</v>
      </c>
      <c r="D166" s="863" t="s">
        <v>1138</v>
      </c>
      <c r="E166" s="94">
        <v>904.71654000000001</v>
      </c>
      <c r="F166" s="99">
        <f t="shared" si="53"/>
        <v>35283.949999999997</v>
      </c>
      <c r="G166" s="99">
        <f t="shared" si="54"/>
        <v>42340.74</v>
      </c>
    </row>
    <row r="167" spans="1:7" ht="21.75" customHeight="1" x14ac:dyDescent="0.3">
      <c r="A167" s="87">
        <f t="shared" si="55"/>
        <v>82</v>
      </c>
      <c r="B167" s="233" t="s">
        <v>1135</v>
      </c>
      <c r="C167" s="87" t="s">
        <v>254</v>
      </c>
      <c r="D167" s="863" t="s">
        <v>1139</v>
      </c>
      <c r="E167" s="94">
        <v>904.71654000000001</v>
      </c>
      <c r="F167" s="99">
        <f t="shared" si="53"/>
        <v>7056.79</v>
      </c>
      <c r="G167" s="99">
        <f t="shared" si="54"/>
        <v>8468.15</v>
      </c>
    </row>
    <row r="168" spans="1:7" ht="21.75" customHeight="1" x14ac:dyDescent="0.3">
      <c r="A168" s="87">
        <f t="shared" si="55"/>
        <v>83</v>
      </c>
      <c r="B168" s="233" t="s">
        <v>1136</v>
      </c>
      <c r="C168" s="87" t="s">
        <v>254</v>
      </c>
      <c r="D168" s="863" t="s">
        <v>1140</v>
      </c>
      <c r="E168" s="94">
        <v>904.71654000000001</v>
      </c>
      <c r="F168" s="99">
        <f t="shared" si="53"/>
        <v>105851.84</v>
      </c>
      <c r="G168" s="99">
        <f t="shared" si="54"/>
        <v>127022.21</v>
      </c>
    </row>
    <row r="169" spans="1:7" x14ac:dyDescent="0.3">
      <c r="A169" s="87">
        <f t="shared" si="55"/>
        <v>84</v>
      </c>
      <c r="B169" s="233" t="s">
        <v>595</v>
      </c>
      <c r="C169" s="87" t="s">
        <v>387</v>
      </c>
      <c r="D169" s="868">
        <f>51*20/16</f>
        <v>63.75</v>
      </c>
      <c r="E169" s="94">
        <v>322.1925</v>
      </c>
      <c r="F169" s="99">
        <f t="shared" si="53"/>
        <v>20539.77</v>
      </c>
      <c r="G169" s="99">
        <f t="shared" si="54"/>
        <v>24647.72</v>
      </c>
    </row>
    <row r="170" spans="1:7" x14ac:dyDescent="0.3">
      <c r="A170" s="87">
        <f t="shared" si="55"/>
        <v>85</v>
      </c>
      <c r="B170" s="233" t="s">
        <v>388</v>
      </c>
      <c r="C170" s="87" t="s">
        <v>254</v>
      </c>
      <c r="D170" s="863" t="s">
        <v>1141</v>
      </c>
      <c r="E170" s="94">
        <v>402.09624000000002</v>
      </c>
      <c r="F170" s="99">
        <f t="shared" si="53"/>
        <v>116607.91</v>
      </c>
      <c r="G170" s="99">
        <f t="shared" si="54"/>
        <v>139929.49</v>
      </c>
    </row>
    <row r="171" spans="1:7" ht="30" customHeight="1" x14ac:dyDescent="0.3">
      <c r="A171" s="87"/>
      <c r="B171" s="85" t="s">
        <v>1099</v>
      </c>
      <c r="C171" s="87"/>
      <c r="D171" s="863"/>
      <c r="E171" s="94">
        <v>0</v>
      </c>
      <c r="F171" s="99"/>
      <c r="G171" s="99"/>
    </row>
    <row r="172" spans="1:7" x14ac:dyDescent="0.3">
      <c r="A172" s="87">
        <f>A170+1</f>
        <v>86</v>
      </c>
      <c r="B172" s="233" t="s">
        <v>1120</v>
      </c>
      <c r="C172" s="87" t="s">
        <v>220</v>
      </c>
      <c r="D172" s="859">
        <v>2</v>
      </c>
      <c r="E172" s="94">
        <v>2248.9036499999997</v>
      </c>
      <c r="F172" s="99">
        <f t="shared" ref="F172:F177" si="57">ROUND(E172*D172,2)</f>
        <v>4497.8100000000004</v>
      </c>
      <c r="G172" s="99">
        <f t="shared" ref="G172:G174" si="58">ROUND(F172*1.2,2)</f>
        <v>5397.37</v>
      </c>
    </row>
    <row r="173" spans="1:7" ht="18.75" customHeight="1" x14ac:dyDescent="0.3">
      <c r="A173" s="87">
        <f>A172+1</f>
        <v>87</v>
      </c>
      <c r="B173" s="233" t="s">
        <v>1121</v>
      </c>
      <c r="C173" s="87" t="s">
        <v>220</v>
      </c>
      <c r="D173" s="859">
        <v>2</v>
      </c>
      <c r="E173" s="94">
        <v>1937.0213100000001</v>
      </c>
      <c r="F173" s="99">
        <f t="shared" si="57"/>
        <v>3874.04</v>
      </c>
      <c r="G173" s="99">
        <f t="shared" si="58"/>
        <v>4648.8500000000004</v>
      </c>
    </row>
    <row r="174" spans="1:7" ht="15.75" customHeight="1" x14ac:dyDescent="0.3">
      <c r="A174" s="87">
        <f>A173+1</f>
        <v>88</v>
      </c>
      <c r="B174" s="233" t="s">
        <v>1122</v>
      </c>
      <c r="C174" s="87" t="s">
        <v>220</v>
      </c>
      <c r="D174" s="859">
        <v>2</v>
      </c>
      <c r="E174" s="94">
        <v>3392.0426400000001</v>
      </c>
      <c r="F174" s="99">
        <f t="shared" si="57"/>
        <v>6784.09</v>
      </c>
      <c r="G174" s="99">
        <f t="shared" si="58"/>
        <v>8140.91</v>
      </c>
    </row>
    <row r="175" spans="1:7" s="57" customFormat="1" ht="20.25" customHeight="1" x14ac:dyDescent="0.3">
      <c r="A175" s="87">
        <f>A174+1</f>
        <v>89</v>
      </c>
      <c r="B175" s="233" t="s">
        <v>1142</v>
      </c>
      <c r="C175" s="87" t="s">
        <v>220</v>
      </c>
      <c r="D175" s="863" t="s">
        <v>761</v>
      </c>
      <c r="E175" s="94">
        <v>8041.9248000000007</v>
      </c>
      <c r="F175" s="99">
        <f t="shared" si="57"/>
        <v>16083.85</v>
      </c>
      <c r="G175" s="99">
        <f t="shared" ref="G175:G177" si="59">ROUND(F175*1.2,2)</f>
        <v>19300.62</v>
      </c>
    </row>
    <row r="176" spans="1:7" ht="15.75" customHeight="1" x14ac:dyDescent="0.3">
      <c r="A176" s="87">
        <f t="shared" ref="A176:A177" si="60">A175+1</f>
        <v>90</v>
      </c>
      <c r="B176" s="233" t="s">
        <v>595</v>
      </c>
      <c r="C176" s="87" t="s">
        <v>387</v>
      </c>
      <c r="D176" s="869">
        <f>5.49*20/16</f>
        <v>6.8625000000000007</v>
      </c>
      <c r="E176" s="94">
        <v>322.1925</v>
      </c>
      <c r="F176" s="99">
        <f t="shared" si="57"/>
        <v>2211.0500000000002</v>
      </c>
      <c r="G176" s="99">
        <f t="shared" si="59"/>
        <v>2653.26</v>
      </c>
    </row>
    <row r="177" spans="1:7" ht="18" customHeight="1" x14ac:dyDescent="0.3">
      <c r="A177" s="87">
        <f t="shared" si="60"/>
        <v>91</v>
      </c>
      <c r="B177" s="233" t="s">
        <v>388</v>
      </c>
      <c r="C177" s="87" t="s">
        <v>254</v>
      </c>
      <c r="D177" s="863" t="s">
        <v>1143</v>
      </c>
      <c r="E177" s="94">
        <v>402.09624000000002</v>
      </c>
      <c r="F177" s="99">
        <f t="shared" si="57"/>
        <v>12625.82</v>
      </c>
      <c r="G177" s="99">
        <f t="shared" si="59"/>
        <v>15150.98</v>
      </c>
    </row>
    <row r="178" spans="1:7" s="202" customFormat="1" ht="23.25" customHeight="1" x14ac:dyDescent="0.3">
      <c r="A178" s="823"/>
      <c r="B178" s="824" t="s">
        <v>1101</v>
      </c>
      <c r="C178" s="823"/>
      <c r="D178" s="870"/>
      <c r="E178" s="842">
        <v>0</v>
      </c>
      <c r="F178" s="831"/>
      <c r="G178" s="831"/>
    </row>
    <row r="179" spans="1:7" s="202" customFormat="1" ht="15.75" customHeight="1" x14ac:dyDescent="0.3">
      <c r="A179" s="823">
        <f>A177+1</f>
        <v>92</v>
      </c>
      <c r="B179" s="829" t="s">
        <v>585</v>
      </c>
      <c r="C179" s="823" t="s">
        <v>220</v>
      </c>
      <c r="D179" s="870" t="s">
        <v>761</v>
      </c>
      <c r="E179" s="842">
        <v>13858.143810000001</v>
      </c>
      <c r="F179" s="831">
        <f t="shared" ref="F179:F190" si="61">ROUND(E179*D179,2)</f>
        <v>27716.29</v>
      </c>
      <c r="G179" s="831">
        <f t="shared" ref="G179:G190" si="62">ROUND(F179*1.2,2)</f>
        <v>33259.550000000003</v>
      </c>
    </row>
    <row r="180" spans="1:7" s="202" customFormat="1" ht="15.75" customHeight="1" x14ac:dyDescent="0.3">
      <c r="A180" s="823">
        <f>A179+1</f>
        <v>93</v>
      </c>
      <c r="B180" s="829" t="s">
        <v>587</v>
      </c>
      <c r="C180" s="823" t="s">
        <v>220</v>
      </c>
      <c r="D180" s="870" t="s">
        <v>586</v>
      </c>
      <c r="E180" s="842">
        <v>14672.646450000004</v>
      </c>
      <c r="F180" s="831">
        <f t="shared" si="61"/>
        <v>58690.59</v>
      </c>
      <c r="G180" s="831">
        <f t="shared" si="62"/>
        <v>70428.710000000006</v>
      </c>
    </row>
    <row r="181" spans="1:7" s="202" customFormat="1" ht="15.75" customHeight="1" x14ac:dyDescent="0.3">
      <c r="A181" s="823">
        <f t="shared" ref="A181:A190" si="63">A180+1</f>
        <v>94</v>
      </c>
      <c r="B181" s="829" t="s">
        <v>588</v>
      </c>
      <c r="C181" s="823" t="s">
        <v>220</v>
      </c>
      <c r="D181" s="870" t="s">
        <v>1144</v>
      </c>
      <c r="E181" s="842">
        <v>14184.20262</v>
      </c>
      <c r="F181" s="831">
        <f t="shared" si="61"/>
        <v>42552.61</v>
      </c>
      <c r="G181" s="831">
        <f t="shared" si="62"/>
        <v>51063.13</v>
      </c>
    </row>
    <row r="182" spans="1:7" s="202" customFormat="1" ht="15.75" customHeight="1" x14ac:dyDescent="0.3">
      <c r="A182" s="823">
        <f t="shared" si="63"/>
        <v>95</v>
      </c>
      <c r="B182" s="829" t="s">
        <v>589</v>
      </c>
      <c r="C182" s="823" t="s">
        <v>220</v>
      </c>
      <c r="D182" s="870" t="s">
        <v>758</v>
      </c>
      <c r="E182" s="842">
        <v>13206.02619</v>
      </c>
      <c r="F182" s="831">
        <f t="shared" si="61"/>
        <v>13206.03</v>
      </c>
      <c r="G182" s="831">
        <f t="shared" si="62"/>
        <v>15847.24</v>
      </c>
    </row>
    <row r="183" spans="1:7" s="202" customFormat="1" ht="15.75" customHeight="1" x14ac:dyDescent="0.3">
      <c r="A183" s="823">
        <f t="shared" si="63"/>
        <v>96</v>
      </c>
      <c r="B183" s="829" t="s">
        <v>590</v>
      </c>
      <c r="C183" s="823" t="s">
        <v>220</v>
      </c>
      <c r="D183" s="870" t="s">
        <v>777</v>
      </c>
      <c r="E183" s="842">
        <v>7989.0852299999997</v>
      </c>
      <c r="F183" s="831">
        <f t="shared" si="61"/>
        <v>47934.51</v>
      </c>
      <c r="G183" s="831">
        <f t="shared" si="62"/>
        <v>57521.41</v>
      </c>
    </row>
    <row r="184" spans="1:7" s="202" customFormat="1" ht="15.75" customHeight="1" x14ac:dyDescent="0.3">
      <c r="A184" s="823">
        <f t="shared" si="63"/>
        <v>97</v>
      </c>
      <c r="B184" s="829" t="s">
        <v>1124</v>
      </c>
      <c r="C184" s="823" t="s">
        <v>220</v>
      </c>
      <c r="D184" s="870" t="s">
        <v>586</v>
      </c>
      <c r="E184" s="842">
        <v>19563.528600000005</v>
      </c>
      <c r="F184" s="831">
        <f t="shared" si="61"/>
        <v>78254.11</v>
      </c>
      <c r="G184" s="831">
        <f t="shared" si="62"/>
        <v>93904.93</v>
      </c>
    </row>
    <row r="185" spans="1:7" s="202" customFormat="1" ht="19.5" customHeight="1" x14ac:dyDescent="0.3">
      <c r="A185" s="823">
        <f t="shared" si="63"/>
        <v>98</v>
      </c>
      <c r="B185" s="829" t="s">
        <v>1145</v>
      </c>
      <c r="C185" s="823" t="s">
        <v>254</v>
      </c>
      <c r="D185" s="870" t="s">
        <v>1146</v>
      </c>
      <c r="E185" s="842">
        <v>904.71654000000001</v>
      </c>
      <c r="F185" s="831">
        <f t="shared" si="61"/>
        <v>8775.75</v>
      </c>
      <c r="G185" s="831">
        <f t="shared" si="62"/>
        <v>10530.9</v>
      </c>
    </row>
    <row r="186" spans="1:7" s="202" customFormat="1" ht="19.5" customHeight="1" x14ac:dyDescent="0.3">
      <c r="A186" s="823">
        <f t="shared" si="63"/>
        <v>99</v>
      </c>
      <c r="B186" s="829" t="s">
        <v>1125</v>
      </c>
      <c r="C186" s="823" t="s">
        <v>254</v>
      </c>
      <c r="D186" s="870" t="s">
        <v>1126</v>
      </c>
      <c r="E186" s="842">
        <v>904.71654000000001</v>
      </c>
      <c r="F186" s="831">
        <f t="shared" si="61"/>
        <v>14656.41</v>
      </c>
      <c r="G186" s="831">
        <f t="shared" si="62"/>
        <v>17587.689999999999</v>
      </c>
    </row>
    <row r="187" spans="1:7" s="202" customFormat="1" ht="19.5" customHeight="1" x14ac:dyDescent="0.3">
      <c r="A187" s="823">
        <f t="shared" si="63"/>
        <v>100</v>
      </c>
      <c r="B187" s="829" t="s">
        <v>1134</v>
      </c>
      <c r="C187" s="823" t="s">
        <v>254</v>
      </c>
      <c r="D187" s="870" t="s">
        <v>1138</v>
      </c>
      <c r="E187" s="842">
        <v>904.71654000000001</v>
      </c>
      <c r="F187" s="831">
        <f t="shared" si="61"/>
        <v>35283.949999999997</v>
      </c>
      <c r="G187" s="831">
        <f t="shared" si="62"/>
        <v>42340.74</v>
      </c>
    </row>
    <row r="188" spans="1:7" s="257" customFormat="1" ht="27.6" x14ac:dyDescent="0.3">
      <c r="A188" s="823">
        <f t="shared" si="63"/>
        <v>101</v>
      </c>
      <c r="B188" s="829" t="s">
        <v>1147</v>
      </c>
      <c r="C188" s="823" t="s">
        <v>220</v>
      </c>
      <c r="D188" s="860">
        <v>2</v>
      </c>
      <c r="E188" s="842">
        <v>22656.576600000004</v>
      </c>
      <c r="F188" s="831">
        <f t="shared" si="61"/>
        <v>45313.15</v>
      </c>
      <c r="G188" s="831">
        <f t="shared" si="62"/>
        <v>54375.78</v>
      </c>
    </row>
    <row r="189" spans="1:7" s="202" customFormat="1" ht="18.75" customHeight="1" x14ac:dyDescent="0.3">
      <c r="A189" s="823">
        <f t="shared" si="63"/>
        <v>102</v>
      </c>
      <c r="B189" s="829" t="s">
        <v>595</v>
      </c>
      <c r="C189" s="823" t="s">
        <v>387</v>
      </c>
      <c r="D189" s="871">
        <f>25.5*20/16</f>
        <v>31.875</v>
      </c>
      <c r="E189" s="842">
        <v>322.1925</v>
      </c>
      <c r="F189" s="831">
        <f t="shared" si="61"/>
        <v>10269.89</v>
      </c>
      <c r="G189" s="831">
        <f t="shared" si="62"/>
        <v>12323.87</v>
      </c>
    </row>
    <row r="190" spans="1:7" s="202" customFormat="1" ht="18.75" customHeight="1" x14ac:dyDescent="0.3">
      <c r="A190" s="823">
        <f t="shared" si="63"/>
        <v>103</v>
      </c>
      <c r="B190" s="829" t="s">
        <v>388</v>
      </c>
      <c r="C190" s="823" t="s">
        <v>254</v>
      </c>
      <c r="D190" s="870" t="s">
        <v>597</v>
      </c>
      <c r="E190" s="842">
        <v>402.09624000000002</v>
      </c>
      <c r="F190" s="831">
        <f t="shared" si="61"/>
        <v>58585.42</v>
      </c>
      <c r="G190" s="831">
        <f t="shared" si="62"/>
        <v>70302.5</v>
      </c>
    </row>
    <row r="191" spans="1:7" ht="19.5" customHeight="1" x14ac:dyDescent="0.3">
      <c r="A191" s="87"/>
      <c r="B191" s="85" t="s">
        <v>1111</v>
      </c>
      <c r="C191" s="87"/>
      <c r="D191" s="863"/>
      <c r="E191" s="94">
        <v>0</v>
      </c>
      <c r="F191" s="99"/>
      <c r="G191" s="99"/>
    </row>
    <row r="192" spans="1:7" ht="19.5" customHeight="1" x14ac:dyDescent="0.3">
      <c r="A192" s="87">
        <f>A190+1</f>
        <v>104</v>
      </c>
      <c r="B192" s="233" t="s">
        <v>587</v>
      </c>
      <c r="C192" s="87" t="s">
        <v>220</v>
      </c>
      <c r="D192" s="863" t="s">
        <v>761</v>
      </c>
      <c r="E192" s="94">
        <v>14672.646450000004</v>
      </c>
      <c r="F192" s="99">
        <f t="shared" ref="F192:F198" si="64">ROUND(E192*D192,2)</f>
        <v>29345.29</v>
      </c>
      <c r="G192" s="99">
        <f t="shared" ref="G192:G199" si="65">ROUND(F192*1.2,2)</f>
        <v>35214.35</v>
      </c>
    </row>
    <row r="193" spans="1:8" x14ac:dyDescent="0.3">
      <c r="A193" s="87">
        <f>A192+1</f>
        <v>105</v>
      </c>
      <c r="B193" s="233" t="s">
        <v>590</v>
      </c>
      <c r="C193" s="87" t="s">
        <v>220</v>
      </c>
      <c r="D193" s="863" t="s">
        <v>761</v>
      </c>
      <c r="E193" s="94">
        <v>7989.0852299999997</v>
      </c>
      <c r="F193" s="99">
        <f t="shared" si="64"/>
        <v>15978.17</v>
      </c>
      <c r="G193" s="99">
        <f t="shared" si="65"/>
        <v>19173.8</v>
      </c>
    </row>
    <row r="194" spans="1:8" x14ac:dyDescent="0.3">
      <c r="A194" s="87">
        <f t="shared" ref="A194:A198" si="66">A193+1</f>
        <v>106</v>
      </c>
      <c r="B194" s="233" t="s">
        <v>1124</v>
      </c>
      <c r="C194" s="87" t="s">
        <v>220</v>
      </c>
      <c r="D194" s="863" t="s">
        <v>761</v>
      </c>
      <c r="E194" s="94">
        <v>19563.528600000005</v>
      </c>
      <c r="F194" s="99">
        <f t="shared" si="64"/>
        <v>39127.06</v>
      </c>
      <c r="G194" s="99">
        <f t="shared" si="65"/>
        <v>46952.47</v>
      </c>
    </row>
    <row r="195" spans="1:8" s="57" customFormat="1" ht="27.6" x14ac:dyDescent="0.3">
      <c r="A195" s="87">
        <f t="shared" si="66"/>
        <v>107</v>
      </c>
      <c r="B195" s="233" t="s">
        <v>1148</v>
      </c>
      <c r="C195" s="87" t="s">
        <v>220</v>
      </c>
      <c r="D195" s="859">
        <v>2</v>
      </c>
      <c r="E195" s="94">
        <v>18446.165010000001</v>
      </c>
      <c r="F195" s="99">
        <f t="shared" si="64"/>
        <v>36892.33</v>
      </c>
      <c r="G195" s="99">
        <f t="shared" si="65"/>
        <v>44270.8</v>
      </c>
    </row>
    <row r="196" spans="1:8" ht="20.25" customHeight="1" x14ac:dyDescent="0.3">
      <c r="A196" s="87">
        <f t="shared" si="66"/>
        <v>108</v>
      </c>
      <c r="B196" s="233" t="s">
        <v>1134</v>
      </c>
      <c r="C196" s="87" t="s">
        <v>254</v>
      </c>
      <c r="D196" s="863" t="s">
        <v>1149</v>
      </c>
      <c r="E196" s="94">
        <v>904.71654000000001</v>
      </c>
      <c r="F196" s="99">
        <f t="shared" si="64"/>
        <v>17641.97</v>
      </c>
      <c r="G196" s="99">
        <f t="shared" si="65"/>
        <v>21170.36</v>
      </c>
    </row>
    <row r="197" spans="1:8" x14ac:dyDescent="0.3">
      <c r="A197" s="87">
        <f t="shared" si="66"/>
        <v>109</v>
      </c>
      <c r="B197" s="233" t="s">
        <v>595</v>
      </c>
      <c r="C197" s="87" t="s">
        <v>387</v>
      </c>
      <c r="D197" s="869">
        <f>6.38*20/16</f>
        <v>7.9749999999999996</v>
      </c>
      <c r="E197" s="94">
        <v>322.1925</v>
      </c>
      <c r="F197" s="99">
        <f t="shared" si="64"/>
        <v>2569.4899999999998</v>
      </c>
      <c r="G197" s="99">
        <f t="shared" si="65"/>
        <v>3083.39</v>
      </c>
    </row>
    <row r="198" spans="1:8" x14ac:dyDescent="0.3">
      <c r="A198" s="87">
        <f t="shared" si="66"/>
        <v>110</v>
      </c>
      <c r="B198" s="233" t="s">
        <v>388</v>
      </c>
      <c r="C198" s="87" t="s">
        <v>254</v>
      </c>
      <c r="D198" s="863" t="s">
        <v>1127</v>
      </c>
      <c r="E198" s="94">
        <v>402.09624000000002</v>
      </c>
      <c r="F198" s="99">
        <f t="shared" si="64"/>
        <v>14648.37</v>
      </c>
      <c r="G198" s="99">
        <f t="shared" si="65"/>
        <v>17578.04</v>
      </c>
    </row>
    <row r="199" spans="1:8" x14ac:dyDescent="0.3">
      <c r="A199" s="649"/>
      <c r="B199" s="249"/>
      <c r="C199" s="650"/>
      <c r="D199" s="686"/>
      <c r="E199" s="673"/>
      <c r="F199" s="99">
        <f>SUM(F125:F198)</f>
        <v>15620781.809999989</v>
      </c>
      <c r="G199" s="99">
        <f t="shared" si="65"/>
        <v>18744938.170000002</v>
      </c>
    </row>
    <row r="200" spans="1:8" x14ac:dyDescent="0.3">
      <c r="A200" s="149"/>
      <c r="B200" s="955" t="s">
        <v>604</v>
      </c>
      <c r="C200" s="956"/>
      <c r="D200" s="956"/>
      <c r="E200" s="296"/>
      <c r="F200" s="152"/>
      <c r="G200" s="121"/>
      <c r="H200" s="202"/>
    </row>
    <row r="201" spans="1:8" x14ac:dyDescent="0.3">
      <c r="A201" s="591">
        <f>A198+1</f>
        <v>111</v>
      </c>
      <c r="B201" s="621" t="s">
        <v>234</v>
      </c>
      <c r="C201" s="591" t="s">
        <v>193</v>
      </c>
      <c r="D201" s="622">
        <f>27.43+220.77</f>
        <v>248.20000000000002</v>
      </c>
      <c r="E201" s="620">
        <v>979.00333333333299</v>
      </c>
      <c r="F201" s="620">
        <f t="shared" ref="F201:F222" si="67">ROUND(E201*D201,2)</f>
        <v>242988.63</v>
      </c>
      <c r="G201" s="620">
        <f t="shared" ref="G201:G218" si="68">ROUND(F201*1.2,2)</f>
        <v>291586.36</v>
      </c>
    </row>
    <row r="202" spans="1:8" x14ac:dyDescent="0.3">
      <c r="A202" s="591">
        <f>A201+1</f>
        <v>112</v>
      </c>
      <c r="B202" s="621" t="s">
        <v>160</v>
      </c>
      <c r="C202" s="624" t="s">
        <v>193</v>
      </c>
      <c r="D202" s="622">
        <v>30.73</v>
      </c>
      <c r="E202" s="620">
        <v>3184.5</v>
      </c>
      <c r="F202" s="620">
        <f t="shared" si="67"/>
        <v>97859.69</v>
      </c>
      <c r="G202" s="620">
        <f t="shared" si="68"/>
        <v>117431.63</v>
      </c>
    </row>
    <row r="203" spans="1:8" x14ac:dyDescent="0.3">
      <c r="A203" s="66">
        <f t="shared" ref="A203:A222" si="69">A202+1</f>
        <v>113</v>
      </c>
      <c r="B203" s="67" t="s">
        <v>605</v>
      </c>
      <c r="C203" s="74" t="s">
        <v>194</v>
      </c>
      <c r="D203" s="862">
        <v>29.8</v>
      </c>
      <c r="E203" s="94">
        <v>7797.0585000000019</v>
      </c>
      <c r="F203" s="94">
        <f t="shared" si="67"/>
        <v>232352.34</v>
      </c>
      <c r="G203" s="94">
        <f t="shared" si="68"/>
        <v>278822.81</v>
      </c>
      <c r="H203" s="202"/>
    </row>
    <row r="204" spans="1:8" x14ac:dyDescent="0.3">
      <c r="A204" s="66">
        <f t="shared" si="69"/>
        <v>114</v>
      </c>
      <c r="B204" s="67" t="s">
        <v>599</v>
      </c>
      <c r="C204" s="74" t="s">
        <v>194</v>
      </c>
      <c r="D204" s="862">
        <v>29</v>
      </c>
      <c r="E204" s="94">
        <v>14459.999400000001</v>
      </c>
      <c r="F204" s="94">
        <f t="shared" si="67"/>
        <v>419339.98</v>
      </c>
      <c r="G204" s="94">
        <f t="shared" si="68"/>
        <v>503207.98</v>
      </c>
      <c r="H204" s="202"/>
    </row>
    <row r="205" spans="1:8" x14ac:dyDescent="0.3">
      <c r="A205" s="66">
        <f t="shared" si="69"/>
        <v>115</v>
      </c>
      <c r="B205" s="67" t="s">
        <v>606</v>
      </c>
      <c r="C205" s="74" t="s">
        <v>194</v>
      </c>
      <c r="D205" s="859">
        <v>108</v>
      </c>
      <c r="E205" s="94">
        <v>1360.9411200000002</v>
      </c>
      <c r="F205" s="94">
        <f t="shared" si="67"/>
        <v>146981.64000000001</v>
      </c>
      <c r="G205" s="94">
        <f t="shared" si="68"/>
        <v>176377.97</v>
      </c>
      <c r="H205" s="202"/>
    </row>
    <row r="206" spans="1:8" x14ac:dyDescent="0.3">
      <c r="A206" s="66">
        <f t="shared" si="69"/>
        <v>116</v>
      </c>
      <c r="B206" s="67" t="s">
        <v>607</v>
      </c>
      <c r="C206" s="74" t="s">
        <v>194</v>
      </c>
      <c r="D206" s="862">
        <f>222+1.29</f>
        <v>223.29</v>
      </c>
      <c r="E206" s="94">
        <v>5245.2939000000006</v>
      </c>
      <c r="F206" s="94">
        <f t="shared" si="67"/>
        <v>1171221.67</v>
      </c>
      <c r="G206" s="94">
        <f t="shared" si="68"/>
        <v>1405466</v>
      </c>
      <c r="H206" s="202"/>
    </row>
    <row r="207" spans="1:8" x14ac:dyDescent="0.3">
      <c r="A207" s="66">
        <f t="shared" si="69"/>
        <v>117</v>
      </c>
      <c r="B207" s="67" t="s">
        <v>608</v>
      </c>
      <c r="C207" s="66" t="s">
        <v>220</v>
      </c>
      <c r="D207" s="863" t="s">
        <v>609</v>
      </c>
      <c r="E207" s="94">
        <v>2248.9036499999997</v>
      </c>
      <c r="F207" s="94">
        <f t="shared" si="67"/>
        <v>15742.33</v>
      </c>
      <c r="G207" s="94">
        <f t="shared" si="68"/>
        <v>18890.8</v>
      </c>
    </row>
    <row r="208" spans="1:8" x14ac:dyDescent="0.3">
      <c r="A208" s="66">
        <f t="shared" si="69"/>
        <v>118</v>
      </c>
      <c r="B208" s="67" t="s">
        <v>610</v>
      </c>
      <c r="C208" s="66" t="s">
        <v>220</v>
      </c>
      <c r="D208" s="863" t="s">
        <v>609</v>
      </c>
      <c r="E208" s="94">
        <v>1937.0213100000001</v>
      </c>
      <c r="F208" s="94">
        <f t="shared" si="67"/>
        <v>13559.15</v>
      </c>
      <c r="G208" s="94">
        <f t="shared" si="68"/>
        <v>16270.98</v>
      </c>
    </row>
    <row r="209" spans="1:8" x14ac:dyDescent="0.3">
      <c r="A209" s="66">
        <f t="shared" si="69"/>
        <v>119</v>
      </c>
      <c r="B209" s="67" t="s">
        <v>611</v>
      </c>
      <c r="C209" s="66" t="s">
        <v>220</v>
      </c>
      <c r="D209" s="863" t="s">
        <v>612</v>
      </c>
      <c r="E209" s="94">
        <v>3392.0426400000001</v>
      </c>
      <c r="F209" s="94">
        <f t="shared" si="67"/>
        <v>47488.6</v>
      </c>
      <c r="G209" s="94">
        <f t="shared" si="68"/>
        <v>56986.32</v>
      </c>
    </row>
    <row r="210" spans="1:8" x14ac:dyDescent="0.3">
      <c r="A210" s="66">
        <f t="shared" si="69"/>
        <v>120</v>
      </c>
      <c r="B210" s="67" t="s">
        <v>590</v>
      </c>
      <c r="C210" s="66" t="s">
        <v>220</v>
      </c>
      <c r="D210" s="863" t="s">
        <v>609</v>
      </c>
      <c r="E210" s="94">
        <v>1019.41707</v>
      </c>
      <c r="F210" s="94">
        <f t="shared" si="67"/>
        <v>7135.92</v>
      </c>
      <c r="G210" s="94">
        <f t="shared" si="68"/>
        <v>8563.1</v>
      </c>
    </row>
    <row r="211" spans="1:8" x14ac:dyDescent="0.3">
      <c r="A211" s="66">
        <f t="shared" si="69"/>
        <v>121</v>
      </c>
      <c r="B211" s="67" t="s">
        <v>591</v>
      </c>
      <c r="C211" s="66" t="s">
        <v>220</v>
      </c>
      <c r="D211" s="863" t="s">
        <v>609</v>
      </c>
      <c r="E211" s="94">
        <v>1871.2940400000005</v>
      </c>
      <c r="F211" s="94">
        <f t="shared" si="67"/>
        <v>13099.06</v>
      </c>
      <c r="G211" s="94">
        <f t="shared" si="68"/>
        <v>15718.87</v>
      </c>
    </row>
    <row r="212" spans="1:8" x14ac:dyDescent="0.3">
      <c r="A212" s="66">
        <f t="shared" si="69"/>
        <v>122</v>
      </c>
      <c r="B212" s="67" t="s">
        <v>592</v>
      </c>
      <c r="C212" s="66" t="s">
        <v>220</v>
      </c>
      <c r="D212" s="863" t="s">
        <v>609</v>
      </c>
      <c r="E212" s="94">
        <v>19563.528600000005</v>
      </c>
      <c r="F212" s="94">
        <f t="shared" si="67"/>
        <v>136944.70000000001</v>
      </c>
      <c r="G212" s="94">
        <f t="shared" si="68"/>
        <v>164333.64000000001</v>
      </c>
    </row>
    <row r="213" spans="1:8" x14ac:dyDescent="0.3">
      <c r="A213" s="66">
        <f t="shared" si="69"/>
        <v>123</v>
      </c>
      <c r="B213" s="67" t="s">
        <v>593</v>
      </c>
      <c r="C213" s="66" t="s">
        <v>254</v>
      </c>
      <c r="D213" s="863" t="s">
        <v>594</v>
      </c>
      <c r="E213" s="94">
        <v>904.71654000000001</v>
      </c>
      <c r="F213" s="94">
        <f t="shared" si="67"/>
        <v>123493.81</v>
      </c>
      <c r="G213" s="94">
        <f t="shared" si="68"/>
        <v>148192.57</v>
      </c>
    </row>
    <row r="214" spans="1:8" x14ac:dyDescent="0.3">
      <c r="A214" s="66">
        <f t="shared" si="69"/>
        <v>124</v>
      </c>
      <c r="B214" s="67" t="s">
        <v>595</v>
      </c>
      <c r="C214" s="66" t="s">
        <v>387</v>
      </c>
      <c r="D214" s="869">
        <f>19.23*20/16</f>
        <v>24.037500000000001</v>
      </c>
      <c r="E214" s="94">
        <v>322.1925</v>
      </c>
      <c r="F214" s="94">
        <f t="shared" si="67"/>
        <v>7744.7</v>
      </c>
      <c r="G214" s="94">
        <f t="shared" si="68"/>
        <v>9293.64</v>
      </c>
    </row>
    <row r="215" spans="1:8" x14ac:dyDescent="0.3">
      <c r="A215" s="66">
        <f t="shared" si="69"/>
        <v>125</v>
      </c>
      <c r="B215" s="67" t="s">
        <v>596</v>
      </c>
      <c r="C215" s="66" t="s">
        <v>254</v>
      </c>
      <c r="D215" s="863" t="s">
        <v>613</v>
      </c>
      <c r="E215" s="94">
        <v>402.09624000000002</v>
      </c>
      <c r="F215" s="94">
        <f t="shared" si="67"/>
        <v>44190.38</v>
      </c>
      <c r="G215" s="94">
        <f t="shared" si="68"/>
        <v>53028.46</v>
      </c>
    </row>
    <row r="216" spans="1:8" ht="27.6" x14ac:dyDescent="0.3">
      <c r="A216" s="66">
        <f t="shared" si="69"/>
        <v>126</v>
      </c>
      <c r="B216" s="67" t="s">
        <v>614</v>
      </c>
      <c r="C216" s="66" t="s">
        <v>220</v>
      </c>
      <c r="D216" s="860">
        <v>9</v>
      </c>
      <c r="E216" s="94">
        <v>1927.9999200000002</v>
      </c>
      <c r="F216" s="94">
        <f t="shared" si="67"/>
        <v>17352</v>
      </c>
      <c r="G216" s="94">
        <f t="shared" si="68"/>
        <v>20822.400000000001</v>
      </c>
      <c r="H216" s="202"/>
    </row>
    <row r="217" spans="1:8" ht="27.6" x14ac:dyDescent="0.3">
      <c r="A217" s="66">
        <f t="shared" si="69"/>
        <v>127</v>
      </c>
      <c r="B217" s="67" t="s">
        <v>598</v>
      </c>
      <c r="C217" s="66" t="s">
        <v>220</v>
      </c>
      <c r="D217" s="860">
        <v>16</v>
      </c>
      <c r="E217" s="94">
        <v>4394.7057000000004</v>
      </c>
      <c r="F217" s="94">
        <f t="shared" si="67"/>
        <v>70315.289999999994</v>
      </c>
      <c r="G217" s="94">
        <f t="shared" si="68"/>
        <v>84378.35</v>
      </c>
      <c r="H217" s="202"/>
    </row>
    <row r="218" spans="1:8" ht="15.75" customHeight="1" x14ac:dyDescent="0.3">
      <c r="A218" s="87">
        <f t="shared" si="69"/>
        <v>128</v>
      </c>
      <c r="B218" s="233" t="s">
        <v>756</v>
      </c>
      <c r="C218" s="87" t="s">
        <v>193</v>
      </c>
      <c r="D218" s="862">
        <v>3.1</v>
      </c>
      <c r="E218" s="94">
        <v>4961.7645000000002</v>
      </c>
      <c r="F218" s="99">
        <f t="shared" si="67"/>
        <v>15381.47</v>
      </c>
      <c r="G218" s="99">
        <f t="shared" si="68"/>
        <v>18457.759999999998</v>
      </c>
    </row>
    <row r="219" spans="1:8" s="57" customFormat="1" ht="15.75" customHeight="1" x14ac:dyDescent="0.3">
      <c r="A219" s="87">
        <f t="shared" si="69"/>
        <v>129</v>
      </c>
      <c r="B219" s="233" t="s">
        <v>1151</v>
      </c>
      <c r="C219" s="87" t="s">
        <v>220</v>
      </c>
      <c r="D219" s="859">
        <v>1</v>
      </c>
      <c r="E219" s="94">
        <v>3737.433</v>
      </c>
      <c r="F219" s="99">
        <f t="shared" si="67"/>
        <v>3737.43</v>
      </c>
      <c r="G219" s="99">
        <f t="shared" ref="G219:G223" si="70">ROUND(F219*1.2,2)</f>
        <v>4484.92</v>
      </c>
    </row>
    <row r="220" spans="1:8" s="57" customFormat="1" ht="15.75" customHeight="1" x14ac:dyDescent="0.3">
      <c r="A220" s="87">
        <f t="shared" si="69"/>
        <v>130</v>
      </c>
      <c r="B220" s="233" t="s">
        <v>1152</v>
      </c>
      <c r="C220" s="87" t="s">
        <v>220</v>
      </c>
      <c r="D220" s="859">
        <v>1</v>
      </c>
      <c r="E220" s="94">
        <v>28352.94</v>
      </c>
      <c r="F220" s="99">
        <f t="shared" si="67"/>
        <v>28352.94</v>
      </c>
      <c r="G220" s="99">
        <f t="shared" si="70"/>
        <v>34023.53</v>
      </c>
    </row>
    <row r="221" spans="1:8" s="57" customFormat="1" ht="15.75" customHeight="1" x14ac:dyDescent="0.3">
      <c r="A221" s="87">
        <f t="shared" si="69"/>
        <v>131</v>
      </c>
      <c r="B221" s="233" t="s">
        <v>1153</v>
      </c>
      <c r="C221" s="87" t="s">
        <v>220</v>
      </c>
      <c r="D221" s="859">
        <v>1</v>
      </c>
      <c r="E221" s="94">
        <v>6495.4008000000003</v>
      </c>
      <c r="F221" s="99">
        <f t="shared" si="67"/>
        <v>6495.4</v>
      </c>
      <c r="G221" s="99">
        <f t="shared" si="70"/>
        <v>7794.48</v>
      </c>
    </row>
    <row r="222" spans="1:8" s="57" customFormat="1" ht="15.75" customHeight="1" x14ac:dyDescent="0.3">
      <c r="A222" s="87">
        <f t="shared" si="69"/>
        <v>132</v>
      </c>
      <c r="B222" s="233" t="s">
        <v>1208</v>
      </c>
      <c r="C222" s="87" t="s">
        <v>220</v>
      </c>
      <c r="D222" s="859">
        <v>1</v>
      </c>
      <c r="E222" s="94">
        <v>1675.4010000000003</v>
      </c>
      <c r="F222" s="99">
        <f t="shared" si="67"/>
        <v>1675.4</v>
      </c>
      <c r="G222" s="99">
        <f t="shared" si="70"/>
        <v>2010.48</v>
      </c>
    </row>
    <row r="223" spans="1:8" s="57" customFormat="1" ht="15.75" customHeight="1" x14ac:dyDescent="0.3">
      <c r="A223" s="649"/>
      <c r="B223" s="249"/>
      <c r="C223" s="650"/>
      <c r="D223" s="661"/>
      <c r="E223" s="673"/>
      <c r="F223" s="99">
        <f>SUM(F201:F222)</f>
        <v>2863452.5300000007</v>
      </c>
      <c r="G223" s="99">
        <f t="shared" si="70"/>
        <v>3436143.04</v>
      </c>
    </row>
    <row r="224" spans="1:8" x14ac:dyDescent="0.3">
      <c r="A224" s="149"/>
      <c r="B224" s="957" t="s">
        <v>615</v>
      </c>
      <c r="C224" s="958"/>
      <c r="D224" s="958"/>
      <c r="E224" s="295"/>
      <c r="F224" s="152"/>
      <c r="G224" s="121"/>
    </row>
    <row r="225" spans="1:7" x14ac:dyDescent="0.3">
      <c r="A225" s="66"/>
      <c r="B225" s="62" t="s">
        <v>688</v>
      </c>
      <c r="C225" s="66"/>
      <c r="D225" s="71"/>
      <c r="E225" s="94">
        <v>0</v>
      </c>
      <c r="F225" s="146"/>
      <c r="G225" s="120"/>
    </row>
    <row r="226" spans="1:7" s="57" customFormat="1" x14ac:dyDescent="0.3">
      <c r="A226" s="87">
        <f>A222+1</f>
        <v>133</v>
      </c>
      <c r="B226" s="233" t="s">
        <v>1229</v>
      </c>
      <c r="C226" s="87" t="s">
        <v>193</v>
      </c>
      <c r="D226" s="859">
        <v>104</v>
      </c>
      <c r="E226" s="94">
        <v>1546.5240000000001</v>
      </c>
      <c r="F226" s="99">
        <f>ROUND(E226*D226,2)</f>
        <v>160838.5</v>
      </c>
      <c r="G226" s="99">
        <f t="shared" ref="G226" si="71">ROUND(F226*1.2,2)</f>
        <v>193006.2</v>
      </c>
    </row>
    <row r="227" spans="1:7" x14ac:dyDescent="0.3">
      <c r="A227" s="66"/>
      <c r="B227" s="62" t="s">
        <v>616</v>
      </c>
      <c r="C227" s="66"/>
      <c r="D227" s="859"/>
      <c r="E227" s="94">
        <v>0</v>
      </c>
      <c r="F227" s="146"/>
      <c r="G227" s="120"/>
    </row>
    <row r="228" spans="1:7" x14ac:dyDescent="0.3">
      <c r="A228" s="66">
        <f>A226+1</f>
        <v>134</v>
      </c>
      <c r="B228" s="67" t="s">
        <v>617</v>
      </c>
      <c r="C228" s="66" t="s">
        <v>194</v>
      </c>
      <c r="D228" s="859">
        <v>163</v>
      </c>
      <c r="E228" s="94">
        <v>8789.4114000000009</v>
      </c>
      <c r="F228" s="94">
        <f>ROUND(E228*D228,2)</f>
        <v>1432674.06</v>
      </c>
      <c r="G228" s="94">
        <f t="shared" ref="G228:G230" si="72">ROUND(F228*1.2,2)</f>
        <v>1719208.87</v>
      </c>
    </row>
    <row r="229" spans="1:7" ht="27.6" x14ac:dyDescent="0.3">
      <c r="A229" s="66">
        <f>A228+1</f>
        <v>135</v>
      </c>
      <c r="B229" s="67" t="s">
        <v>618</v>
      </c>
      <c r="C229" s="66" t="s">
        <v>194</v>
      </c>
      <c r="D229" s="859">
        <v>163</v>
      </c>
      <c r="E229" s="94">
        <v>15877.646400000003</v>
      </c>
      <c r="F229" s="94">
        <f>ROUND(E229*D229,2)</f>
        <v>2588056.36</v>
      </c>
      <c r="G229" s="94">
        <f t="shared" si="72"/>
        <v>3105667.63</v>
      </c>
    </row>
    <row r="230" spans="1:7" x14ac:dyDescent="0.3">
      <c r="A230" s="591">
        <f>A229+1</f>
        <v>136</v>
      </c>
      <c r="B230" s="635" t="s">
        <v>619</v>
      </c>
      <c r="C230" s="591" t="s">
        <v>193</v>
      </c>
      <c r="D230" s="591">
        <f>15.4+0.67</f>
        <v>16.07</v>
      </c>
      <c r="E230" s="620">
        <v>3184.5</v>
      </c>
      <c r="F230" s="620">
        <f>ROUND(E230*D230,2)</f>
        <v>51174.92</v>
      </c>
      <c r="G230" s="620">
        <f t="shared" si="72"/>
        <v>61409.9</v>
      </c>
    </row>
    <row r="231" spans="1:7" x14ac:dyDescent="0.3">
      <c r="A231" s="66"/>
      <c r="B231" s="62" t="s">
        <v>1211</v>
      </c>
      <c r="C231" s="66"/>
      <c r="D231" s="859"/>
      <c r="E231" s="94">
        <v>0</v>
      </c>
      <c r="F231" s="146"/>
      <c r="G231" s="120"/>
    </row>
    <row r="232" spans="1:7" ht="27.6" x14ac:dyDescent="0.3">
      <c r="A232" s="66">
        <f>A230+1</f>
        <v>137</v>
      </c>
      <c r="B232" s="67" t="s">
        <v>620</v>
      </c>
      <c r="C232" s="66" t="s">
        <v>239</v>
      </c>
      <c r="D232" s="861">
        <f>297.03*1.9</f>
        <v>564.35699999999997</v>
      </c>
      <c r="E232" s="94">
        <v>5978.6040300000004</v>
      </c>
      <c r="F232" s="94">
        <f t="shared" ref="F232:F237" si="73">ROUND(E232*D232,2)</f>
        <v>3374067.03</v>
      </c>
      <c r="G232" s="94">
        <f t="shared" ref="G232:G236" si="74">ROUND(F232*1.2,2)</f>
        <v>4048880.44</v>
      </c>
    </row>
    <row r="233" spans="1:7" ht="27.6" x14ac:dyDescent="0.3">
      <c r="A233" s="591">
        <f t="shared" ref="A233:A237" si="75">A232+1</f>
        <v>138</v>
      </c>
      <c r="B233" s="591" t="s">
        <v>621</v>
      </c>
      <c r="C233" s="591" t="s">
        <v>193</v>
      </c>
      <c r="D233" s="591">
        <v>499</v>
      </c>
      <c r="E233" s="591">
        <v>5706.6735599999993</v>
      </c>
      <c r="F233" s="591">
        <f t="shared" si="73"/>
        <v>2847630.11</v>
      </c>
      <c r="G233" s="591">
        <f t="shared" si="74"/>
        <v>3417156.13</v>
      </c>
    </row>
    <row r="234" spans="1:7" x14ac:dyDescent="0.3">
      <c r="A234" s="591">
        <f t="shared" si="75"/>
        <v>139</v>
      </c>
      <c r="B234" s="621" t="s">
        <v>622</v>
      </c>
      <c r="C234" s="591" t="s">
        <v>193</v>
      </c>
      <c r="D234" s="591">
        <v>935.63</v>
      </c>
      <c r="E234" s="638">
        <v>3184.5</v>
      </c>
      <c r="F234" s="620">
        <f t="shared" si="73"/>
        <v>2979513.74</v>
      </c>
      <c r="G234" s="620">
        <f t="shared" si="74"/>
        <v>3575416.49</v>
      </c>
    </row>
    <row r="235" spans="1:7" x14ac:dyDescent="0.3">
      <c r="A235" s="591">
        <f t="shared" si="75"/>
        <v>140</v>
      </c>
      <c r="B235" s="621" t="s">
        <v>623</v>
      </c>
      <c r="C235" s="591" t="s">
        <v>193</v>
      </c>
      <c r="D235" s="591">
        <v>2117</v>
      </c>
      <c r="E235" s="620">
        <f>979+262</f>
        <v>1241</v>
      </c>
      <c r="F235" s="620">
        <f t="shared" si="73"/>
        <v>2627197</v>
      </c>
      <c r="G235" s="620">
        <f t="shared" si="74"/>
        <v>3152636.4</v>
      </c>
    </row>
    <row r="236" spans="1:7" ht="29.25" customHeight="1" x14ac:dyDescent="0.3">
      <c r="A236" s="591">
        <f t="shared" si="75"/>
        <v>141</v>
      </c>
      <c r="B236" s="621" t="s">
        <v>624</v>
      </c>
      <c r="C236" s="591" t="s">
        <v>193</v>
      </c>
      <c r="D236" s="591">
        <v>2117</v>
      </c>
      <c r="E236" s="620">
        <f>E235</f>
        <v>1241</v>
      </c>
      <c r="F236" s="620">
        <f t="shared" si="73"/>
        <v>2627197</v>
      </c>
      <c r="G236" s="620">
        <f t="shared" si="74"/>
        <v>3152636.4</v>
      </c>
    </row>
    <row r="237" spans="1:7" s="57" customFormat="1" ht="20.25" customHeight="1" x14ac:dyDescent="0.3">
      <c r="A237" s="87">
        <f t="shared" si="75"/>
        <v>142</v>
      </c>
      <c r="B237" s="249" t="s">
        <v>1230</v>
      </c>
      <c r="C237" s="87" t="s">
        <v>220</v>
      </c>
      <c r="D237" s="859">
        <v>144</v>
      </c>
      <c r="E237" s="94">
        <v>335.08019999999999</v>
      </c>
      <c r="F237" s="99">
        <f t="shared" si="73"/>
        <v>48251.55</v>
      </c>
      <c r="G237" s="99">
        <f t="shared" ref="G237" si="76">ROUND(F237*1.2,2)</f>
        <v>57901.86</v>
      </c>
    </row>
    <row r="238" spans="1:7" ht="19.5" customHeight="1" x14ac:dyDescent="0.3">
      <c r="A238" s="236"/>
      <c r="B238" s="62" t="s">
        <v>1219</v>
      </c>
      <c r="C238" s="66"/>
      <c r="D238" s="861"/>
      <c r="E238" s="94">
        <v>0</v>
      </c>
      <c r="F238" s="94"/>
      <c r="G238" s="94"/>
    </row>
    <row r="239" spans="1:7" ht="26.25" customHeight="1" x14ac:dyDescent="0.3">
      <c r="A239" s="591">
        <f>A237+1</f>
        <v>143</v>
      </c>
      <c r="B239" s="621" t="s">
        <v>622</v>
      </c>
      <c r="C239" s="591" t="s">
        <v>193</v>
      </c>
      <c r="D239" s="591">
        <v>565.42999999999995</v>
      </c>
      <c r="E239" s="638">
        <v>3184.5</v>
      </c>
      <c r="F239" s="620">
        <f>ROUND(E239*D239,2)</f>
        <v>1800611.8400000001</v>
      </c>
      <c r="G239" s="620">
        <f t="shared" ref="G239" si="77">ROUND(F239*1.2,2)</f>
        <v>2160734.21</v>
      </c>
    </row>
    <row r="240" spans="1:7" ht="19.5" customHeight="1" x14ac:dyDescent="0.3">
      <c r="A240" s="66"/>
      <c r="B240" s="62" t="s">
        <v>1221</v>
      </c>
      <c r="C240" s="66"/>
      <c r="D240" s="68"/>
      <c r="E240" s="94">
        <v>0</v>
      </c>
      <c r="F240" s="94"/>
      <c r="G240" s="94"/>
    </row>
    <row r="241" spans="1:7" s="57" customFormat="1" ht="17.25" customHeight="1" x14ac:dyDescent="0.3">
      <c r="A241" s="87">
        <f>A239+1</f>
        <v>144</v>
      </c>
      <c r="B241" s="233" t="s">
        <v>1222</v>
      </c>
      <c r="C241" s="87" t="s">
        <v>220</v>
      </c>
      <c r="D241" s="859">
        <v>22</v>
      </c>
      <c r="E241" s="94">
        <v>19728.491160000001</v>
      </c>
      <c r="F241" s="99">
        <f>ROUND(E241*D241,2)</f>
        <v>434026.81</v>
      </c>
      <c r="G241" s="99">
        <f t="shared" ref="G241:G245" si="78">ROUND(F241*1.2,2)</f>
        <v>520832.17</v>
      </c>
    </row>
    <row r="242" spans="1:7" s="57" customFormat="1" ht="17.25" customHeight="1" x14ac:dyDescent="0.3">
      <c r="A242" s="87">
        <f>A241+1</f>
        <v>145</v>
      </c>
      <c r="B242" s="233" t="s">
        <v>1223</v>
      </c>
      <c r="C242" s="87" t="s">
        <v>220</v>
      </c>
      <c r="D242" s="859">
        <v>44</v>
      </c>
      <c r="E242" s="94">
        <v>7732.62</v>
      </c>
      <c r="F242" s="99">
        <f>ROUND(E242*D242,2)</f>
        <v>340235.28</v>
      </c>
      <c r="G242" s="99">
        <f t="shared" si="78"/>
        <v>408282.34</v>
      </c>
    </row>
    <row r="243" spans="1:7" s="57" customFormat="1" ht="17.25" customHeight="1" x14ac:dyDescent="0.3">
      <c r="A243" s="87">
        <f t="shared" ref="A243:A245" si="79">A242+1</f>
        <v>146</v>
      </c>
      <c r="B243" s="233" t="s">
        <v>1224</v>
      </c>
      <c r="C243" s="87" t="s">
        <v>220</v>
      </c>
      <c r="D243" s="859">
        <v>22</v>
      </c>
      <c r="E243" s="94">
        <v>502.62030000000004</v>
      </c>
      <c r="F243" s="99">
        <f>ROUND(E243*D243,2)</f>
        <v>11057.65</v>
      </c>
      <c r="G243" s="99">
        <f t="shared" si="78"/>
        <v>13269.18</v>
      </c>
    </row>
    <row r="244" spans="1:7" s="57" customFormat="1" ht="17.25" customHeight="1" x14ac:dyDescent="0.3">
      <c r="A244" s="87">
        <f t="shared" si="79"/>
        <v>147</v>
      </c>
      <c r="B244" s="233" t="s">
        <v>1225</v>
      </c>
      <c r="C244" s="87" t="s">
        <v>220</v>
      </c>
      <c r="D244" s="859">
        <v>44</v>
      </c>
      <c r="E244" s="94">
        <v>3093.0480000000002</v>
      </c>
      <c r="F244" s="99">
        <f>ROUND(E244*D244,2)</f>
        <v>136094.10999999999</v>
      </c>
      <c r="G244" s="99">
        <f t="shared" si="78"/>
        <v>163312.93</v>
      </c>
    </row>
    <row r="245" spans="1:7" s="57" customFormat="1" ht="17.25" customHeight="1" x14ac:dyDescent="0.3">
      <c r="A245" s="87">
        <f t="shared" si="79"/>
        <v>148</v>
      </c>
      <c r="B245" s="233" t="s">
        <v>1226</v>
      </c>
      <c r="C245" s="87" t="s">
        <v>220</v>
      </c>
      <c r="D245" s="859">
        <v>1</v>
      </c>
      <c r="E245" s="94">
        <v>5567.4864000000007</v>
      </c>
      <c r="F245" s="99">
        <f>ROUND(E245*D245,2)</f>
        <v>5567.49</v>
      </c>
      <c r="G245" s="99">
        <f t="shared" si="78"/>
        <v>6680.99</v>
      </c>
    </row>
    <row r="246" spans="1:7" ht="21.75" customHeight="1" x14ac:dyDescent="0.3">
      <c r="A246" s="66"/>
      <c r="B246" s="62" t="s">
        <v>1227</v>
      </c>
      <c r="C246" s="66"/>
      <c r="D246" s="861"/>
      <c r="E246" s="94">
        <v>0</v>
      </c>
      <c r="F246" s="94"/>
      <c r="G246" s="94"/>
    </row>
    <row r="247" spans="1:7" ht="18.75" customHeight="1" x14ac:dyDescent="0.3">
      <c r="A247" s="66">
        <f>A245+1</f>
        <v>149</v>
      </c>
      <c r="B247" s="67" t="s">
        <v>372</v>
      </c>
      <c r="C247" s="74" t="s">
        <v>254</v>
      </c>
      <c r="D247" s="861">
        <v>1.41</v>
      </c>
      <c r="E247" s="94">
        <v>626.34222</v>
      </c>
      <c r="F247" s="94">
        <f>ROUND(E247*D247,2)</f>
        <v>883.14</v>
      </c>
      <c r="G247" s="94">
        <f t="shared" ref="G247:G250" si="80">ROUND(F247*1.2,2)</f>
        <v>1059.77</v>
      </c>
    </row>
    <row r="248" spans="1:7" ht="18.75" customHeight="1" x14ac:dyDescent="0.3">
      <c r="A248" s="66">
        <f>A247+1</f>
        <v>150</v>
      </c>
      <c r="B248" s="67" t="s">
        <v>373</v>
      </c>
      <c r="C248" s="74" t="s">
        <v>254</v>
      </c>
      <c r="D248" s="861">
        <v>1.17</v>
      </c>
      <c r="E248" s="94">
        <v>835.12296000000003</v>
      </c>
      <c r="F248" s="94">
        <f>ROUND(E248*D248,2)</f>
        <v>977.09</v>
      </c>
      <c r="G248" s="94">
        <f t="shared" si="80"/>
        <v>1172.51</v>
      </c>
    </row>
    <row r="249" spans="1:7" ht="18.75" customHeight="1" x14ac:dyDescent="0.3">
      <c r="A249" s="66">
        <f>A248+1</f>
        <v>151</v>
      </c>
      <c r="B249" s="67" t="s">
        <v>374</v>
      </c>
      <c r="C249" s="74" t="s">
        <v>254</v>
      </c>
      <c r="D249" s="861">
        <v>1.2</v>
      </c>
      <c r="E249" s="94">
        <v>1630.2940500000002</v>
      </c>
      <c r="F249" s="94">
        <f>ROUND(E249*D249,2)</f>
        <v>1956.35</v>
      </c>
      <c r="G249" s="94">
        <f t="shared" si="80"/>
        <v>2347.62</v>
      </c>
    </row>
    <row r="250" spans="1:7" ht="18.75" customHeight="1" x14ac:dyDescent="0.3">
      <c r="A250" s="236"/>
      <c r="B250" s="80"/>
      <c r="C250" s="684"/>
      <c r="D250" s="685"/>
      <c r="E250" s="673"/>
      <c r="F250" s="94">
        <f>SUM(F225:F249)</f>
        <v>21468010.029999997</v>
      </c>
      <c r="G250" s="94">
        <f t="shared" si="80"/>
        <v>25761612.039999999</v>
      </c>
    </row>
    <row r="251" spans="1:7" x14ac:dyDescent="0.3">
      <c r="A251" s="149"/>
      <c r="B251" s="957" t="s">
        <v>1233</v>
      </c>
      <c r="C251" s="958"/>
      <c r="D251" s="958"/>
      <c r="E251" s="295"/>
      <c r="F251" s="152"/>
      <c r="G251" s="121"/>
    </row>
    <row r="252" spans="1:7" x14ac:dyDescent="0.3">
      <c r="A252" s="66"/>
      <c r="B252" s="62" t="s">
        <v>625</v>
      </c>
      <c r="C252" s="66"/>
      <c r="D252" s="68"/>
      <c r="E252" s="94">
        <v>0</v>
      </c>
      <c r="F252" s="146"/>
      <c r="G252" s="120"/>
    </row>
    <row r="253" spans="1:7" x14ac:dyDescent="0.3">
      <c r="A253" s="66">
        <f>A249+1</f>
        <v>152</v>
      </c>
      <c r="B253" s="67" t="s">
        <v>626</v>
      </c>
      <c r="C253" s="66" t="s">
        <v>194</v>
      </c>
      <c r="D253" s="71">
        <f>180+300+80</f>
        <v>560</v>
      </c>
      <c r="E253" s="94">
        <v>481.99998000000005</v>
      </c>
      <c r="F253" s="94">
        <f>ROUND(E253*D253,2)</f>
        <v>269919.99</v>
      </c>
      <c r="G253" s="94">
        <f t="shared" ref="G253:G257" si="81">ROUND(F253*1.2,2)</f>
        <v>323903.99</v>
      </c>
    </row>
    <row r="254" spans="1:7" s="57" customFormat="1" x14ac:dyDescent="0.3">
      <c r="A254" s="87">
        <f t="shared" ref="A254:A256" si="82">A253+1</f>
        <v>153</v>
      </c>
      <c r="B254" s="233" t="s">
        <v>1236</v>
      </c>
      <c r="C254" s="87" t="s">
        <v>220</v>
      </c>
      <c r="D254" s="148">
        <v>4</v>
      </c>
      <c r="E254" s="94">
        <v>3337.9143000000004</v>
      </c>
      <c r="F254" s="99">
        <f>ROUND(E254*D254,2)</f>
        <v>13351.66</v>
      </c>
      <c r="G254" s="99">
        <f t="shared" si="81"/>
        <v>16021.99</v>
      </c>
    </row>
    <row r="255" spans="1:7" x14ac:dyDescent="0.3">
      <c r="A255" s="66">
        <f t="shared" si="82"/>
        <v>154</v>
      </c>
      <c r="B255" s="67" t="s">
        <v>627</v>
      </c>
      <c r="C255" s="66" t="s">
        <v>220</v>
      </c>
      <c r="D255" s="71">
        <v>480</v>
      </c>
      <c r="E255" s="94">
        <v>32.219250000000002</v>
      </c>
      <c r="F255" s="94">
        <f>ROUND(E255*D255,2)</f>
        <v>15465.24</v>
      </c>
      <c r="G255" s="94">
        <f t="shared" si="81"/>
        <v>18558.29</v>
      </c>
    </row>
    <row r="256" spans="1:7" x14ac:dyDescent="0.3">
      <c r="A256" s="66">
        <f t="shared" si="82"/>
        <v>155</v>
      </c>
      <c r="B256" s="67" t="s">
        <v>820</v>
      </c>
      <c r="C256" s="66" t="s">
        <v>220</v>
      </c>
      <c r="D256" s="82" t="s">
        <v>758</v>
      </c>
      <c r="E256" s="94">
        <v>10348.823100000001</v>
      </c>
      <c r="F256" s="94">
        <f>ROUND(E256*D256,2)</f>
        <v>10348.82</v>
      </c>
      <c r="G256" s="94">
        <f t="shared" si="81"/>
        <v>12418.58</v>
      </c>
    </row>
    <row r="257" spans="1:7" x14ac:dyDescent="0.3">
      <c r="A257" s="236"/>
      <c r="B257" s="80"/>
      <c r="C257" s="663"/>
      <c r="D257" s="683"/>
      <c r="E257" s="673"/>
      <c r="F257" s="94">
        <f>SUM(F253:F256)</f>
        <v>309085.70999999996</v>
      </c>
      <c r="G257" s="94">
        <f t="shared" si="81"/>
        <v>370902.85</v>
      </c>
    </row>
    <row r="258" spans="1:7" x14ac:dyDescent="0.3">
      <c r="A258" s="149"/>
      <c r="B258" s="957" t="s">
        <v>1234</v>
      </c>
      <c r="C258" s="958"/>
      <c r="D258" s="958"/>
      <c r="E258" s="295"/>
      <c r="F258" s="152"/>
      <c r="G258" s="121"/>
    </row>
    <row r="259" spans="1:7" x14ac:dyDescent="0.3">
      <c r="A259" s="66"/>
      <c r="B259" s="62" t="s">
        <v>632</v>
      </c>
      <c r="C259" s="66"/>
      <c r="D259" s="68"/>
      <c r="E259" s="94">
        <v>0</v>
      </c>
      <c r="F259" s="146"/>
      <c r="G259" s="120"/>
    </row>
    <row r="260" spans="1:7" s="57" customFormat="1" x14ac:dyDescent="0.3">
      <c r="A260" s="87">
        <f>A256+1</f>
        <v>156</v>
      </c>
      <c r="B260" s="233" t="s">
        <v>633</v>
      </c>
      <c r="C260" s="87" t="s">
        <v>194</v>
      </c>
      <c r="D260" s="148">
        <v>300</v>
      </c>
      <c r="E260" s="94">
        <v>1219.1764200000002</v>
      </c>
      <c r="F260" s="99">
        <f t="shared" ref="F260:F265" si="83">ROUND(E260*D260,2)</f>
        <v>365752.93</v>
      </c>
      <c r="G260" s="99">
        <f t="shared" ref="G260:G265" si="84">ROUND(F260*1.2,2)</f>
        <v>438903.52</v>
      </c>
    </row>
    <row r="261" spans="1:7" s="57" customFormat="1" x14ac:dyDescent="0.3">
      <c r="A261" s="87">
        <f t="shared" ref="A261:A262" si="85">A260+1</f>
        <v>157</v>
      </c>
      <c r="B261" s="233" t="s">
        <v>634</v>
      </c>
      <c r="C261" s="87" t="s">
        <v>220</v>
      </c>
      <c r="D261" s="148">
        <v>12</v>
      </c>
      <c r="E261" s="94">
        <v>9639.999600000001</v>
      </c>
      <c r="F261" s="99">
        <f t="shared" si="83"/>
        <v>115680</v>
      </c>
      <c r="G261" s="99">
        <f t="shared" si="84"/>
        <v>138816</v>
      </c>
    </row>
    <row r="262" spans="1:7" s="57" customFormat="1" x14ac:dyDescent="0.3">
      <c r="A262" s="87">
        <f t="shared" si="85"/>
        <v>158</v>
      </c>
      <c r="B262" s="233" t="s">
        <v>635</v>
      </c>
      <c r="C262" s="87" t="s">
        <v>194</v>
      </c>
      <c r="D262" s="148">
        <v>180</v>
      </c>
      <c r="E262" s="94">
        <v>510.3529200000001</v>
      </c>
      <c r="F262" s="99">
        <f t="shared" si="83"/>
        <v>91863.53</v>
      </c>
      <c r="G262" s="99">
        <f t="shared" si="84"/>
        <v>110236.24</v>
      </c>
    </row>
    <row r="263" spans="1:7" s="57" customFormat="1" x14ac:dyDescent="0.3">
      <c r="A263" s="591">
        <f>A261+1</f>
        <v>158</v>
      </c>
      <c r="B263" s="621" t="s">
        <v>234</v>
      </c>
      <c r="C263" s="591" t="s">
        <v>193</v>
      </c>
      <c r="D263" s="625">
        <v>16.7</v>
      </c>
      <c r="E263" s="620">
        <v>979.00333333333299</v>
      </c>
      <c r="F263" s="620">
        <f t="shared" si="83"/>
        <v>16349.36</v>
      </c>
      <c r="G263" s="620">
        <f t="shared" si="84"/>
        <v>19619.23</v>
      </c>
    </row>
    <row r="264" spans="1:7" s="57" customFormat="1" x14ac:dyDescent="0.3">
      <c r="A264" s="87">
        <f t="shared" ref="A264" si="86">A263+1</f>
        <v>159</v>
      </c>
      <c r="B264" s="233" t="s">
        <v>820</v>
      </c>
      <c r="C264" s="87" t="s">
        <v>220</v>
      </c>
      <c r="D264" s="228" t="s">
        <v>758</v>
      </c>
      <c r="E264" s="94">
        <v>10348.823100000001</v>
      </c>
      <c r="F264" s="99">
        <f t="shared" si="83"/>
        <v>10348.82</v>
      </c>
      <c r="G264" s="99">
        <f t="shared" si="84"/>
        <v>12418.58</v>
      </c>
    </row>
    <row r="265" spans="1:7" s="57" customFormat="1" x14ac:dyDescent="0.3">
      <c r="A265" s="87">
        <f>A264+1</f>
        <v>160</v>
      </c>
      <c r="B265" s="233" t="s">
        <v>1244</v>
      </c>
      <c r="C265" s="87" t="s">
        <v>194</v>
      </c>
      <c r="D265" s="148">
        <v>60</v>
      </c>
      <c r="E265" s="94">
        <v>24.873261000000003</v>
      </c>
      <c r="F265" s="99">
        <f t="shared" si="83"/>
        <v>1492.4</v>
      </c>
      <c r="G265" s="99">
        <f t="shared" si="84"/>
        <v>1790.88</v>
      </c>
    </row>
    <row r="266" spans="1:7" s="57" customFormat="1" x14ac:dyDescent="0.3">
      <c r="A266" s="87"/>
      <c r="B266" s="85" t="s">
        <v>636</v>
      </c>
      <c r="C266" s="87"/>
      <c r="D266" s="148"/>
      <c r="E266" s="94">
        <v>0</v>
      </c>
      <c r="F266" s="275"/>
      <c r="G266" s="276"/>
    </row>
    <row r="267" spans="1:7" s="57" customFormat="1" x14ac:dyDescent="0.3">
      <c r="A267" s="87">
        <f>A262+1</f>
        <v>159</v>
      </c>
      <c r="B267" s="233" t="s">
        <v>637</v>
      </c>
      <c r="C267" s="87" t="s">
        <v>194</v>
      </c>
      <c r="D267" s="148">
        <v>80</v>
      </c>
      <c r="E267" s="94">
        <v>1403.4705300000001</v>
      </c>
      <c r="F267" s="99">
        <f t="shared" ref="F267:F272" si="87">ROUND(E267*D267,2)</f>
        <v>112277.64</v>
      </c>
      <c r="G267" s="99">
        <f>ROUND(F267*1.2,2)</f>
        <v>134733.17000000001</v>
      </c>
    </row>
    <row r="268" spans="1:7" s="57" customFormat="1" x14ac:dyDescent="0.3">
      <c r="A268" s="87">
        <f>A267+1</f>
        <v>160</v>
      </c>
      <c r="B268" s="233" t="s">
        <v>634</v>
      </c>
      <c r="C268" s="87" t="s">
        <v>220</v>
      </c>
      <c r="D268" s="148">
        <v>4</v>
      </c>
      <c r="E268" s="94">
        <v>9639.999600000001</v>
      </c>
      <c r="F268" s="99">
        <f t="shared" si="87"/>
        <v>38560</v>
      </c>
      <c r="G268" s="99">
        <f t="shared" ref="G268:G272" si="88">ROUND(F268*1.2,2)</f>
        <v>46272</v>
      </c>
    </row>
    <row r="269" spans="1:7" s="57" customFormat="1" x14ac:dyDescent="0.3">
      <c r="A269" s="87">
        <f>A268+1</f>
        <v>161</v>
      </c>
      <c r="B269" s="233" t="s">
        <v>635</v>
      </c>
      <c r="C269" s="87" t="s">
        <v>194</v>
      </c>
      <c r="D269" s="148">
        <v>60</v>
      </c>
      <c r="E269" s="94">
        <v>510.3529200000001</v>
      </c>
      <c r="F269" s="99">
        <f t="shared" si="87"/>
        <v>30621.18</v>
      </c>
      <c r="G269" s="99">
        <f t="shared" si="88"/>
        <v>36745.42</v>
      </c>
    </row>
    <row r="270" spans="1:7" s="57" customFormat="1" x14ac:dyDescent="0.3">
      <c r="A270" s="591">
        <f>A268+1</f>
        <v>161</v>
      </c>
      <c r="B270" s="621" t="s">
        <v>234</v>
      </c>
      <c r="C270" s="591" t="s">
        <v>193</v>
      </c>
      <c r="D270" s="625">
        <v>5.6</v>
      </c>
      <c r="E270" s="620">
        <v>979.00333333333299</v>
      </c>
      <c r="F270" s="620">
        <f t="shared" si="87"/>
        <v>5482.42</v>
      </c>
      <c r="G270" s="620">
        <f t="shared" si="88"/>
        <v>6578.9</v>
      </c>
    </row>
    <row r="271" spans="1:7" s="57" customFormat="1" x14ac:dyDescent="0.3">
      <c r="A271" s="87">
        <f t="shared" ref="A271" si="89">A270+1</f>
        <v>162</v>
      </c>
      <c r="B271" s="233" t="s">
        <v>820</v>
      </c>
      <c r="C271" s="87" t="s">
        <v>220</v>
      </c>
      <c r="D271" s="228" t="s">
        <v>758</v>
      </c>
      <c r="E271" s="94">
        <v>10348.823100000001</v>
      </c>
      <c r="F271" s="99">
        <f t="shared" si="87"/>
        <v>10348.82</v>
      </c>
      <c r="G271" s="99">
        <f t="shared" si="88"/>
        <v>12418.58</v>
      </c>
    </row>
    <row r="272" spans="1:7" s="57" customFormat="1" x14ac:dyDescent="0.3">
      <c r="A272" s="87">
        <f>A271+1</f>
        <v>163</v>
      </c>
      <c r="B272" s="233" t="s">
        <v>1244</v>
      </c>
      <c r="C272" s="87" t="s">
        <v>194</v>
      </c>
      <c r="D272" s="148">
        <v>30</v>
      </c>
      <c r="E272" s="94">
        <v>24.873261000000003</v>
      </c>
      <c r="F272" s="99">
        <f t="shared" si="87"/>
        <v>746.2</v>
      </c>
      <c r="G272" s="99">
        <f t="shared" si="88"/>
        <v>895.44</v>
      </c>
    </row>
    <row r="273" spans="1:7" s="202" customFormat="1" x14ac:dyDescent="0.3">
      <c r="A273" s="838"/>
      <c r="B273" s="843" t="s">
        <v>628</v>
      </c>
      <c r="C273" s="838"/>
      <c r="D273" s="237"/>
      <c r="E273" s="842">
        <v>0</v>
      </c>
      <c r="F273" s="846"/>
      <c r="G273" s="847"/>
    </row>
    <row r="274" spans="1:7" s="202" customFormat="1" x14ac:dyDescent="0.3">
      <c r="A274" s="838">
        <f>A269+1</f>
        <v>162</v>
      </c>
      <c r="B274" s="201" t="s">
        <v>629</v>
      </c>
      <c r="C274" s="838" t="s">
        <v>194</v>
      </c>
      <c r="D274" s="237">
        <v>160</v>
      </c>
      <c r="E274" s="842">
        <v>1176.6470100000001</v>
      </c>
      <c r="F274" s="842">
        <f t="shared" ref="F274:F279" si="90">ROUND(E274*D274,2)</f>
        <v>188263.52</v>
      </c>
      <c r="G274" s="842">
        <f t="shared" ref="G274:G279" si="91">ROUND(F274*1.2,2)</f>
        <v>225916.22</v>
      </c>
    </row>
    <row r="275" spans="1:7" s="202" customFormat="1" x14ac:dyDescent="0.3">
      <c r="A275" s="838">
        <f>A274+1</f>
        <v>163</v>
      </c>
      <c r="B275" s="201" t="s">
        <v>630</v>
      </c>
      <c r="C275" s="838" t="s">
        <v>220</v>
      </c>
      <c r="D275" s="237">
        <v>16</v>
      </c>
      <c r="E275" s="842">
        <v>9639.999600000001</v>
      </c>
      <c r="F275" s="842">
        <f t="shared" si="90"/>
        <v>154239.99</v>
      </c>
      <c r="G275" s="842">
        <f t="shared" si="91"/>
        <v>185087.99</v>
      </c>
    </row>
    <row r="276" spans="1:7" s="202" customFormat="1" ht="21.75" customHeight="1" x14ac:dyDescent="0.3">
      <c r="A276" s="838">
        <f>A275+1</f>
        <v>164</v>
      </c>
      <c r="B276" s="201" t="s">
        <v>631</v>
      </c>
      <c r="C276" s="838" t="s">
        <v>220</v>
      </c>
      <c r="D276" s="237">
        <v>160</v>
      </c>
      <c r="E276" s="842">
        <v>510.3529200000001</v>
      </c>
      <c r="F276" s="842">
        <f t="shared" si="90"/>
        <v>81656.47</v>
      </c>
      <c r="G276" s="842">
        <f t="shared" si="91"/>
        <v>97987.76</v>
      </c>
    </row>
    <row r="277" spans="1:7" x14ac:dyDescent="0.3">
      <c r="A277" s="591">
        <f>A275+1</f>
        <v>164</v>
      </c>
      <c r="B277" s="621" t="s">
        <v>234</v>
      </c>
      <c r="C277" s="591" t="s">
        <v>193</v>
      </c>
      <c r="D277" s="623">
        <v>15</v>
      </c>
      <c r="E277" s="620">
        <v>979.00333333333299</v>
      </c>
      <c r="F277" s="620">
        <f t="shared" si="90"/>
        <v>14685.05</v>
      </c>
      <c r="G277" s="620">
        <f t="shared" si="91"/>
        <v>17622.060000000001</v>
      </c>
    </row>
    <row r="278" spans="1:7" x14ac:dyDescent="0.3">
      <c r="A278" s="66">
        <f t="shared" ref="A278" si="92">A277+1</f>
        <v>165</v>
      </c>
      <c r="B278" s="67" t="s">
        <v>820</v>
      </c>
      <c r="C278" s="66" t="s">
        <v>220</v>
      </c>
      <c r="D278" s="82" t="s">
        <v>758</v>
      </c>
      <c r="E278" s="94">
        <v>10348.823100000001</v>
      </c>
      <c r="F278" s="94">
        <f t="shared" si="90"/>
        <v>10348.82</v>
      </c>
      <c r="G278" s="94">
        <f t="shared" si="91"/>
        <v>12418.58</v>
      </c>
    </row>
    <row r="279" spans="1:7" x14ac:dyDescent="0.3">
      <c r="A279" s="87">
        <f>A278+1</f>
        <v>166</v>
      </c>
      <c r="B279" s="233" t="s">
        <v>1244</v>
      </c>
      <c r="C279" s="87" t="s">
        <v>194</v>
      </c>
      <c r="D279" s="148">
        <v>60</v>
      </c>
      <c r="E279" s="94">
        <v>24.873261000000003</v>
      </c>
      <c r="F279" s="99">
        <f t="shared" si="90"/>
        <v>1492.4</v>
      </c>
      <c r="G279" s="99">
        <f t="shared" si="91"/>
        <v>1790.88</v>
      </c>
    </row>
    <row r="280" spans="1:7" x14ac:dyDescent="0.3">
      <c r="A280" s="87"/>
      <c r="B280" s="85" t="s">
        <v>638</v>
      </c>
      <c r="C280" s="87"/>
      <c r="D280" s="217"/>
      <c r="E280" s="94">
        <v>0</v>
      </c>
      <c r="F280" s="275"/>
      <c r="G280" s="276"/>
    </row>
    <row r="281" spans="1:7" x14ac:dyDescent="0.3">
      <c r="A281" s="591">
        <f>A278+1</f>
        <v>166</v>
      </c>
      <c r="B281" s="621" t="s">
        <v>234</v>
      </c>
      <c r="C281" s="591" t="s">
        <v>193</v>
      </c>
      <c r="D281" s="625">
        <v>14.9</v>
      </c>
      <c r="E281" s="620">
        <v>979.00333333333299</v>
      </c>
      <c r="F281" s="620">
        <f t="shared" ref="F281:F289" si="93">ROUND(E281*D281,2)</f>
        <v>14587.15</v>
      </c>
      <c r="G281" s="620">
        <f t="shared" ref="G281" si="94">ROUND(F281*1.2,2)</f>
        <v>17504.580000000002</v>
      </c>
    </row>
    <row r="282" spans="1:7" x14ac:dyDescent="0.3">
      <c r="A282" s="87">
        <f>A269+1</f>
        <v>162</v>
      </c>
      <c r="B282" s="233" t="s">
        <v>639</v>
      </c>
      <c r="C282" s="87" t="s">
        <v>194</v>
      </c>
      <c r="D282" s="148">
        <v>420</v>
      </c>
      <c r="E282" s="94">
        <v>935.64702000000023</v>
      </c>
      <c r="F282" s="99">
        <f t="shared" si="93"/>
        <v>392971.75</v>
      </c>
      <c r="G282" s="99">
        <f t="shared" ref="G282:G290" si="95">ROUND(F282*1.2,2)</f>
        <v>471566.1</v>
      </c>
    </row>
    <row r="283" spans="1:7" x14ac:dyDescent="0.3">
      <c r="A283" s="87">
        <f>A282+1</f>
        <v>163</v>
      </c>
      <c r="B283" s="233" t="s">
        <v>640</v>
      </c>
      <c r="C283" s="87" t="s">
        <v>220</v>
      </c>
      <c r="D283" s="148">
        <v>2</v>
      </c>
      <c r="E283" s="94">
        <v>7088.2349999999997</v>
      </c>
      <c r="F283" s="99">
        <f t="shared" si="93"/>
        <v>14176.47</v>
      </c>
      <c r="G283" s="99">
        <f t="shared" si="95"/>
        <v>17011.759999999998</v>
      </c>
    </row>
    <row r="284" spans="1:7" x14ac:dyDescent="0.3">
      <c r="A284" s="87">
        <f>A283+1</f>
        <v>164</v>
      </c>
      <c r="B284" s="233" t="s">
        <v>1243</v>
      </c>
      <c r="C284" s="87" t="s">
        <v>220</v>
      </c>
      <c r="D284" s="148">
        <v>2</v>
      </c>
      <c r="E284" s="94">
        <v>2502.7913400000002</v>
      </c>
      <c r="F284" s="99">
        <f t="shared" si="93"/>
        <v>5005.58</v>
      </c>
      <c r="G284" s="99">
        <f t="shared" ref="G284" si="96">ROUND(F284*1.2,2)</f>
        <v>6006.7</v>
      </c>
    </row>
    <row r="285" spans="1:7" x14ac:dyDescent="0.3">
      <c r="A285" s="87">
        <f>A284+1</f>
        <v>165</v>
      </c>
      <c r="B285" s="233" t="s">
        <v>1244</v>
      </c>
      <c r="C285" s="87" t="s">
        <v>194</v>
      </c>
      <c r="D285" s="148">
        <v>100</v>
      </c>
      <c r="E285" s="94">
        <v>24.873261000000003</v>
      </c>
      <c r="F285" s="99">
        <f t="shared" si="93"/>
        <v>2487.33</v>
      </c>
      <c r="G285" s="99">
        <f t="shared" ref="G285:G286" si="97">ROUND(F285*1.2,2)</f>
        <v>2984.8</v>
      </c>
    </row>
    <row r="286" spans="1:7" x14ac:dyDescent="0.3">
      <c r="A286" s="87">
        <f t="shared" ref="A286:A289" si="98">A285+1</f>
        <v>166</v>
      </c>
      <c r="B286" s="233" t="s">
        <v>820</v>
      </c>
      <c r="C286" s="87" t="s">
        <v>220</v>
      </c>
      <c r="D286" s="228" t="s">
        <v>758</v>
      </c>
      <c r="E286" s="94">
        <v>10348.823100000001</v>
      </c>
      <c r="F286" s="99">
        <f t="shared" si="93"/>
        <v>10348.82</v>
      </c>
      <c r="G286" s="99">
        <f t="shared" si="97"/>
        <v>12418.58</v>
      </c>
    </row>
    <row r="287" spans="1:7" x14ac:dyDescent="0.3">
      <c r="A287" s="87">
        <f t="shared" si="98"/>
        <v>167</v>
      </c>
      <c r="B287" s="233" t="s">
        <v>1245</v>
      </c>
      <c r="C287" s="87" t="s">
        <v>194</v>
      </c>
      <c r="D287" s="148">
        <v>160</v>
      </c>
      <c r="E287" s="94">
        <v>528.39570000000015</v>
      </c>
      <c r="F287" s="99">
        <f t="shared" si="93"/>
        <v>84543.31</v>
      </c>
      <c r="G287" s="99">
        <f t="shared" ref="G287" si="99">ROUND(F287*1.2,2)</f>
        <v>101451.97</v>
      </c>
    </row>
    <row r="288" spans="1:7" x14ac:dyDescent="0.3">
      <c r="A288" s="87">
        <f t="shared" si="98"/>
        <v>168</v>
      </c>
      <c r="B288" s="233" t="s">
        <v>1246</v>
      </c>
      <c r="C288" s="87" t="s">
        <v>220</v>
      </c>
      <c r="D288" s="148">
        <v>320</v>
      </c>
      <c r="E288" s="94">
        <v>125.01069</v>
      </c>
      <c r="F288" s="99">
        <f t="shared" si="93"/>
        <v>40003.42</v>
      </c>
      <c r="G288" s="99">
        <f t="shared" ref="G288" si="100">ROUND(F288*1.2,2)</f>
        <v>48004.1</v>
      </c>
    </row>
    <row r="289" spans="1:7" x14ac:dyDescent="0.3">
      <c r="A289" s="87">
        <f t="shared" si="98"/>
        <v>169</v>
      </c>
      <c r="B289" s="233" t="s">
        <v>635</v>
      </c>
      <c r="C289" s="87" t="s">
        <v>194</v>
      </c>
      <c r="D289" s="148">
        <v>50</v>
      </c>
      <c r="E289" s="94">
        <v>510.3529200000001</v>
      </c>
      <c r="F289" s="99">
        <f t="shared" si="93"/>
        <v>25517.65</v>
      </c>
      <c r="G289" s="99">
        <f t="shared" si="95"/>
        <v>30621.18</v>
      </c>
    </row>
    <row r="290" spans="1:7" x14ac:dyDescent="0.3">
      <c r="A290" s="87"/>
      <c r="B290" s="249"/>
      <c r="C290" s="650"/>
      <c r="D290" s="661"/>
      <c r="E290" s="682"/>
      <c r="F290" s="99">
        <f>SUM(F259:F289)</f>
        <v>1839851.03</v>
      </c>
      <c r="G290" s="99">
        <f t="shared" si="95"/>
        <v>2207821.2400000002</v>
      </c>
    </row>
    <row r="291" spans="1:7" x14ac:dyDescent="0.3">
      <c r="A291" s="154"/>
      <c r="B291" s="960" t="s">
        <v>721</v>
      </c>
      <c r="C291" s="961"/>
      <c r="D291" s="961"/>
      <c r="E291" s="962"/>
      <c r="F291" s="153">
        <f>F290+F257+F250+F223+F199+F123+F109+F95+F56+F42+F28</f>
        <v>47455623.11999999</v>
      </c>
      <c r="G291" s="153">
        <f>G290+G257+G250+G223+G199+G123+G109+G95+G56+G42+G28</f>
        <v>56946747.75</v>
      </c>
    </row>
    <row r="292" spans="1:7" x14ac:dyDescent="0.3">
      <c r="F292" s="15">
        <v>46346329.240000017</v>
      </c>
      <c r="G292" s="15">
        <v>55615595.010000028</v>
      </c>
    </row>
  </sheetData>
  <mergeCells count="18">
    <mergeCell ref="G1:G2"/>
    <mergeCell ref="A1:A2"/>
    <mergeCell ref="B1:B2"/>
    <mergeCell ref="C1:C2"/>
    <mergeCell ref="D1:D2"/>
    <mergeCell ref="E1:E2"/>
    <mergeCell ref="F1:F2"/>
    <mergeCell ref="B43:D43"/>
    <mergeCell ref="B29:D29"/>
    <mergeCell ref="B4:D4"/>
    <mergeCell ref="B96:D96"/>
    <mergeCell ref="B291:E291"/>
    <mergeCell ref="B224:D224"/>
    <mergeCell ref="B251:D251"/>
    <mergeCell ref="B258:D258"/>
    <mergeCell ref="B200:D200"/>
    <mergeCell ref="B124:D124"/>
    <mergeCell ref="B110:D110"/>
  </mergeCells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topLeftCell="A61" zoomScaleNormal="100" zoomScaleSheetLayoutView="70" workbookViewId="0">
      <selection activeCell="B112" sqref="B112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31.109375" style="52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441</v>
      </c>
      <c r="F1" s="970" t="s">
        <v>433</v>
      </c>
      <c r="G1" s="968" t="s">
        <v>409</v>
      </c>
    </row>
    <row r="2" spans="1:10" ht="14.55" customHeight="1" x14ac:dyDescent="0.3">
      <c r="A2" s="964"/>
      <c r="B2" s="966"/>
      <c r="C2" s="954"/>
      <c r="D2" s="954"/>
      <c r="E2" s="972"/>
      <c r="F2" s="970"/>
      <c r="G2" s="968"/>
      <c r="J2" s="335"/>
    </row>
    <row r="3" spans="1:10" ht="56.1" customHeight="1" x14ac:dyDescent="0.3">
      <c r="A3" s="935"/>
      <c r="B3" s="967"/>
      <c r="C3" s="954"/>
      <c r="D3" s="954"/>
      <c r="E3" s="973"/>
      <c r="F3" s="971"/>
      <c r="G3" s="969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5"/>
    </row>
    <row r="5" spans="1:10" ht="20.25" customHeight="1" x14ac:dyDescent="0.3">
      <c r="A5" s="169"/>
      <c r="B5" s="957" t="s">
        <v>232</v>
      </c>
      <c r="C5" s="958"/>
      <c r="D5" s="958"/>
      <c r="E5" s="170"/>
      <c r="F5" s="170">
        <f>SUM(F7:F61)</f>
        <v>7640674.8600000013</v>
      </c>
      <c r="G5" s="170">
        <f>SUM(G7:G61)</f>
        <v>9168809.8500000015</v>
      </c>
    </row>
    <row r="6" spans="1:10" ht="20.25" customHeight="1" x14ac:dyDescent="0.3">
      <c r="A6" s="60"/>
      <c r="B6" s="62" t="s">
        <v>442</v>
      </c>
      <c r="C6" s="63"/>
      <c r="D6" s="63"/>
      <c r="E6" s="64"/>
      <c r="F6" s="65"/>
      <c r="G6" s="123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67">
        <v>464.82929999999999</v>
      </c>
      <c r="F7" s="94">
        <f t="shared" ref="F7:F15" si="0">ROUND(E7*D7,2)</f>
        <v>502015.64</v>
      </c>
      <c r="G7" s="94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67">
        <v>2541.5435879999995</v>
      </c>
      <c r="F8" s="94">
        <f t="shared" si="0"/>
        <v>50830.87</v>
      </c>
      <c r="G8" s="94">
        <f t="shared" si="1"/>
        <v>60997.04</v>
      </c>
    </row>
    <row r="9" spans="1:10" ht="15.6" x14ac:dyDescent="0.3">
      <c r="A9" s="507">
        <f>A8+1</f>
        <v>3</v>
      </c>
      <c r="B9" s="508" t="s">
        <v>445</v>
      </c>
      <c r="C9" s="507" t="s">
        <v>193</v>
      </c>
      <c r="D9" s="523">
        <f>1744/1.6</f>
        <v>1090</v>
      </c>
      <c r="E9" s="510">
        <v>1350</v>
      </c>
      <c r="F9" s="511">
        <f t="shared" si="0"/>
        <v>1471500</v>
      </c>
      <c r="G9" s="511">
        <f t="shared" si="1"/>
        <v>1765800</v>
      </c>
      <c r="I9">
        <f>1360/1.2</f>
        <v>1133.3333333333335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67">
        <v>71.512200000000007</v>
      </c>
      <c r="F10" s="94">
        <f t="shared" si="0"/>
        <v>77948.3</v>
      </c>
      <c r="G10" s="94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67">
        <v>464.82929999999999</v>
      </c>
      <c r="F11" s="94">
        <f t="shared" si="0"/>
        <v>478774.18</v>
      </c>
      <c r="G11" s="94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67">
        <v>1285.789356</v>
      </c>
      <c r="F12" s="94">
        <f t="shared" si="0"/>
        <v>12857.89</v>
      </c>
      <c r="G12" s="94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67">
        <v>464.82929999999999</v>
      </c>
      <c r="F13" s="94">
        <f t="shared" si="0"/>
        <v>3718.63</v>
      </c>
      <c r="G13" s="94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67">
        <v>1285.789356</v>
      </c>
      <c r="F14" s="94">
        <f t="shared" si="0"/>
        <v>2571.58</v>
      </c>
      <c r="G14" s="94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67">
        <v>290.33953199999996</v>
      </c>
      <c r="F15" s="94">
        <f t="shared" si="0"/>
        <v>2903.4</v>
      </c>
      <c r="G15" s="94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67">
        <v>0</v>
      </c>
      <c r="F16" s="94"/>
      <c r="G16" s="94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67">
        <v>1589.001084</v>
      </c>
      <c r="F17" s="94">
        <f t="shared" ref="F17:F23" si="3">ROUND(E17*D17,2)</f>
        <v>266952.18</v>
      </c>
      <c r="G17" s="94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67">
        <v>361.85173199999997</v>
      </c>
      <c r="F18" s="94">
        <f t="shared" si="3"/>
        <v>372707.28</v>
      </c>
      <c r="G18" s="94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67">
        <v>669.3541919999999</v>
      </c>
      <c r="F19" s="94">
        <f t="shared" si="3"/>
        <v>689434.82</v>
      </c>
      <c r="G19" s="94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67">
        <v>2109.6098999999999</v>
      </c>
      <c r="F20" s="94">
        <f t="shared" si="3"/>
        <v>255262.8</v>
      </c>
      <c r="G20" s="94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67">
        <v>1630.4781600000001</v>
      </c>
      <c r="F21" s="94">
        <f t="shared" si="3"/>
        <v>1255468.18</v>
      </c>
      <c r="G21" s="94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67">
        <v>2059.5513599999999</v>
      </c>
      <c r="F22" s="94">
        <f t="shared" si="3"/>
        <v>308932.7</v>
      </c>
      <c r="G22" s="94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67">
        <v>1723.4440200000001</v>
      </c>
      <c r="F23" s="94">
        <f t="shared" si="3"/>
        <v>172344.4</v>
      </c>
      <c r="G23" s="94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67">
        <v>0</v>
      </c>
      <c r="F24" s="94"/>
      <c r="G24" s="94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67">
        <v>3358.2129119999995</v>
      </c>
      <c r="F25" s="94">
        <f>ROUND(E25*D25,2)</f>
        <v>523881.21</v>
      </c>
      <c r="G25" s="94">
        <f t="shared" si="1"/>
        <v>628657.44999999995</v>
      </c>
    </row>
    <row r="26" spans="1:7" ht="15.6" x14ac:dyDescent="0.3">
      <c r="A26" s="60"/>
      <c r="B26" s="62" t="s">
        <v>251</v>
      </c>
      <c r="C26" s="63"/>
      <c r="D26" s="63"/>
      <c r="E26" s="167">
        <v>0</v>
      </c>
      <c r="F26" s="94"/>
      <c r="G26" s="94"/>
    </row>
    <row r="27" spans="1:7" ht="15.6" x14ac:dyDescent="0.3">
      <c r="A27" s="66"/>
      <c r="B27" s="73" t="s">
        <v>460</v>
      </c>
      <c r="C27" s="74"/>
      <c r="D27" s="75"/>
      <c r="E27" s="167">
        <v>0</v>
      </c>
      <c r="F27" s="94"/>
      <c r="G27" s="94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67">
        <v>5690.9408759999997</v>
      </c>
      <c r="F28" s="94">
        <f>ROUND(E28*D28,2)</f>
        <v>10926.61</v>
      </c>
      <c r="G28" s="94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67">
        <v>12046.945211999999</v>
      </c>
      <c r="F29" s="94">
        <f>ROUND(E29*D29,2)</f>
        <v>86738.01</v>
      </c>
      <c r="G29" s="94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67">
        <v>214952.80100399995</v>
      </c>
      <c r="F30" s="94">
        <f>ROUND(E30*D30,2)</f>
        <v>28459.75</v>
      </c>
      <c r="G30" s="94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67">
        <v>457.67808000000002</v>
      </c>
      <c r="F31" s="94">
        <f>ROUND(E31*D31,2)</f>
        <v>16403.18</v>
      </c>
      <c r="G31" s="94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67">
        <v>0</v>
      </c>
      <c r="F32" s="94"/>
      <c r="G32" s="94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67">
        <v>5690.9408759999997</v>
      </c>
      <c r="F33" s="94">
        <f>ROUND(E33*D33,2)</f>
        <v>10243.69</v>
      </c>
      <c r="G33" s="94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67">
        <v>12064.10814</v>
      </c>
      <c r="F34" s="94">
        <f>ROUND(E34*D34,2)</f>
        <v>43430.79</v>
      </c>
      <c r="G34" s="94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67">
        <v>105822.32331600001</v>
      </c>
      <c r="F35" s="94">
        <f>ROUND(E35*D35,2)</f>
        <v>13375.94</v>
      </c>
      <c r="G35" s="94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67">
        <v>214952.80100399995</v>
      </c>
      <c r="F36" s="94">
        <f>ROUND(E36*D36,2)</f>
        <v>43454.86</v>
      </c>
      <c r="G36" s="94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67">
        <v>457.67808000000002</v>
      </c>
      <c r="F37" s="94">
        <f>ROUND(E37*D37,2)</f>
        <v>12082.7</v>
      </c>
      <c r="G37" s="94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67">
        <v>0</v>
      </c>
      <c r="F38" s="94"/>
      <c r="G38" s="94"/>
    </row>
    <row r="39" spans="1:7" ht="15.6" x14ac:dyDescent="0.3">
      <c r="A39" s="66"/>
      <c r="B39" s="73" t="s">
        <v>284</v>
      </c>
      <c r="C39" s="74"/>
      <c r="D39" s="75"/>
      <c r="E39" s="167">
        <v>0</v>
      </c>
      <c r="F39" s="94"/>
      <c r="G39" s="94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67">
        <v>214952.80100399995</v>
      </c>
      <c r="F40" s="94">
        <f>ROUND(E40*D40,2)</f>
        <v>476335.41</v>
      </c>
      <c r="G40" s="94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67">
        <v>217.397088</v>
      </c>
      <c r="F41" s="94">
        <f>ROUND(E41*D41,2)</f>
        <v>12043.8</v>
      </c>
      <c r="G41" s="94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67">
        <v>217.397088</v>
      </c>
      <c r="F42" s="94">
        <f>ROUND(E42*D42,2)</f>
        <v>12043.8</v>
      </c>
      <c r="G42" s="94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67">
        <v>2079.5747759999999</v>
      </c>
      <c r="F43" s="94">
        <f>ROUND(E43*D43,2)</f>
        <v>2245.94</v>
      </c>
      <c r="G43" s="94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67">
        <v>18038.237327999999</v>
      </c>
      <c r="F44" s="94">
        <f>ROUND(E44*D44,2)</f>
        <v>15152.12</v>
      </c>
      <c r="G44" s="94">
        <f t="shared" si="1"/>
        <v>18182.54</v>
      </c>
    </row>
    <row r="45" spans="1:7" ht="15.6" x14ac:dyDescent="0.3">
      <c r="A45" s="66"/>
      <c r="B45" s="73" t="s">
        <v>472</v>
      </c>
      <c r="C45" s="74"/>
      <c r="D45" s="180"/>
      <c r="E45" s="167">
        <v>0</v>
      </c>
      <c r="F45" s="94"/>
      <c r="G45" s="94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67">
        <v>105822.32331600001</v>
      </c>
      <c r="F46" s="94">
        <f>ROUND(E46*D46,2)</f>
        <v>271386.64</v>
      </c>
      <c r="G46" s="94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67">
        <v>217.397088</v>
      </c>
      <c r="F47" s="94">
        <f>ROUND(E47*D47,2)</f>
        <v>14130.81</v>
      </c>
      <c r="G47" s="94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67">
        <v>217.397088</v>
      </c>
      <c r="F48" s="94">
        <f>ROUND(E48*D48,2)</f>
        <v>14130.81</v>
      </c>
      <c r="G48" s="94">
        <f t="shared" si="1"/>
        <v>16956.97</v>
      </c>
    </row>
    <row r="49" spans="1:8" ht="15.6" x14ac:dyDescent="0.3">
      <c r="A49" s="66"/>
      <c r="B49" s="62" t="s">
        <v>314</v>
      </c>
      <c r="C49" s="74"/>
      <c r="D49" s="180"/>
      <c r="E49" s="167">
        <v>0</v>
      </c>
      <c r="F49" s="94"/>
      <c r="G49" s="94"/>
    </row>
    <row r="50" spans="1:8" ht="15.6" x14ac:dyDescent="0.3">
      <c r="A50" s="66"/>
      <c r="B50" s="73" t="s">
        <v>315</v>
      </c>
      <c r="C50" s="74"/>
      <c r="D50" s="180"/>
      <c r="E50" s="167">
        <v>0</v>
      </c>
      <c r="F50" s="94"/>
      <c r="G50" s="94"/>
    </row>
    <row r="51" spans="1:8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67">
        <v>5690.9408759999997</v>
      </c>
      <c r="F51" s="94">
        <f>ROUND(E51*D51,2)</f>
        <v>626</v>
      </c>
      <c r="G51" s="94">
        <f t="shared" si="1"/>
        <v>751.2</v>
      </c>
    </row>
    <row r="52" spans="1:8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67">
        <v>29450.154203999999</v>
      </c>
      <c r="F52" s="94">
        <f>ROUND(E52*D52,2)</f>
        <v>14725.08</v>
      </c>
      <c r="G52" s="94">
        <f t="shared" si="1"/>
        <v>17670.099999999999</v>
      </c>
    </row>
    <row r="53" spans="1:8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67">
        <v>99363.34141199998</v>
      </c>
      <c r="F53" s="94">
        <f>ROUND(E53*D53,2)</f>
        <v>20170.759999999998</v>
      </c>
      <c r="G53" s="94">
        <f t="shared" si="1"/>
        <v>24204.91</v>
      </c>
    </row>
    <row r="54" spans="1:8" ht="15.6" x14ac:dyDescent="0.3">
      <c r="A54" s="66"/>
      <c r="B54" s="73" t="s">
        <v>320</v>
      </c>
      <c r="C54" s="74"/>
      <c r="D54" s="68"/>
      <c r="E54" s="167">
        <v>0</v>
      </c>
      <c r="F54" s="94"/>
      <c r="G54" s="94"/>
    </row>
    <row r="55" spans="1:8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67">
        <v>2388.5074800000002</v>
      </c>
      <c r="F55" s="94">
        <f t="shared" ref="F55:F61" si="8">ROUND(E55*D55,2)</f>
        <v>28662.09</v>
      </c>
      <c r="G55" s="94">
        <f t="shared" si="1"/>
        <v>34394.51</v>
      </c>
    </row>
    <row r="56" spans="1:8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67">
        <v>2859.0577560000002</v>
      </c>
      <c r="F56" s="94">
        <f t="shared" si="8"/>
        <v>27332.59</v>
      </c>
      <c r="G56" s="94">
        <f t="shared" si="1"/>
        <v>32799.11</v>
      </c>
    </row>
    <row r="57" spans="1:8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67">
        <v>1441.2535526511631</v>
      </c>
      <c r="F57" s="94">
        <f t="shared" si="8"/>
        <v>12394.78</v>
      </c>
      <c r="G57" s="94">
        <f t="shared" si="1"/>
        <v>14873.74</v>
      </c>
    </row>
    <row r="58" spans="1:8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67">
        <v>121.57074</v>
      </c>
      <c r="F58" s="94">
        <f t="shared" si="8"/>
        <v>1045.51</v>
      </c>
      <c r="G58" s="94">
        <f t="shared" si="1"/>
        <v>1254.6099999999999</v>
      </c>
    </row>
    <row r="59" spans="1:8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67">
        <v>149.98968828</v>
      </c>
      <c r="F59" s="94">
        <f t="shared" si="8"/>
        <v>1289.9100000000001</v>
      </c>
      <c r="G59" s="94">
        <f t="shared" si="1"/>
        <v>1547.89</v>
      </c>
    </row>
    <row r="60" spans="1:8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67">
        <v>217.397088</v>
      </c>
      <c r="F60" s="94">
        <f t="shared" si="8"/>
        <v>1869.61</v>
      </c>
      <c r="G60" s="94">
        <f t="shared" si="1"/>
        <v>2243.5300000000002</v>
      </c>
    </row>
    <row r="61" spans="1:8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67">
        <v>217.397088</v>
      </c>
      <c r="F61" s="94">
        <f t="shared" si="8"/>
        <v>1869.61</v>
      </c>
      <c r="G61" s="94">
        <f t="shared" si="1"/>
        <v>2243.5300000000002</v>
      </c>
    </row>
    <row r="62" spans="1:8" s="1" customFormat="1" ht="22.5" customHeight="1" x14ac:dyDescent="0.3">
      <c r="A62" s="169"/>
      <c r="B62" s="957" t="s">
        <v>341</v>
      </c>
      <c r="C62" s="958"/>
      <c r="D62" s="958"/>
      <c r="E62" s="706"/>
      <c r="F62" s="706">
        <f>SUM(F63:F82)</f>
        <v>1175345.82</v>
      </c>
      <c r="G62" s="706">
        <f>SUM(G63:G82)</f>
        <v>1410414.98</v>
      </c>
      <c r="H62" s="707"/>
    </row>
    <row r="63" spans="1:8" ht="15.6" x14ac:dyDescent="0.3">
      <c r="A63" s="66"/>
      <c r="B63" s="62" t="s">
        <v>342</v>
      </c>
      <c r="C63" s="74"/>
      <c r="D63" s="75"/>
      <c r="E63" s="167">
        <v>0</v>
      </c>
      <c r="F63" s="69"/>
      <c r="G63" s="123"/>
    </row>
    <row r="64" spans="1:8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67">
        <v>1773.5025600000001</v>
      </c>
      <c r="F64" s="94">
        <f>ROUND(E64*D64,2)</f>
        <v>11350.42</v>
      </c>
      <c r="G64" s="94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67">
        <v>3511.2490199999997</v>
      </c>
      <c r="F65" s="94">
        <f>ROUND(E65*D65,2)</f>
        <v>228231.19</v>
      </c>
      <c r="G65" s="94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67">
        <v>450.52686</v>
      </c>
      <c r="F66" s="94">
        <f>ROUND(E66*D66,2)</f>
        <v>22747.1</v>
      </c>
      <c r="G66" s="94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67">
        <v>0</v>
      </c>
      <c r="F67" s="94"/>
      <c r="G67" s="94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67">
        <v>2541.5435879999995</v>
      </c>
      <c r="F68" s="94">
        <f t="shared" ref="F68:F73" si="12">ROUND(E68*D68,2)</f>
        <v>9530.7900000000009</v>
      </c>
      <c r="G68" s="94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67">
        <v>1285.789356</v>
      </c>
      <c r="F69" s="94">
        <f t="shared" si="12"/>
        <v>1607.24</v>
      </c>
      <c r="G69" s="94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67">
        <v>8661.5576639999999</v>
      </c>
      <c r="F70" s="94">
        <f t="shared" si="12"/>
        <v>19055.43</v>
      </c>
      <c r="G70" s="94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67">
        <v>450.52686</v>
      </c>
      <c r="F71" s="94">
        <f t="shared" si="12"/>
        <v>3433.01</v>
      </c>
      <c r="G71" s="94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67">
        <v>9724.228955999999</v>
      </c>
      <c r="F72" s="94">
        <f t="shared" si="12"/>
        <v>16531.189999999999</v>
      </c>
      <c r="G72" s="94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67">
        <v>477.70149600000002</v>
      </c>
      <c r="F73" s="94">
        <f t="shared" si="12"/>
        <v>341.27</v>
      </c>
      <c r="G73" s="94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67">
        <v>0</v>
      </c>
      <c r="F74" s="94"/>
      <c r="G74" s="94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67">
        <v>464.82929999999999</v>
      </c>
      <c r="F75" s="94">
        <f t="shared" ref="F75:F82" si="13">ROUND(E75*D75,2)</f>
        <v>106910.74</v>
      </c>
      <c r="G75" s="94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67">
        <v>2541.5435879999995</v>
      </c>
      <c r="F76" s="94">
        <f t="shared" si="13"/>
        <v>7421.31</v>
      </c>
      <c r="G76" s="94">
        <f t="shared" si="10"/>
        <v>8905.57</v>
      </c>
    </row>
    <row r="77" spans="1:7" ht="15.6" x14ac:dyDescent="0.3">
      <c r="A77" s="507">
        <f t="shared" si="11"/>
        <v>56</v>
      </c>
      <c r="B77" s="508" t="s">
        <v>493</v>
      </c>
      <c r="C77" s="522" t="s">
        <v>193</v>
      </c>
      <c r="D77" s="509">
        <f>41.12/1.6</f>
        <v>25.699999999999996</v>
      </c>
      <c r="E77" s="510">
        <v>1350</v>
      </c>
      <c r="F77" s="511">
        <f t="shared" si="13"/>
        <v>34695</v>
      </c>
      <c r="G77" s="511">
        <f t="shared" si="10"/>
        <v>41634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67">
        <v>464.82929999999999</v>
      </c>
      <c r="F78" s="94">
        <f t="shared" si="13"/>
        <v>92965.86</v>
      </c>
      <c r="G78" s="94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67">
        <v>1285.789356</v>
      </c>
      <c r="F79" s="94">
        <f t="shared" si="13"/>
        <v>9283.4</v>
      </c>
      <c r="G79" s="94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67">
        <v>5690.9408759999997</v>
      </c>
      <c r="F80" s="94">
        <f t="shared" si="13"/>
        <v>41543.870000000003</v>
      </c>
      <c r="G80" s="94">
        <f t="shared" si="10"/>
        <v>49852.639999999999</v>
      </c>
    </row>
    <row r="81" spans="1:8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67">
        <v>17448.9768</v>
      </c>
      <c r="F81" s="94">
        <f t="shared" si="13"/>
        <v>448438.7</v>
      </c>
      <c r="G81" s="94">
        <f t="shared" si="10"/>
        <v>538126.43999999994</v>
      </c>
    </row>
    <row r="82" spans="1:8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67">
        <v>450.52686</v>
      </c>
      <c r="F82" s="94">
        <f t="shared" si="13"/>
        <v>121259.3</v>
      </c>
      <c r="G82" s="94">
        <f t="shared" si="10"/>
        <v>145511.16</v>
      </c>
    </row>
    <row r="83" spans="1:8" s="1" customFormat="1" ht="19.5" customHeight="1" x14ac:dyDescent="0.3">
      <c r="A83" s="169"/>
      <c r="B83" s="957" t="s">
        <v>364</v>
      </c>
      <c r="C83" s="958"/>
      <c r="D83" s="958"/>
      <c r="E83" s="706"/>
      <c r="F83" s="706">
        <f>SUM(F84:F106)</f>
        <v>8164667.3499999987</v>
      </c>
      <c r="G83" s="706">
        <f>SUM(G84:G106)</f>
        <v>9797600.8299999982</v>
      </c>
      <c r="H83" s="707"/>
    </row>
    <row r="84" spans="1:8" ht="15.6" x14ac:dyDescent="0.3">
      <c r="A84" s="66"/>
      <c r="B84" s="62" t="s">
        <v>495</v>
      </c>
      <c r="C84" s="74"/>
      <c r="D84" s="75"/>
      <c r="E84" s="167">
        <v>0</v>
      </c>
      <c r="F84" s="69"/>
      <c r="G84" s="123"/>
    </row>
    <row r="85" spans="1:8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67">
        <v>178.78050000000002</v>
      </c>
      <c r="F85" s="94">
        <f t="shared" ref="F85:F90" si="14">ROUND(E85*D85,2)</f>
        <v>198267.57</v>
      </c>
      <c r="G85" s="94">
        <f t="shared" ref="G85:G90" si="15">ROUND(F85*1.2,2)</f>
        <v>237921.08</v>
      </c>
    </row>
    <row r="86" spans="1:8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67">
        <v>464.82929999999999</v>
      </c>
      <c r="F86" s="94">
        <f t="shared" si="14"/>
        <v>515495.69</v>
      </c>
      <c r="G86" s="94">
        <f t="shared" si="15"/>
        <v>618594.82999999996</v>
      </c>
    </row>
    <row r="87" spans="1:8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67">
        <v>71.512200000000007</v>
      </c>
      <c r="F87" s="94">
        <f t="shared" si="14"/>
        <v>79307.03</v>
      </c>
      <c r="G87" s="94">
        <f t="shared" si="15"/>
        <v>95168.44</v>
      </c>
    </row>
    <row r="88" spans="1:8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67">
        <v>464.82929999999999</v>
      </c>
      <c r="F88" s="94">
        <f t="shared" si="14"/>
        <v>515495.69</v>
      </c>
      <c r="G88" s="94">
        <f t="shared" si="15"/>
        <v>618594.82999999996</v>
      </c>
    </row>
    <row r="89" spans="1:8" ht="27.6" x14ac:dyDescent="0.3">
      <c r="A89" s="507">
        <f t="shared" si="16"/>
        <v>66</v>
      </c>
      <c r="B89" s="508" t="s">
        <v>499</v>
      </c>
      <c r="C89" s="507" t="s">
        <v>193</v>
      </c>
      <c r="D89" s="518">
        <f>1752.2/1.6</f>
        <v>1095.125</v>
      </c>
      <c r="E89" s="510">
        <v>1350</v>
      </c>
      <c r="F89" s="511">
        <f t="shared" si="14"/>
        <v>1478418.75</v>
      </c>
      <c r="G89" s="511">
        <f t="shared" si="15"/>
        <v>1774102.5</v>
      </c>
    </row>
    <row r="90" spans="1:8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67">
        <v>464.82929999999999</v>
      </c>
      <c r="F90" s="94">
        <f t="shared" si="14"/>
        <v>1225754.8600000001</v>
      </c>
      <c r="G90" s="94">
        <f t="shared" si="15"/>
        <v>1470905.83</v>
      </c>
    </row>
    <row r="91" spans="1:8" ht="15.6" x14ac:dyDescent="0.3">
      <c r="A91" s="66"/>
      <c r="B91" s="62" t="s">
        <v>365</v>
      </c>
      <c r="C91" s="74"/>
      <c r="D91" s="75"/>
      <c r="E91" s="167">
        <v>0</v>
      </c>
      <c r="F91" s="69"/>
      <c r="G91" s="123"/>
    </row>
    <row r="92" spans="1:8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67">
        <v>464.82929999999999</v>
      </c>
      <c r="F92" s="94">
        <f t="shared" ref="F92:F99" si="17">ROUND(E92*D92,2)</f>
        <v>229430.45</v>
      </c>
      <c r="G92" s="94">
        <f t="shared" ref="G92:G99" si="18">ROUND(F92*1.2,2)</f>
        <v>275316.53999999998</v>
      </c>
    </row>
    <row r="93" spans="1:8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67">
        <v>464.82929999999999</v>
      </c>
      <c r="F93" s="94">
        <f t="shared" si="17"/>
        <v>229160.84</v>
      </c>
      <c r="G93" s="94">
        <f t="shared" si="18"/>
        <v>274993.01</v>
      </c>
    </row>
    <row r="94" spans="1:8" ht="15.6" x14ac:dyDescent="0.3">
      <c r="A94" s="507">
        <f t="shared" ref="A94:A99" si="19">A93+1</f>
        <v>70</v>
      </c>
      <c r="B94" s="508" t="s">
        <v>503</v>
      </c>
      <c r="C94" s="522" t="s">
        <v>193</v>
      </c>
      <c r="D94" s="523">
        <f>780/1.6</f>
        <v>487.5</v>
      </c>
      <c r="E94" s="510">
        <v>1350</v>
      </c>
      <c r="F94" s="511">
        <f t="shared" si="17"/>
        <v>658125</v>
      </c>
      <c r="G94" s="511">
        <f t="shared" si="18"/>
        <v>789750</v>
      </c>
    </row>
    <row r="95" spans="1:8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67">
        <v>1589.001084</v>
      </c>
      <c r="F95" s="94">
        <f t="shared" si="17"/>
        <v>446509.3</v>
      </c>
      <c r="G95" s="94">
        <f t="shared" si="18"/>
        <v>535811.16</v>
      </c>
    </row>
    <row r="96" spans="1:8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67">
        <v>2508.6479759999997</v>
      </c>
      <c r="F96" s="94">
        <f t="shared" si="17"/>
        <v>355475.42</v>
      </c>
      <c r="G96" s="94">
        <f t="shared" si="18"/>
        <v>426570.5</v>
      </c>
    </row>
    <row r="97" spans="1:8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67">
        <v>2508.6479759999997</v>
      </c>
      <c r="F97" s="94">
        <f t="shared" si="17"/>
        <v>179368.33</v>
      </c>
      <c r="G97" s="94">
        <f t="shared" si="18"/>
        <v>215242</v>
      </c>
    </row>
    <row r="98" spans="1:8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67">
        <v>2651.6723759999995</v>
      </c>
      <c r="F98" s="94">
        <f t="shared" si="17"/>
        <v>3712.34</v>
      </c>
      <c r="G98" s="94">
        <f t="shared" si="18"/>
        <v>4454.8100000000004</v>
      </c>
    </row>
    <row r="99" spans="1:8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67">
        <v>1630.4781600000001</v>
      </c>
      <c r="F99" s="94">
        <f t="shared" si="17"/>
        <v>1387536.91</v>
      </c>
      <c r="G99" s="94">
        <f t="shared" si="18"/>
        <v>1665044.29</v>
      </c>
    </row>
    <row r="100" spans="1:8" ht="15.6" x14ac:dyDescent="0.3">
      <c r="A100" s="66"/>
      <c r="B100" s="62" t="s">
        <v>923</v>
      </c>
      <c r="C100" s="74"/>
      <c r="D100" s="71"/>
      <c r="E100" s="167">
        <v>0</v>
      </c>
      <c r="F100" s="270"/>
      <c r="G100" s="270"/>
    </row>
    <row r="101" spans="1:8" ht="27.6" x14ac:dyDescent="0.3">
      <c r="A101" s="66">
        <f>A99+1</f>
        <v>76</v>
      </c>
      <c r="B101" s="80" t="s">
        <v>924</v>
      </c>
      <c r="C101" s="66" t="s">
        <v>220</v>
      </c>
      <c r="D101" s="71">
        <v>3</v>
      </c>
      <c r="E101" s="167">
        <v>4917.1788720000004</v>
      </c>
      <c r="F101" s="270">
        <f>ROUND(E101*D101,2)</f>
        <v>14751.54</v>
      </c>
      <c r="G101" s="270">
        <f t="shared" ref="G101:G102" si="20">ROUND(F101*1.2,2)</f>
        <v>17701.849999999999</v>
      </c>
    </row>
    <row r="102" spans="1:8" ht="15.6" x14ac:dyDescent="0.3">
      <c r="A102" s="66">
        <f>A101+1</f>
        <v>77</v>
      </c>
      <c r="B102" s="80" t="s">
        <v>925</v>
      </c>
      <c r="C102" s="66" t="s">
        <v>220</v>
      </c>
      <c r="D102" s="71">
        <v>3</v>
      </c>
      <c r="E102" s="167">
        <v>2972.0470319999999</v>
      </c>
      <c r="F102" s="270">
        <f>ROUND(E102*D102,2)</f>
        <v>8916.14</v>
      </c>
      <c r="G102" s="270">
        <f t="shared" si="20"/>
        <v>10699.37</v>
      </c>
    </row>
    <row r="103" spans="1:8" ht="15.6" x14ac:dyDescent="0.3">
      <c r="A103" s="66"/>
      <c r="B103" s="62" t="s">
        <v>371</v>
      </c>
      <c r="C103" s="74"/>
      <c r="D103" s="71"/>
      <c r="E103" s="167">
        <v>0</v>
      </c>
      <c r="F103" s="69"/>
      <c r="G103" s="123"/>
    </row>
    <row r="104" spans="1:8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67">
        <v>464.82929999999999</v>
      </c>
      <c r="F104" s="94">
        <f>ROUND(E104*D104,2)</f>
        <v>211032.5</v>
      </c>
      <c r="G104" s="94">
        <f t="shared" ref="G104:G106" si="21">ROUND(F104*1.2,2)</f>
        <v>253239</v>
      </c>
    </row>
    <row r="105" spans="1:8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67">
        <v>785.20395599999995</v>
      </c>
      <c r="F105" s="94">
        <f>ROUND(E105*D105,2)</f>
        <v>356482.6</v>
      </c>
      <c r="G105" s="94">
        <f t="shared" si="21"/>
        <v>427779.12</v>
      </c>
    </row>
    <row r="106" spans="1:8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67">
        <v>157.32684</v>
      </c>
      <c r="F106" s="94">
        <f>ROUND(E106*D106,2)</f>
        <v>71426.39</v>
      </c>
      <c r="G106" s="94">
        <f t="shared" si="21"/>
        <v>85711.67</v>
      </c>
    </row>
    <row r="107" spans="1:8" s="1" customFormat="1" ht="22.5" customHeight="1" x14ac:dyDescent="0.3">
      <c r="A107" s="169"/>
      <c r="B107" s="957" t="s">
        <v>375</v>
      </c>
      <c r="C107" s="958"/>
      <c r="D107" s="958"/>
      <c r="E107" s="706"/>
      <c r="F107" s="706">
        <f>SUM(F108:F136)</f>
        <v>1617269.5599999996</v>
      </c>
      <c r="G107" s="706">
        <f>SUM(G108:G136)</f>
        <v>1940723.4899999998</v>
      </c>
      <c r="H107" s="707"/>
    </row>
    <row r="108" spans="1:8" ht="15.6" x14ac:dyDescent="0.3">
      <c r="A108" s="66"/>
      <c r="B108" s="62" t="s">
        <v>512</v>
      </c>
      <c r="C108" s="74"/>
      <c r="D108" s="71"/>
      <c r="E108" s="167">
        <v>0</v>
      </c>
      <c r="F108" s="69"/>
      <c r="G108" s="123"/>
    </row>
    <row r="109" spans="1:8" ht="15.6" x14ac:dyDescent="0.3">
      <c r="A109" s="66"/>
      <c r="B109" s="62" t="s">
        <v>513</v>
      </c>
      <c r="C109" s="74"/>
      <c r="D109" s="71"/>
      <c r="E109" s="167">
        <v>0</v>
      </c>
      <c r="F109" s="69"/>
      <c r="G109" s="123"/>
    </row>
    <row r="110" spans="1:8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67">
        <v>464.82929999999999</v>
      </c>
      <c r="F110" s="94">
        <f t="shared" ref="F110:F116" si="22">ROUND(E110*D110,2)</f>
        <v>105981.08</v>
      </c>
      <c r="G110" s="94">
        <f t="shared" ref="G110:G116" si="23">ROUND(F110*1.2,2)</f>
        <v>127177.3</v>
      </c>
    </row>
    <row r="111" spans="1:8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67">
        <v>2541.5435879999995</v>
      </c>
      <c r="F111" s="94">
        <f t="shared" si="22"/>
        <v>462560.93</v>
      </c>
      <c r="G111" s="94">
        <f t="shared" si="23"/>
        <v>555073.12</v>
      </c>
    </row>
    <row r="112" spans="1:8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67">
        <v>2541.5435879999995</v>
      </c>
      <c r="F112" s="94">
        <f t="shared" si="22"/>
        <v>5083.09</v>
      </c>
      <c r="G112" s="94">
        <f t="shared" si="23"/>
        <v>6099.71</v>
      </c>
    </row>
    <row r="113" spans="1:7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67">
        <v>178.78050000000002</v>
      </c>
      <c r="F113" s="94">
        <f t="shared" si="22"/>
        <v>64360.98</v>
      </c>
      <c r="G113" s="94">
        <f t="shared" si="23"/>
        <v>77233.179999999993</v>
      </c>
    </row>
    <row r="114" spans="1:7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67">
        <v>1285.789356</v>
      </c>
      <c r="F114" s="94">
        <f t="shared" si="22"/>
        <v>36002.1</v>
      </c>
      <c r="G114" s="94">
        <f t="shared" si="23"/>
        <v>43202.52</v>
      </c>
    </row>
    <row r="115" spans="1:7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67">
        <v>464.82929999999999</v>
      </c>
      <c r="F115" s="94">
        <f t="shared" si="22"/>
        <v>24542.99</v>
      </c>
      <c r="G115" s="94">
        <f t="shared" si="23"/>
        <v>29451.59</v>
      </c>
    </row>
    <row r="116" spans="1:7" ht="15.6" x14ac:dyDescent="0.3">
      <c r="A116" s="507">
        <f t="shared" si="24"/>
        <v>87</v>
      </c>
      <c r="B116" s="508" t="s">
        <v>503</v>
      </c>
      <c r="C116" s="507" t="s">
        <v>193</v>
      </c>
      <c r="D116" s="518">
        <f>52.8/1.6</f>
        <v>32.999999999999993</v>
      </c>
      <c r="E116" s="510">
        <v>1350</v>
      </c>
      <c r="F116" s="511">
        <f t="shared" si="22"/>
        <v>44550</v>
      </c>
      <c r="G116" s="511">
        <f t="shared" si="23"/>
        <v>53460</v>
      </c>
    </row>
    <row r="117" spans="1:7" ht="15.6" x14ac:dyDescent="0.3">
      <c r="A117" s="66"/>
      <c r="B117" s="62" t="s">
        <v>519</v>
      </c>
      <c r="C117" s="66"/>
      <c r="D117" s="72"/>
      <c r="E117" s="167">
        <v>0</v>
      </c>
      <c r="F117" s="69"/>
      <c r="G117" s="12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67">
        <v>2033.8069679999999</v>
      </c>
      <c r="F118" s="94">
        <f>ROUND(E118*D118,2)</f>
        <v>1627.05</v>
      </c>
      <c r="G118" s="94">
        <f t="shared" ref="G118:G120" si="25">ROUND(F118*1.2,2)</f>
        <v>1952.46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67">
        <v>1973.7367200000001</v>
      </c>
      <c r="F119" s="94">
        <f>ROUND(E119*D119,2)</f>
        <v>5921.21</v>
      </c>
      <c r="G119" s="94">
        <f t="shared" si="25"/>
        <v>7105.45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67">
        <v>1973.7367200000001</v>
      </c>
      <c r="F120" s="94">
        <f>ROUND(E120*D120,2)</f>
        <v>17763.63</v>
      </c>
      <c r="G120" s="94">
        <f t="shared" si="25"/>
        <v>21316.36</v>
      </c>
    </row>
    <row r="121" spans="1:7" ht="15.6" x14ac:dyDescent="0.3">
      <c r="A121" s="66"/>
      <c r="B121" s="62" t="s">
        <v>523</v>
      </c>
      <c r="C121" s="66"/>
      <c r="D121" s="71"/>
      <c r="E121" s="167">
        <v>0</v>
      </c>
      <c r="F121" s="69"/>
      <c r="G121" s="12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67">
        <v>770.9015159999999</v>
      </c>
      <c r="F122" s="94">
        <f>ROUND(E122*D122,2)</f>
        <v>22356.14</v>
      </c>
      <c r="G122" s="94">
        <f t="shared" ref="G122" si="26">ROUND(F122*1.2,2)</f>
        <v>26827.37</v>
      </c>
    </row>
    <row r="123" spans="1:7" ht="15.6" x14ac:dyDescent="0.3">
      <c r="A123" s="66"/>
      <c r="B123" s="62" t="s">
        <v>525</v>
      </c>
      <c r="C123" s="66"/>
      <c r="D123" s="71"/>
      <c r="E123" s="167">
        <v>0</v>
      </c>
      <c r="F123" s="69"/>
      <c r="G123" s="12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67">
        <v>25993.254456000002</v>
      </c>
      <c r="F124" s="94">
        <f>ROUND(E124*D124,2)</f>
        <v>84218.14</v>
      </c>
      <c r="G124" s="94">
        <f t="shared" ref="G124:G126" si="27">ROUND(F124*1.2,2)</f>
        <v>101061.77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67">
        <v>36150.847343999994</v>
      </c>
      <c r="F125" s="94">
        <f>ROUND(E125*D125,2)</f>
        <v>126527.97</v>
      </c>
      <c r="G125" s="94">
        <f t="shared" si="27"/>
        <v>151833.56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67">
        <v>99795.275100000013</v>
      </c>
      <c r="F126" s="94">
        <f>ROUND(E126*D126,2)</f>
        <v>748.46</v>
      </c>
      <c r="G126" s="94">
        <f t="shared" si="27"/>
        <v>898.15</v>
      </c>
    </row>
    <row r="127" spans="1:7" ht="27.6" x14ac:dyDescent="0.3">
      <c r="A127" s="66"/>
      <c r="B127" s="62" t="s">
        <v>529</v>
      </c>
      <c r="C127" s="66"/>
      <c r="D127" s="71"/>
      <c r="E127" s="167">
        <v>0</v>
      </c>
      <c r="F127" s="69"/>
      <c r="G127" s="12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67">
        <v>464.82929999999999</v>
      </c>
      <c r="F128" s="94">
        <f t="shared" ref="F128:F136" si="28">ROUND(E128*D128,2)</f>
        <v>154323.32999999999</v>
      </c>
      <c r="G128" s="94">
        <f t="shared" ref="G128:G136" si="29">ROUND(F128*1.2,2)</f>
        <v>185188</v>
      </c>
    </row>
    <row r="129" spans="1:8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67">
        <v>2541.5435879999995</v>
      </c>
      <c r="F129" s="94">
        <f t="shared" si="28"/>
        <v>25415.439999999999</v>
      </c>
      <c r="G129" s="94">
        <f t="shared" si="29"/>
        <v>30498.53</v>
      </c>
    </row>
    <row r="130" spans="1:8" ht="15.6" x14ac:dyDescent="0.3">
      <c r="A130" s="66">
        <f t="shared" ref="A130:A136" si="30">A129+1</f>
        <v>97</v>
      </c>
      <c r="B130" s="67" t="s">
        <v>530</v>
      </c>
      <c r="C130" s="66" t="s">
        <v>194</v>
      </c>
      <c r="D130" s="71">
        <v>27</v>
      </c>
      <c r="E130" s="167">
        <v>6988.172184</v>
      </c>
      <c r="F130" s="94">
        <f t="shared" si="28"/>
        <v>188680.65</v>
      </c>
      <c r="G130" s="94">
        <f t="shared" si="29"/>
        <v>226416.78</v>
      </c>
    </row>
    <row r="131" spans="1:8" ht="27.6" x14ac:dyDescent="0.3">
      <c r="A131" s="66">
        <f t="shared" si="30"/>
        <v>98</v>
      </c>
      <c r="B131" s="67" t="s">
        <v>531</v>
      </c>
      <c r="C131" s="66" t="s">
        <v>194</v>
      </c>
      <c r="D131" s="71">
        <v>27</v>
      </c>
      <c r="E131" s="167">
        <v>592.12101599999994</v>
      </c>
      <c r="F131" s="94">
        <f t="shared" si="28"/>
        <v>15987.27</v>
      </c>
      <c r="G131" s="94">
        <f t="shared" si="29"/>
        <v>19184.72</v>
      </c>
    </row>
    <row r="132" spans="1:8" ht="15.6" x14ac:dyDescent="0.3">
      <c r="A132" s="66">
        <f t="shared" si="30"/>
        <v>99</v>
      </c>
      <c r="B132" s="67" t="s">
        <v>532</v>
      </c>
      <c r="C132" s="66" t="s">
        <v>194</v>
      </c>
      <c r="D132" s="71">
        <v>27</v>
      </c>
      <c r="E132" s="167">
        <v>5296.1935320000002</v>
      </c>
      <c r="F132" s="94">
        <f t="shared" si="28"/>
        <v>142997.23000000001</v>
      </c>
      <c r="G132" s="94">
        <f t="shared" si="29"/>
        <v>171596.68</v>
      </c>
    </row>
    <row r="133" spans="1:8" ht="15.6" x14ac:dyDescent="0.3">
      <c r="A133" s="66">
        <f t="shared" si="30"/>
        <v>100</v>
      </c>
      <c r="B133" s="67" t="s">
        <v>516</v>
      </c>
      <c r="C133" s="66" t="s">
        <v>193</v>
      </c>
      <c r="D133" s="71">
        <v>321</v>
      </c>
      <c r="E133" s="167">
        <v>178.78050000000002</v>
      </c>
      <c r="F133" s="94">
        <f t="shared" si="28"/>
        <v>57388.54</v>
      </c>
      <c r="G133" s="94">
        <f t="shared" si="29"/>
        <v>68866.25</v>
      </c>
    </row>
    <row r="134" spans="1:8" ht="15.6" x14ac:dyDescent="0.3">
      <c r="A134" s="66">
        <f t="shared" si="30"/>
        <v>101</v>
      </c>
      <c r="B134" s="67" t="s">
        <v>517</v>
      </c>
      <c r="C134" s="66" t="s">
        <v>193</v>
      </c>
      <c r="D134" s="71">
        <v>17</v>
      </c>
      <c r="E134" s="167">
        <v>1285.789356</v>
      </c>
      <c r="F134" s="94">
        <f t="shared" si="28"/>
        <v>21858.42</v>
      </c>
      <c r="G134" s="94">
        <f t="shared" si="29"/>
        <v>26230.1</v>
      </c>
    </row>
    <row r="135" spans="1:8" ht="15.6" x14ac:dyDescent="0.3">
      <c r="A135" s="66">
        <f t="shared" si="30"/>
        <v>102</v>
      </c>
      <c r="B135" s="67" t="s">
        <v>518</v>
      </c>
      <c r="C135" s="66" t="s">
        <v>239</v>
      </c>
      <c r="D135" s="72">
        <v>6.4</v>
      </c>
      <c r="E135" s="167">
        <v>464.82929999999999</v>
      </c>
      <c r="F135" s="94">
        <f t="shared" si="28"/>
        <v>2974.91</v>
      </c>
      <c r="G135" s="94">
        <f t="shared" si="29"/>
        <v>3569.89</v>
      </c>
    </row>
    <row r="136" spans="1:8" ht="15.6" x14ac:dyDescent="0.3">
      <c r="A136" s="507">
        <f t="shared" si="30"/>
        <v>103</v>
      </c>
      <c r="B136" s="508" t="s">
        <v>503</v>
      </c>
      <c r="C136" s="507" t="s">
        <v>193</v>
      </c>
      <c r="D136" s="518">
        <f>6.4/1.6</f>
        <v>4</v>
      </c>
      <c r="E136" s="510">
        <v>1350</v>
      </c>
      <c r="F136" s="511">
        <f t="shared" si="28"/>
        <v>5400</v>
      </c>
      <c r="G136" s="511">
        <f t="shared" si="29"/>
        <v>6480</v>
      </c>
    </row>
    <row r="137" spans="1:8" s="1" customFormat="1" ht="21" customHeight="1" x14ac:dyDescent="0.3">
      <c r="A137" s="169"/>
      <c r="B137" s="957" t="s">
        <v>399</v>
      </c>
      <c r="C137" s="958"/>
      <c r="D137" s="958"/>
      <c r="E137" s="706"/>
      <c r="F137" s="706">
        <f>SUM(F139:F235)</f>
        <v>4133685.7500000005</v>
      </c>
      <c r="G137" s="706">
        <f>SUM(G139:G235)</f>
        <v>4960422.9000000013</v>
      </c>
      <c r="H137" s="707"/>
    </row>
    <row r="138" spans="1:8" ht="15.6" x14ac:dyDescent="0.3">
      <c r="A138" s="66"/>
      <c r="B138" s="62" t="s">
        <v>512</v>
      </c>
      <c r="C138" s="74"/>
      <c r="D138" s="71"/>
      <c r="E138" s="167">
        <v>0</v>
      </c>
      <c r="F138" s="69"/>
      <c r="G138" s="123"/>
    </row>
    <row r="139" spans="1:8" ht="15.6" x14ac:dyDescent="0.3">
      <c r="A139" s="66"/>
      <c r="B139" s="62" t="s">
        <v>713</v>
      </c>
      <c r="C139" s="66"/>
      <c r="D139" s="72"/>
      <c r="E139" s="167">
        <v>0</v>
      </c>
      <c r="F139" s="69"/>
      <c r="G139" s="123"/>
    </row>
    <row r="140" spans="1:8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67">
        <v>26674.582968600003</v>
      </c>
      <c r="F140" s="94">
        <f t="shared" ref="F140:F145" si="31">ROUND(E140*D140,2)</f>
        <v>144042.75</v>
      </c>
      <c r="G140" s="94">
        <f t="shared" ref="G140:G145" si="32">ROUND(F140*1.2,2)</f>
        <v>172851.3</v>
      </c>
    </row>
    <row r="141" spans="1:8" ht="15.6" x14ac:dyDescent="0.3">
      <c r="A141" s="66">
        <f>A140+1</f>
        <v>105</v>
      </c>
      <c r="B141" s="67" t="s">
        <v>534</v>
      </c>
      <c r="C141" s="66" t="s">
        <v>239</v>
      </c>
      <c r="D141" s="217">
        <v>2.06</v>
      </c>
      <c r="E141" s="167">
        <v>44540.334819169802</v>
      </c>
      <c r="F141" s="94">
        <f t="shared" si="31"/>
        <v>91753.09</v>
      </c>
      <c r="G141" s="94">
        <f t="shared" si="32"/>
        <v>110103.71</v>
      </c>
    </row>
    <row r="142" spans="1:8" ht="15.6" x14ac:dyDescent="0.3">
      <c r="A142" s="87">
        <f t="shared" ref="A142:A145" si="33">A141+1</f>
        <v>106</v>
      </c>
      <c r="B142" s="233" t="s">
        <v>928</v>
      </c>
      <c r="C142" s="87" t="s">
        <v>239</v>
      </c>
      <c r="D142" s="217">
        <v>1.95</v>
      </c>
      <c r="E142" s="167">
        <v>44540.334819169802</v>
      </c>
      <c r="F142" s="99">
        <f t="shared" si="31"/>
        <v>86853.65</v>
      </c>
      <c r="G142" s="99">
        <f t="shared" si="32"/>
        <v>104224.38</v>
      </c>
    </row>
    <row r="143" spans="1:8" ht="15.6" x14ac:dyDescent="0.3">
      <c r="A143" s="66">
        <f t="shared" si="33"/>
        <v>107</v>
      </c>
      <c r="B143" s="67" t="s">
        <v>535</v>
      </c>
      <c r="C143" s="66" t="s">
        <v>239</v>
      </c>
      <c r="D143" s="217">
        <v>1.65</v>
      </c>
      <c r="E143" s="167">
        <v>44540.33481916981</v>
      </c>
      <c r="F143" s="94">
        <f t="shared" si="31"/>
        <v>73491.55</v>
      </c>
      <c r="G143" s="94">
        <f t="shared" si="32"/>
        <v>88189.86</v>
      </c>
    </row>
    <row r="144" spans="1:8" ht="15.6" x14ac:dyDescent="0.3">
      <c r="A144" s="66">
        <f t="shared" si="33"/>
        <v>108</v>
      </c>
      <c r="B144" s="67" t="s">
        <v>536</v>
      </c>
      <c r="C144" s="66" t="s">
        <v>239</v>
      </c>
      <c r="D144" s="217">
        <v>20</v>
      </c>
      <c r="E144" s="167">
        <v>357.56100000000004</v>
      </c>
      <c r="F144" s="94">
        <f t="shared" si="31"/>
        <v>7151.22</v>
      </c>
      <c r="G144" s="94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17">
        <v>20</v>
      </c>
      <c r="E145" s="167">
        <v>71.512200000000007</v>
      </c>
      <c r="F145" s="94">
        <f t="shared" si="31"/>
        <v>1430.24</v>
      </c>
      <c r="G145" s="94">
        <f t="shared" si="32"/>
        <v>1716.29</v>
      </c>
    </row>
    <row r="146" spans="1:7" ht="15.6" x14ac:dyDescent="0.3">
      <c r="A146" s="66"/>
      <c r="B146" s="182" t="s">
        <v>513</v>
      </c>
      <c r="C146" s="74"/>
      <c r="D146" s="218"/>
      <c r="E146" s="167">
        <v>0</v>
      </c>
      <c r="F146" s="69"/>
      <c r="G146" s="12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18">
        <v>77.400000000000006</v>
      </c>
      <c r="E147" s="167">
        <v>464.82929999999999</v>
      </c>
      <c r="F147" s="94">
        <f>ROUND(E147*D147,2)</f>
        <v>35977.79</v>
      </c>
      <c r="G147" s="94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18">
        <v>1.5</v>
      </c>
      <c r="E148" s="167">
        <v>2541.02870016</v>
      </c>
      <c r="F148" s="94">
        <f>ROUND(E148*D148,2)</f>
        <v>3811.54</v>
      </c>
      <c r="G148" s="94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18">
        <v>80.099999999999994</v>
      </c>
      <c r="E149" s="167">
        <v>178.78050000000002</v>
      </c>
      <c r="F149" s="94">
        <f>ROUND(E149*D149,2)</f>
        <v>14320.32</v>
      </c>
      <c r="G149" s="94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18">
        <v>4.2</v>
      </c>
      <c r="E150" s="167">
        <v>1285.5748194000003</v>
      </c>
      <c r="F150" s="94">
        <f>ROUND(E150*D150,2)</f>
        <v>5399.41</v>
      </c>
      <c r="G150" s="94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17">
        <v>8.64</v>
      </c>
      <c r="E151" s="167">
        <v>178.78050000000002</v>
      </c>
      <c r="F151" s="94">
        <f>ROUND(E151*D151,2)</f>
        <v>1544.66</v>
      </c>
      <c r="G151" s="94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48"/>
      <c r="E152" s="167">
        <v>0</v>
      </c>
      <c r="F152" s="69"/>
      <c r="G152" s="12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18">
        <f>490.6+217.7</f>
        <v>708.3</v>
      </c>
      <c r="E153" s="167">
        <v>464.82929999999999</v>
      </c>
      <c r="F153" s="94">
        <f t="shared" ref="F153:F159" si="36">ROUND(E153*D153,2)</f>
        <v>329238.59000000003</v>
      </c>
      <c r="G153" s="94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18">
        <f>14.72+3.81</f>
        <v>18.53</v>
      </c>
      <c r="E154" s="167">
        <v>2541.4444886966298</v>
      </c>
      <c r="F154" s="94">
        <f t="shared" si="36"/>
        <v>47092.97</v>
      </c>
      <c r="G154" s="94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18">
        <f>337.86+170.18</f>
        <v>508.04</v>
      </c>
      <c r="E155" s="167">
        <v>178.78050000000002</v>
      </c>
      <c r="F155" s="94">
        <f t="shared" si="36"/>
        <v>90827.65</v>
      </c>
      <c r="G155" s="94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48">
        <f>84.46+42.54</f>
        <v>127</v>
      </c>
      <c r="E156" s="167">
        <v>1285.3412128800001</v>
      </c>
      <c r="F156" s="94">
        <f t="shared" si="36"/>
        <v>163238.32999999999</v>
      </c>
      <c r="G156" s="94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18">
        <f>132.8+14.1</f>
        <v>146.9</v>
      </c>
      <c r="E157" s="167">
        <v>464.82929999999999</v>
      </c>
      <c r="F157" s="94">
        <f t="shared" si="36"/>
        <v>68283.42</v>
      </c>
      <c r="G157" s="94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18">
        <f t="shared" ref="D158:D159" si="39">132.8+14.1</f>
        <v>146.9</v>
      </c>
      <c r="E158" s="167">
        <v>357.56100000000004</v>
      </c>
      <c r="F158" s="94">
        <f t="shared" si="36"/>
        <v>52525.71</v>
      </c>
      <c r="G158" s="94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18">
        <f t="shared" si="39"/>
        <v>146.9</v>
      </c>
      <c r="E159" s="167">
        <v>71.512200000000007</v>
      </c>
      <c r="F159" s="94">
        <f t="shared" si="36"/>
        <v>10505.14</v>
      </c>
      <c r="G159" s="94">
        <f t="shared" si="37"/>
        <v>12606.17</v>
      </c>
    </row>
    <row r="160" spans="1:7" ht="27.6" x14ac:dyDescent="0.3">
      <c r="A160" s="66"/>
      <c r="B160" s="62" t="s">
        <v>941</v>
      </c>
      <c r="C160" s="66"/>
      <c r="D160" s="72"/>
      <c r="E160" s="167">
        <v>0</v>
      </c>
      <c r="F160" s="69"/>
      <c r="G160" s="12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48">
        <v>11</v>
      </c>
      <c r="E161" s="167">
        <v>8924.7225600000002</v>
      </c>
      <c r="F161" s="94">
        <f t="shared" ref="F161:F183" si="40">ROUND(E161*D161,2)</f>
        <v>98171.95</v>
      </c>
      <c r="G161" s="94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48">
        <v>43</v>
      </c>
      <c r="E162" s="167">
        <v>2231.18064</v>
      </c>
      <c r="F162" s="94">
        <f t="shared" si="40"/>
        <v>95940.77</v>
      </c>
      <c r="G162" s="94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48">
        <v>14</v>
      </c>
      <c r="E163" s="167">
        <v>1516.05864</v>
      </c>
      <c r="F163" s="94">
        <f t="shared" si="40"/>
        <v>21224.82</v>
      </c>
      <c r="G163" s="94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17">
        <v>0.02</v>
      </c>
      <c r="E164" s="167">
        <v>182207.36462399998</v>
      </c>
      <c r="F164" s="94">
        <f t="shared" si="40"/>
        <v>3644.15</v>
      </c>
      <c r="G164" s="94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17">
        <v>5.63</v>
      </c>
      <c r="E165" s="167">
        <v>8242.7785535076946</v>
      </c>
      <c r="F165" s="94">
        <f t="shared" si="40"/>
        <v>46406.84</v>
      </c>
      <c r="G165" s="94">
        <f t="shared" si="41"/>
        <v>55688.21</v>
      </c>
    </row>
    <row r="166" spans="1:8" ht="27.6" x14ac:dyDescent="0.3">
      <c r="A166" s="87">
        <f t="shared" si="42"/>
        <v>126</v>
      </c>
      <c r="B166" s="233" t="s">
        <v>929</v>
      </c>
      <c r="C166" s="87" t="s">
        <v>431</v>
      </c>
      <c r="D166" s="217">
        <v>171.64</v>
      </c>
      <c r="E166" s="167">
        <v>1441.2535526511631</v>
      </c>
      <c r="F166" s="99">
        <f t="shared" si="40"/>
        <v>247376.76</v>
      </c>
      <c r="G166" s="99">
        <f t="shared" si="41"/>
        <v>296852.11</v>
      </c>
    </row>
    <row r="167" spans="1:8" ht="27.6" x14ac:dyDescent="0.3">
      <c r="A167" s="87">
        <f t="shared" si="42"/>
        <v>127</v>
      </c>
      <c r="B167" s="233" t="s">
        <v>930</v>
      </c>
      <c r="C167" s="239" t="s">
        <v>431</v>
      </c>
      <c r="D167" s="217">
        <v>171.64</v>
      </c>
      <c r="E167" s="167">
        <v>217.397088</v>
      </c>
      <c r="F167" s="99">
        <f t="shared" si="40"/>
        <v>37314.04</v>
      </c>
      <c r="G167" s="99">
        <f t="shared" si="41"/>
        <v>44776.85</v>
      </c>
    </row>
    <row r="168" spans="1:8" ht="27.6" x14ac:dyDescent="0.3">
      <c r="A168" s="87">
        <f t="shared" si="42"/>
        <v>128</v>
      </c>
      <c r="B168" s="233" t="s">
        <v>931</v>
      </c>
      <c r="C168" s="87" t="s">
        <v>431</v>
      </c>
      <c r="D168" s="217">
        <v>171.64</v>
      </c>
      <c r="E168" s="167">
        <v>451.29919176000004</v>
      </c>
      <c r="F168" s="99">
        <f t="shared" si="40"/>
        <v>77460.990000000005</v>
      </c>
      <c r="G168" s="99">
        <f t="shared" si="41"/>
        <v>92953.19</v>
      </c>
    </row>
    <row r="169" spans="1:8" ht="27.6" x14ac:dyDescent="0.3">
      <c r="A169" s="66">
        <f t="shared" si="42"/>
        <v>129</v>
      </c>
      <c r="B169" s="67" t="s">
        <v>1067</v>
      </c>
      <c r="C169" s="66" t="s">
        <v>193</v>
      </c>
      <c r="D169" s="68">
        <v>0.34</v>
      </c>
      <c r="E169" s="167">
        <v>43412.110317359999</v>
      </c>
      <c r="F169" s="270">
        <f t="shared" si="40"/>
        <v>14760.12</v>
      </c>
      <c r="G169" s="270">
        <f t="shared" si="41"/>
        <v>17712.14</v>
      </c>
      <c r="H169" s="203"/>
    </row>
    <row r="170" spans="1:8" ht="27.6" x14ac:dyDescent="0.3">
      <c r="A170" s="66">
        <f t="shared" si="42"/>
        <v>130</v>
      </c>
      <c r="B170" s="67" t="s">
        <v>932</v>
      </c>
      <c r="C170" s="66" t="s">
        <v>193</v>
      </c>
      <c r="D170" s="68">
        <v>0.62</v>
      </c>
      <c r="E170" s="167">
        <v>43412.110317359999</v>
      </c>
      <c r="F170" s="270">
        <f t="shared" si="40"/>
        <v>26915.51</v>
      </c>
      <c r="G170" s="270">
        <f t="shared" si="41"/>
        <v>32298.61</v>
      </c>
    </row>
    <row r="171" spans="1:8" ht="27.6" x14ac:dyDescent="0.3">
      <c r="A171" s="87">
        <f t="shared" si="42"/>
        <v>131</v>
      </c>
      <c r="B171" s="233" t="s">
        <v>929</v>
      </c>
      <c r="C171" s="87" t="s">
        <v>431</v>
      </c>
      <c r="D171" s="217">
        <v>0.8</v>
      </c>
      <c r="E171" s="167">
        <v>1441.2535526511631</v>
      </c>
      <c r="F171" s="99">
        <f t="shared" si="40"/>
        <v>1153</v>
      </c>
      <c r="G171" s="99">
        <f t="shared" si="41"/>
        <v>1383.6</v>
      </c>
    </row>
    <row r="172" spans="1:8" ht="27.6" x14ac:dyDescent="0.3">
      <c r="A172" s="87">
        <f t="shared" si="42"/>
        <v>132</v>
      </c>
      <c r="B172" s="233" t="s">
        <v>930</v>
      </c>
      <c r="C172" s="239" t="s">
        <v>431</v>
      </c>
      <c r="D172" s="217">
        <v>3.8</v>
      </c>
      <c r="E172" s="167">
        <v>217.397088</v>
      </c>
      <c r="F172" s="99">
        <f t="shared" si="40"/>
        <v>826.11</v>
      </c>
      <c r="G172" s="99">
        <f t="shared" si="41"/>
        <v>991.33</v>
      </c>
    </row>
    <row r="173" spans="1:8" ht="27.6" x14ac:dyDescent="0.3">
      <c r="A173" s="87">
        <f t="shared" si="42"/>
        <v>133</v>
      </c>
      <c r="B173" s="233" t="s">
        <v>931</v>
      </c>
      <c r="C173" s="87" t="s">
        <v>431</v>
      </c>
      <c r="D173" s="217">
        <v>3.8</v>
      </c>
      <c r="E173" s="167">
        <v>451.29919176000004</v>
      </c>
      <c r="F173" s="99">
        <f t="shared" si="40"/>
        <v>1714.94</v>
      </c>
      <c r="G173" s="99">
        <f t="shared" si="41"/>
        <v>2057.9299999999998</v>
      </c>
    </row>
    <row r="174" spans="1:8" ht="15.6" x14ac:dyDescent="0.3">
      <c r="A174" s="87">
        <f t="shared" si="42"/>
        <v>134</v>
      </c>
      <c r="B174" s="233" t="s">
        <v>933</v>
      </c>
      <c r="C174" s="87" t="s">
        <v>193</v>
      </c>
      <c r="D174" s="217">
        <v>1.5</v>
      </c>
      <c r="E174" s="167">
        <v>8239.6978685217382</v>
      </c>
      <c r="F174" s="99">
        <f t="shared" si="40"/>
        <v>12359.55</v>
      </c>
      <c r="G174" s="99">
        <f t="shared" si="41"/>
        <v>14831.46</v>
      </c>
    </row>
    <row r="175" spans="1:8" ht="27.6" x14ac:dyDescent="0.3">
      <c r="A175" s="102">
        <f t="shared" si="42"/>
        <v>135</v>
      </c>
      <c r="B175" s="287" t="s">
        <v>934</v>
      </c>
      <c r="C175" s="102" t="s">
        <v>193</v>
      </c>
      <c r="D175" s="288">
        <v>0.16</v>
      </c>
      <c r="E175" s="167">
        <v>9931.2567749999998</v>
      </c>
      <c r="F175" s="270">
        <f t="shared" si="40"/>
        <v>1589</v>
      </c>
      <c r="G175" s="270">
        <f t="shared" si="41"/>
        <v>1906.8</v>
      </c>
    </row>
    <row r="176" spans="1:8" ht="15.6" x14ac:dyDescent="0.3">
      <c r="A176" s="102">
        <f t="shared" si="42"/>
        <v>136</v>
      </c>
      <c r="B176" s="287" t="s">
        <v>935</v>
      </c>
      <c r="C176" s="102" t="s">
        <v>193</v>
      </c>
      <c r="D176" s="288">
        <v>0.6</v>
      </c>
      <c r="E176" s="167">
        <v>9930.6608400000005</v>
      </c>
      <c r="F176" s="270">
        <f t="shared" si="40"/>
        <v>5958.4</v>
      </c>
      <c r="G176" s="270">
        <f t="shared" si="41"/>
        <v>7150.08</v>
      </c>
    </row>
    <row r="177" spans="1:8" ht="27.6" x14ac:dyDescent="0.3">
      <c r="A177" s="87">
        <f t="shared" si="42"/>
        <v>137</v>
      </c>
      <c r="B177" s="233" t="s">
        <v>929</v>
      </c>
      <c r="C177" s="87" t="s">
        <v>431</v>
      </c>
      <c r="D177" s="217">
        <v>4.5</v>
      </c>
      <c r="E177" s="167">
        <v>1441.2535526511631</v>
      </c>
      <c r="F177" s="99">
        <f t="shared" si="40"/>
        <v>6485.64</v>
      </c>
      <c r="G177" s="99">
        <f t="shared" si="41"/>
        <v>7782.77</v>
      </c>
    </row>
    <row r="178" spans="1:8" ht="27.6" x14ac:dyDescent="0.3">
      <c r="A178" s="87">
        <f t="shared" si="42"/>
        <v>138</v>
      </c>
      <c r="B178" s="233" t="s">
        <v>930</v>
      </c>
      <c r="C178" s="239" t="s">
        <v>431</v>
      </c>
      <c r="D178" s="217">
        <v>4.5</v>
      </c>
      <c r="E178" s="167">
        <v>217.397088</v>
      </c>
      <c r="F178" s="99">
        <f t="shared" si="40"/>
        <v>978.29</v>
      </c>
      <c r="G178" s="99">
        <f t="shared" si="41"/>
        <v>1173.95</v>
      </c>
    </row>
    <row r="179" spans="1:8" ht="27.6" x14ac:dyDescent="0.3">
      <c r="A179" s="87">
        <f t="shared" si="42"/>
        <v>139</v>
      </c>
      <c r="B179" s="233" t="s">
        <v>931</v>
      </c>
      <c r="C179" s="87" t="s">
        <v>431</v>
      </c>
      <c r="D179" s="217">
        <v>4.5</v>
      </c>
      <c r="E179" s="167">
        <v>451.29919176000004</v>
      </c>
      <c r="F179" s="99">
        <f t="shared" si="40"/>
        <v>2030.85</v>
      </c>
      <c r="G179" s="99">
        <f t="shared" si="41"/>
        <v>2437.02</v>
      </c>
    </row>
    <row r="180" spans="1:8" ht="15.6" x14ac:dyDescent="0.3">
      <c r="A180" s="66">
        <f t="shared" si="42"/>
        <v>140</v>
      </c>
      <c r="B180" s="67" t="s">
        <v>936</v>
      </c>
      <c r="C180" s="66" t="s">
        <v>193</v>
      </c>
      <c r="D180" s="68">
        <v>0.08</v>
      </c>
      <c r="E180" s="167">
        <v>40761.953999999998</v>
      </c>
      <c r="F180" s="270">
        <f t="shared" si="40"/>
        <v>3260.96</v>
      </c>
      <c r="G180" s="270">
        <f t="shared" si="41"/>
        <v>3913.15</v>
      </c>
    </row>
    <row r="181" spans="1:8" ht="15.6" x14ac:dyDescent="0.3">
      <c r="A181" s="66">
        <f t="shared" si="42"/>
        <v>141</v>
      </c>
      <c r="B181" s="67" t="s">
        <v>940</v>
      </c>
      <c r="C181" s="66" t="s">
        <v>220</v>
      </c>
      <c r="D181" s="71">
        <v>1</v>
      </c>
      <c r="E181" s="167">
        <v>37525.311827999998</v>
      </c>
      <c r="F181" s="270">
        <f t="shared" si="40"/>
        <v>37525.31</v>
      </c>
      <c r="G181" s="270">
        <f t="shared" si="41"/>
        <v>45030.37</v>
      </c>
    </row>
    <row r="182" spans="1:8" ht="15.6" x14ac:dyDescent="0.3">
      <c r="A182" s="66">
        <f t="shared" si="42"/>
        <v>142</v>
      </c>
      <c r="B182" s="67" t="s">
        <v>1252</v>
      </c>
      <c r="C182" s="66" t="s">
        <v>254</v>
      </c>
      <c r="D182" s="68">
        <v>138.83000000000001</v>
      </c>
      <c r="E182" s="167">
        <v>31.287553324209458</v>
      </c>
      <c r="F182" s="270">
        <f t="shared" si="40"/>
        <v>4343.6499999999996</v>
      </c>
      <c r="G182" s="270">
        <f t="shared" si="41"/>
        <v>5212.38</v>
      </c>
    </row>
    <row r="183" spans="1:8" ht="15.6" x14ac:dyDescent="0.3">
      <c r="A183" s="66">
        <f t="shared" si="42"/>
        <v>143</v>
      </c>
      <c r="B183" s="67" t="s">
        <v>939</v>
      </c>
      <c r="C183" s="66" t="s">
        <v>254</v>
      </c>
      <c r="D183" s="68">
        <v>45</v>
      </c>
      <c r="E183" s="167">
        <v>164.82131856000001</v>
      </c>
      <c r="F183" s="270">
        <f t="shared" si="40"/>
        <v>7416.96</v>
      </c>
      <c r="G183" s="270">
        <f t="shared" si="41"/>
        <v>8900.35</v>
      </c>
    </row>
    <row r="184" spans="1:8" ht="15.6" x14ac:dyDescent="0.3">
      <c r="A184" s="87"/>
      <c r="B184" s="216" t="s">
        <v>942</v>
      </c>
      <c r="C184" s="87"/>
      <c r="D184" s="217"/>
      <c r="E184" s="167">
        <v>0</v>
      </c>
      <c r="F184" s="99"/>
      <c r="G184" s="99"/>
    </row>
    <row r="185" spans="1:8" ht="15.6" x14ac:dyDescent="0.3">
      <c r="A185" s="66">
        <f>A183+1</f>
        <v>144</v>
      </c>
      <c r="B185" s="67" t="s">
        <v>943</v>
      </c>
      <c r="C185" s="66" t="s">
        <v>193</v>
      </c>
      <c r="D185" s="68">
        <v>9.9</v>
      </c>
      <c r="E185" s="167">
        <v>19512.135553199998</v>
      </c>
      <c r="F185" s="270">
        <f t="shared" ref="F185:F205" si="43">ROUND(E185*D185,2)</f>
        <v>193170.14</v>
      </c>
      <c r="G185" s="270">
        <f t="shared" ref="G185:G205" si="44">ROUND(F185*1.2,2)</f>
        <v>231804.17</v>
      </c>
      <c r="H185" s="289"/>
    </row>
    <row r="186" spans="1:8" ht="15.6" x14ac:dyDescent="0.3">
      <c r="A186" s="87">
        <f>A185+1</f>
        <v>145</v>
      </c>
      <c r="B186" s="233" t="s">
        <v>944</v>
      </c>
      <c r="C186" s="87" t="s">
        <v>193</v>
      </c>
      <c r="D186" s="217">
        <v>1.7</v>
      </c>
      <c r="E186" s="167">
        <v>18982.412904599998</v>
      </c>
      <c r="F186" s="99">
        <f t="shared" si="43"/>
        <v>32270.1</v>
      </c>
      <c r="G186" s="99">
        <f t="shared" si="44"/>
        <v>38724.120000000003</v>
      </c>
    </row>
    <row r="187" spans="1:8" ht="15.6" x14ac:dyDescent="0.3">
      <c r="A187" s="66">
        <f t="shared" ref="A187:A192" si="45">A186+1</f>
        <v>146</v>
      </c>
      <c r="B187" s="67" t="s">
        <v>1253</v>
      </c>
      <c r="C187" s="102" t="s">
        <v>220</v>
      </c>
      <c r="D187" s="290">
        <v>3</v>
      </c>
      <c r="E187" s="167">
        <v>4349.3720039999998</v>
      </c>
      <c r="F187" s="270">
        <f t="shared" si="43"/>
        <v>13048.12</v>
      </c>
      <c r="G187" s="270">
        <f t="shared" si="44"/>
        <v>15657.74</v>
      </c>
      <c r="H187" s="291" t="s">
        <v>1256</v>
      </c>
    </row>
    <row r="188" spans="1:8" ht="15.6" x14ac:dyDescent="0.3">
      <c r="A188" s="66">
        <f t="shared" si="45"/>
        <v>147</v>
      </c>
      <c r="B188" s="67" t="s">
        <v>1254</v>
      </c>
      <c r="C188" s="102" t="s">
        <v>220</v>
      </c>
      <c r="D188" s="290">
        <v>2</v>
      </c>
      <c r="E188" s="167">
        <v>2025.225504</v>
      </c>
      <c r="F188" s="270">
        <f t="shared" si="43"/>
        <v>4050.45</v>
      </c>
      <c r="G188" s="270">
        <f t="shared" si="44"/>
        <v>4860.54</v>
      </c>
      <c r="H188" s="291" t="s">
        <v>1256</v>
      </c>
    </row>
    <row r="189" spans="1:8" ht="15.6" x14ac:dyDescent="0.3">
      <c r="A189" s="66">
        <f t="shared" si="45"/>
        <v>148</v>
      </c>
      <c r="B189" s="67" t="s">
        <v>1255</v>
      </c>
      <c r="C189" s="102" t="s">
        <v>220</v>
      </c>
      <c r="D189" s="290">
        <v>1</v>
      </c>
      <c r="E189" s="167">
        <v>1850.7357359999999</v>
      </c>
      <c r="F189" s="270">
        <f t="shared" si="43"/>
        <v>1850.74</v>
      </c>
      <c r="G189" s="270">
        <f t="shared" si="44"/>
        <v>2220.89</v>
      </c>
      <c r="H189" s="291" t="s">
        <v>1256</v>
      </c>
    </row>
    <row r="190" spans="1:8" ht="15.6" x14ac:dyDescent="0.3">
      <c r="A190" s="66">
        <f t="shared" si="45"/>
        <v>149</v>
      </c>
      <c r="B190" s="67" t="s">
        <v>945</v>
      </c>
      <c r="C190" s="66" t="s">
        <v>220</v>
      </c>
      <c r="D190" s="71">
        <v>2</v>
      </c>
      <c r="E190" s="167">
        <v>6134.3165159999999</v>
      </c>
      <c r="F190" s="270">
        <f t="shared" si="43"/>
        <v>12268.63</v>
      </c>
      <c r="G190" s="270">
        <f t="shared" si="44"/>
        <v>14722.36</v>
      </c>
      <c r="H190" s="289"/>
    </row>
    <row r="191" spans="1:8" ht="15.6" x14ac:dyDescent="0.3">
      <c r="A191" s="66">
        <f t="shared" si="45"/>
        <v>150</v>
      </c>
      <c r="B191" s="67" t="s">
        <v>946</v>
      </c>
      <c r="C191" s="66" t="s">
        <v>220</v>
      </c>
      <c r="D191" s="71">
        <v>2</v>
      </c>
      <c r="E191" s="167">
        <v>2972.0470319999999</v>
      </c>
      <c r="F191" s="270">
        <f t="shared" si="43"/>
        <v>5944.09</v>
      </c>
      <c r="G191" s="270">
        <f t="shared" si="44"/>
        <v>7132.91</v>
      </c>
      <c r="H191" s="289"/>
    </row>
    <row r="192" spans="1:8" ht="15.6" x14ac:dyDescent="0.3">
      <c r="A192" s="66">
        <f t="shared" si="45"/>
        <v>151</v>
      </c>
      <c r="B192" s="67" t="s">
        <v>947</v>
      </c>
      <c r="C192" s="66" t="s">
        <v>220</v>
      </c>
      <c r="D192" s="71">
        <v>2</v>
      </c>
      <c r="E192" s="167">
        <v>2972.0470319999999</v>
      </c>
      <c r="F192" s="270">
        <f t="shared" si="43"/>
        <v>5944.09</v>
      </c>
      <c r="G192" s="270">
        <f t="shared" si="44"/>
        <v>7132.91</v>
      </c>
      <c r="H192" s="289"/>
    </row>
    <row r="193" spans="1:8" ht="27.6" x14ac:dyDescent="0.3">
      <c r="A193" s="66">
        <f>A192+1</f>
        <v>152</v>
      </c>
      <c r="B193" s="67" t="s">
        <v>948</v>
      </c>
      <c r="C193" s="66" t="s">
        <v>220</v>
      </c>
      <c r="D193" s="71">
        <v>2</v>
      </c>
      <c r="E193" s="167">
        <v>8105.1927479999995</v>
      </c>
      <c r="F193" s="270">
        <f t="shared" si="43"/>
        <v>16210.39</v>
      </c>
      <c r="G193" s="270">
        <f t="shared" si="44"/>
        <v>19452.47</v>
      </c>
      <c r="H193" s="289"/>
    </row>
    <row r="194" spans="1:8" ht="27.6" x14ac:dyDescent="0.3">
      <c r="A194" s="66">
        <f t="shared" ref="A194:A196" si="46">A193+1</f>
        <v>153</v>
      </c>
      <c r="B194" s="67" t="s">
        <v>949</v>
      </c>
      <c r="C194" s="66" t="s">
        <v>220</v>
      </c>
      <c r="D194" s="71">
        <v>2</v>
      </c>
      <c r="E194" s="167">
        <v>26749.853531999997</v>
      </c>
      <c r="F194" s="270">
        <f t="shared" si="43"/>
        <v>53499.71</v>
      </c>
      <c r="G194" s="270">
        <f t="shared" si="44"/>
        <v>64199.65</v>
      </c>
      <c r="H194" s="289"/>
    </row>
    <row r="195" spans="1:8" ht="27.6" x14ac:dyDescent="0.3">
      <c r="A195" s="66">
        <f t="shared" si="46"/>
        <v>154</v>
      </c>
      <c r="B195" s="67" t="s">
        <v>950</v>
      </c>
      <c r="C195" s="66" t="s">
        <v>220</v>
      </c>
      <c r="D195" s="71">
        <v>2</v>
      </c>
      <c r="E195" s="167">
        <v>9954.4982400000008</v>
      </c>
      <c r="F195" s="270">
        <f t="shared" si="43"/>
        <v>19909</v>
      </c>
      <c r="G195" s="270">
        <f t="shared" si="44"/>
        <v>23890.799999999999</v>
      </c>
      <c r="H195" s="289"/>
    </row>
    <row r="196" spans="1:8" ht="27.6" x14ac:dyDescent="0.3">
      <c r="A196" s="66">
        <f t="shared" si="46"/>
        <v>155</v>
      </c>
      <c r="B196" s="67" t="s">
        <v>951</v>
      </c>
      <c r="C196" s="66" t="s">
        <v>220</v>
      </c>
      <c r="D196" s="71">
        <v>2</v>
      </c>
      <c r="E196" s="167">
        <v>3598.4939039999999</v>
      </c>
      <c r="F196" s="270">
        <f t="shared" si="43"/>
        <v>7196.99</v>
      </c>
      <c r="G196" s="270">
        <f t="shared" si="44"/>
        <v>8636.39</v>
      </c>
      <c r="H196" s="289"/>
    </row>
    <row r="197" spans="1:8" ht="15.6" x14ac:dyDescent="0.3">
      <c r="A197" s="66">
        <f>A196+1</f>
        <v>156</v>
      </c>
      <c r="B197" s="67" t="s">
        <v>952</v>
      </c>
      <c r="C197" s="66" t="s">
        <v>239</v>
      </c>
      <c r="D197" s="76">
        <v>7.8E-2</v>
      </c>
      <c r="E197" s="167">
        <v>179605.64076923075</v>
      </c>
      <c r="F197" s="270">
        <f t="shared" si="43"/>
        <v>14009.24</v>
      </c>
      <c r="G197" s="270">
        <f t="shared" si="44"/>
        <v>16811.09</v>
      </c>
      <c r="H197" s="289"/>
    </row>
    <row r="198" spans="1:8" ht="27.6" x14ac:dyDescent="0.3">
      <c r="A198" s="87">
        <f t="shared" si="42"/>
        <v>157</v>
      </c>
      <c r="B198" s="233" t="s">
        <v>930</v>
      </c>
      <c r="C198" s="87" t="s">
        <v>431</v>
      </c>
      <c r="D198" s="217">
        <v>54.1</v>
      </c>
      <c r="E198" s="167">
        <v>217.397088</v>
      </c>
      <c r="F198" s="99">
        <f t="shared" si="43"/>
        <v>11761.18</v>
      </c>
      <c r="G198" s="99">
        <f t="shared" si="44"/>
        <v>14113.42</v>
      </c>
    </row>
    <row r="199" spans="1:8" ht="27.6" x14ac:dyDescent="0.3">
      <c r="A199" s="87">
        <f t="shared" si="42"/>
        <v>158</v>
      </c>
      <c r="B199" s="233" t="s">
        <v>931</v>
      </c>
      <c r="C199" s="87" t="s">
        <v>431</v>
      </c>
      <c r="D199" s="217">
        <v>54.1</v>
      </c>
      <c r="E199" s="167">
        <v>451.29919176000004</v>
      </c>
      <c r="F199" s="99">
        <f t="shared" si="43"/>
        <v>24415.29</v>
      </c>
      <c r="G199" s="99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48">
        <v>2</v>
      </c>
      <c r="E200" s="167">
        <v>260.30440800000002</v>
      </c>
      <c r="F200" s="94">
        <f t="shared" si="43"/>
        <v>520.61</v>
      </c>
      <c r="G200" s="94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48">
        <v>2</v>
      </c>
      <c r="E201" s="167">
        <v>260.30440800000002</v>
      </c>
      <c r="F201" s="94">
        <f t="shared" si="43"/>
        <v>520.61</v>
      </c>
      <c r="G201" s="94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67">
        <v>18982.412904599998</v>
      </c>
      <c r="F202" s="94">
        <f t="shared" si="43"/>
        <v>3796.48</v>
      </c>
      <c r="G202" s="94">
        <f t="shared" si="44"/>
        <v>4555.78</v>
      </c>
    </row>
    <row r="203" spans="1:8" ht="27.6" x14ac:dyDescent="0.3">
      <c r="A203" s="66">
        <f>A202+1</f>
        <v>162</v>
      </c>
      <c r="B203" s="67" t="s">
        <v>953</v>
      </c>
      <c r="C203" s="66" t="s">
        <v>193</v>
      </c>
      <c r="D203" s="76">
        <v>0.621</v>
      </c>
      <c r="E203" s="167">
        <v>121271.33304347825</v>
      </c>
      <c r="F203" s="270">
        <f t="shared" si="43"/>
        <v>75309.5</v>
      </c>
      <c r="G203" s="270">
        <f t="shared" si="44"/>
        <v>90371.4</v>
      </c>
    </row>
    <row r="204" spans="1:8" ht="27.6" x14ac:dyDescent="0.3">
      <c r="A204" s="66">
        <f>A203+1</f>
        <v>163</v>
      </c>
      <c r="B204" s="67" t="s">
        <v>954</v>
      </c>
      <c r="C204" s="66" t="s">
        <v>956</v>
      </c>
      <c r="D204" s="68">
        <v>23.55</v>
      </c>
      <c r="E204" s="167">
        <v>895.43286108000018</v>
      </c>
      <c r="F204" s="270">
        <f t="shared" si="43"/>
        <v>21087.439999999999</v>
      </c>
      <c r="G204" s="270">
        <f t="shared" si="44"/>
        <v>25304.93</v>
      </c>
    </row>
    <row r="205" spans="1:8" ht="15.6" x14ac:dyDescent="0.3">
      <c r="A205" s="66">
        <f>A204+1</f>
        <v>164</v>
      </c>
      <c r="B205" s="67" t="s">
        <v>955</v>
      </c>
      <c r="C205" s="66" t="s">
        <v>431</v>
      </c>
      <c r="D205" s="68">
        <v>0.3</v>
      </c>
      <c r="E205" s="167">
        <v>486.28296</v>
      </c>
      <c r="F205" s="270">
        <f t="shared" si="43"/>
        <v>145.88</v>
      </c>
      <c r="G205" s="270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67">
        <v>0</v>
      </c>
      <c r="F206" s="94"/>
      <c r="G206" s="94"/>
    </row>
    <row r="207" spans="1:8" ht="115.2" x14ac:dyDescent="0.3">
      <c r="A207" s="102">
        <f>A205+1</f>
        <v>165</v>
      </c>
      <c r="B207" s="287" t="s">
        <v>957</v>
      </c>
      <c r="C207" s="66" t="s">
        <v>194</v>
      </c>
      <c r="D207" s="218">
        <v>115</v>
      </c>
      <c r="E207" s="167">
        <v>3275.4847385519997</v>
      </c>
      <c r="F207" s="94">
        <f t="shared" ref="F207:F235" si="47">ROUND(E207*D207,2)</f>
        <v>376680.74</v>
      </c>
      <c r="G207" s="94">
        <f t="shared" si="41"/>
        <v>452016.89</v>
      </c>
      <c r="H207" s="230" t="s">
        <v>1076</v>
      </c>
    </row>
    <row r="208" spans="1:8" ht="15.6" x14ac:dyDescent="0.3">
      <c r="A208" s="102">
        <f>A207+1</f>
        <v>166</v>
      </c>
      <c r="B208" s="287" t="s">
        <v>1077</v>
      </c>
      <c r="C208" s="66" t="s">
        <v>220</v>
      </c>
      <c r="D208" s="72">
        <v>24</v>
      </c>
      <c r="E208" s="167">
        <v>13358.18851044923</v>
      </c>
      <c r="F208" s="94">
        <f t="shared" si="47"/>
        <v>320596.52</v>
      </c>
      <c r="G208" s="94">
        <f t="shared" si="41"/>
        <v>384715.82</v>
      </c>
      <c r="H208" s="220" t="s">
        <v>1617</v>
      </c>
    </row>
    <row r="209" spans="1:8" ht="15.6" x14ac:dyDescent="0.3">
      <c r="A209" s="102">
        <f t="shared" ref="A209:A211" si="48">A208+1</f>
        <v>167</v>
      </c>
      <c r="B209" s="287" t="s">
        <v>1078</v>
      </c>
      <c r="C209" s="66" t="s">
        <v>220</v>
      </c>
      <c r="D209" s="72">
        <v>24</v>
      </c>
      <c r="E209" s="167">
        <v>2669.9165134546156</v>
      </c>
      <c r="F209" s="94">
        <f t="shared" si="47"/>
        <v>64078</v>
      </c>
      <c r="G209" s="94">
        <f t="shared" si="41"/>
        <v>76893.600000000006</v>
      </c>
      <c r="H209" s="220" t="s">
        <v>1617</v>
      </c>
    </row>
    <row r="210" spans="1:8" ht="19.5" customHeight="1" x14ac:dyDescent="0.3">
      <c r="A210" s="66">
        <f t="shared" si="48"/>
        <v>168</v>
      </c>
      <c r="B210" s="67" t="s">
        <v>1044</v>
      </c>
      <c r="C210" s="66" t="s">
        <v>217</v>
      </c>
      <c r="D210" s="72">
        <f>12+12</f>
        <v>24</v>
      </c>
      <c r="E210" s="167">
        <v>15415.169832</v>
      </c>
      <c r="F210" s="270">
        <f t="shared" si="47"/>
        <v>369964.08</v>
      </c>
      <c r="G210" s="270">
        <f t="shared" si="41"/>
        <v>443956.9</v>
      </c>
      <c r="H210" s="255"/>
    </row>
    <row r="211" spans="1:8" ht="41.4" x14ac:dyDescent="0.3">
      <c r="A211" s="66">
        <f t="shared" si="48"/>
        <v>169</v>
      </c>
      <c r="B211" s="67" t="s">
        <v>1257</v>
      </c>
      <c r="C211" s="66" t="s">
        <v>194</v>
      </c>
      <c r="D211" s="72">
        <v>11</v>
      </c>
      <c r="E211" s="167">
        <v>1403.4594305454546</v>
      </c>
      <c r="F211" s="270">
        <f t="shared" si="47"/>
        <v>15438.05</v>
      </c>
      <c r="G211" s="270">
        <f t="shared" si="41"/>
        <v>18525.66</v>
      </c>
    </row>
    <row r="212" spans="1:8" ht="27.6" x14ac:dyDescent="0.3">
      <c r="A212" s="66">
        <f>A211+1</f>
        <v>170</v>
      </c>
      <c r="B212" s="67" t="s">
        <v>958</v>
      </c>
      <c r="C212" s="66" t="s">
        <v>194</v>
      </c>
      <c r="D212" s="72">
        <v>10.5</v>
      </c>
      <c r="E212" s="167">
        <v>1313.1070164</v>
      </c>
      <c r="F212" s="270">
        <f t="shared" si="47"/>
        <v>13787.62</v>
      </c>
      <c r="G212" s="270">
        <f t="shared" si="41"/>
        <v>16545.14</v>
      </c>
      <c r="H212" s="242"/>
    </row>
    <row r="213" spans="1:8" ht="15.6" x14ac:dyDescent="0.3">
      <c r="A213" s="87">
        <f>A212+1</f>
        <v>171</v>
      </c>
      <c r="B213" s="233" t="s">
        <v>959</v>
      </c>
      <c r="C213" s="87" t="s">
        <v>220</v>
      </c>
      <c r="D213" s="148">
        <v>16</v>
      </c>
      <c r="E213" s="167">
        <v>6693.5419200000006</v>
      </c>
      <c r="F213" s="99">
        <f t="shared" si="47"/>
        <v>107096.67</v>
      </c>
      <c r="G213" s="99">
        <f t="shared" si="41"/>
        <v>128516</v>
      </c>
      <c r="H213" s="243"/>
    </row>
    <row r="214" spans="1:8" ht="15.6" x14ac:dyDescent="0.3">
      <c r="A214" s="66">
        <f>A213+1</f>
        <v>172</v>
      </c>
      <c r="B214" s="67" t="s">
        <v>960</v>
      </c>
      <c r="C214" s="66" t="s">
        <v>220</v>
      </c>
      <c r="D214" s="71">
        <v>6</v>
      </c>
      <c r="E214" s="167">
        <v>1927.0106485199999</v>
      </c>
      <c r="F214" s="270">
        <f t="shared" si="47"/>
        <v>11562.06</v>
      </c>
      <c r="G214" s="270">
        <f t="shared" si="41"/>
        <v>13874.47</v>
      </c>
      <c r="H214" s="243"/>
    </row>
    <row r="215" spans="1:8" ht="15.6" x14ac:dyDescent="0.3">
      <c r="A215" s="66">
        <f>A214+1</f>
        <v>173</v>
      </c>
      <c r="B215" s="67" t="s">
        <v>961</v>
      </c>
      <c r="C215" s="66" t="s">
        <v>220</v>
      </c>
      <c r="D215" s="71">
        <v>8</v>
      </c>
      <c r="E215" s="167">
        <v>393.86059272</v>
      </c>
      <c r="F215" s="270">
        <f t="shared" si="47"/>
        <v>3150.88</v>
      </c>
      <c r="G215" s="270">
        <f t="shared" si="41"/>
        <v>3781.06</v>
      </c>
    </row>
    <row r="216" spans="1:8" ht="27.6" x14ac:dyDescent="0.3">
      <c r="A216" s="66">
        <f t="shared" ref="A216:A224" si="49">A215+1</f>
        <v>174</v>
      </c>
      <c r="B216" s="67" t="s">
        <v>962</v>
      </c>
      <c r="C216" s="66" t="s">
        <v>220</v>
      </c>
      <c r="D216" s="71">
        <v>4</v>
      </c>
      <c r="E216" s="167">
        <v>19029.396420000001</v>
      </c>
      <c r="F216" s="270">
        <f t="shared" si="47"/>
        <v>76117.59</v>
      </c>
      <c r="G216" s="270">
        <f t="shared" si="41"/>
        <v>91341.11</v>
      </c>
    </row>
    <row r="217" spans="1:8" ht="27.6" x14ac:dyDescent="0.3">
      <c r="A217" s="66">
        <f t="shared" si="49"/>
        <v>175</v>
      </c>
      <c r="B217" s="67" t="s">
        <v>963</v>
      </c>
      <c r="C217" s="66" t="s">
        <v>220</v>
      </c>
      <c r="D217" s="71">
        <v>2</v>
      </c>
      <c r="E217" s="167">
        <v>10988.564651999999</v>
      </c>
      <c r="F217" s="270">
        <f t="shared" si="47"/>
        <v>21977.13</v>
      </c>
      <c r="G217" s="270">
        <f t="shared" si="41"/>
        <v>26372.560000000001</v>
      </c>
    </row>
    <row r="218" spans="1:8" ht="27.6" x14ac:dyDescent="0.3">
      <c r="A218" s="66">
        <f t="shared" si="49"/>
        <v>176</v>
      </c>
      <c r="B218" s="67" t="s">
        <v>964</v>
      </c>
      <c r="C218" s="66" t="s">
        <v>220</v>
      </c>
      <c r="D218" s="71">
        <v>4</v>
      </c>
      <c r="E218" s="167">
        <v>6860.8804679999994</v>
      </c>
      <c r="F218" s="270">
        <f t="shared" si="47"/>
        <v>27443.52</v>
      </c>
      <c r="G218" s="270">
        <f t="shared" si="41"/>
        <v>32932.22</v>
      </c>
    </row>
    <row r="219" spans="1:8" ht="15.6" x14ac:dyDescent="0.3">
      <c r="A219" s="66">
        <f t="shared" si="49"/>
        <v>177</v>
      </c>
      <c r="B219" s="67" t="s">
        <v>965</v>
      </c>
      <c r="C219" s="66" t="s">
        <v>220</v>
      </c>
      <c r="D219" s="71">
        <v>2</v>
      </c>
      <c r="E219" s="167">
        <v>2186.8430760000001</v>
      </c>
      <c r="F219" s="270">
        <f t="shared" si="47"/>
        <v>4373.6899999999996</v>
      </c>
      <c r="G219" s="270">
        <f t="shared" si="41"/>
        <v>5248.43</v>
      </c>
    </row>
    <row r="220" spans="1:8" ht="15.6" x14ac:dyDescent="0.3">
      <c r="A220" s="66">
        <f t="shared" si="49"/>
        <v>178</v>
      </c>
      <c r="B220" s="67" t="s">
        <v>966</v>
      </c>
      <c r="C220" s="66" t="s">
        <v>194</v>
      </c>
      <c r="D220" s="72">
        <v>2.2999999999999998</v>
      </c>
      <c r="E220" s="167">
        <v>992.46496695652161</v>
      </c>
      <c r="F220" s="270">
        <f t="shared" si="47"/>
        <v>2282.67</v>
      </c>
      <c r="G220" s="270">
        <f t="shared" si="41"/>
        <v>2739.2</v>
      </c>
    </row>
    <row r="221" spans="1:8" ht="15.6" x14ac:dyDescent="0.3">
      <c r="A221" s="66">
        <f t="shared" si="49"/>
        <v>179</v>
      </c>
      <c r="B221" s="67" t="s">
        <v>967</v>
      </c>
      <c r="C221" s="66" t="s">
        <v>220</v>
      </c>
      <c r="D221" s="71">
        <v>1</v>
      </c>
      <c r="E221" s="167">
        <v>4938.6325319999996</v>
      </c>
      <c r="F221" s="270">
        <f t="shared" si="47"/>
        <v>4938.63</v>
      </c>
      <c r="G221" s="270">
        <f t="shared" si="41"/>
        <v>5926.36</v>
      </c>
    </row>
    <row r="222" spans="1:8" ht="15.6" x14ac:dyDescent="0.3">
      <c r="A222" s="66">
        <f t="shared" si="49"/>
        <v>180</v>
      </c>
      <c r="B222" s="67" t="s">
        <v>968</v>
      </c>
      <c r="C222" s="66" t="s">
        <v>220</v>
      </c>
      <c r="D222" s="71">
        <v>4</v>
      </c>
      <c r="E222" s="167">
        <v>4592.5134839999992</v>
      </c>
      <c r="F222" s="270">
        <f t="shared" si="47"/>
        <v>18370.05</v>
      </c>
      <c r="G222" s="270">
        <f t="shared" si="41"/>
        <v>22044.06</v>
      </c>
      <c r="H222" s="255" t="s">
        <v>1259</v>
      </c>
    </row>
    <row r="223" spans="1:8" ht="15.6" x14ac:dyDescent="0.3">
      <c r="A223" s="66">
        <f t="shared" si="49"/>
        <v>181</v>
      </c>
      <c r="B223" s="67" t="s">
        <v>1037</v>
      </c>
      <c r="C223" s="66" t="s">
        <v>217</v>
      </c>
      <c r="D223" s="71">
        <v>4</v>
      </c>
      <c r="E223" s="167">
        <v>607.8537</v>
      </c>
      <c r="F223" s="270">
        <f t="shared" si="47"/>
        <v>2431.41</v>
      </c>
      <c r="G223" s="270">
        <f t="shared" si="41"/>
        <v>2917.69</v>
      </c>
      <c r="H223" s="255" t="s">
        <v>1260</v>
      </c>
    </row>
    <row r="224" spans="1:8" ht="15.6" x14ac:dyDescent="0.3">
      <c r="A224" s="87">
        <f t="shared" si="49"/>
        <v>182</v>
      </c>
      <c r="B224" s="233" t="s">
        <v>970</v>
      </c>
      <c r="C224" s="87" t="s">
        <v>193</v>
      </c>
      <c r="D224" s="218">
        <f>0.31+0.34+0.27+0.403</f>
        <v>1.323</v>
      </c>
      <c r="E224" s="167">
        <v>25993.254456000002</v>
      </c>
      <c r="F224" s="99">
        <f t="shared" si="47"/>
        <v>34389.08</v>
      </c>
      <c r="G224" s="99">
        <f t="shared" si="41"/>
        <v>41266.9</v>
      </c>
    </row>
    <row r="225" spans="1:8" ht="15.6" x14ac:dyDescent="0.3">
      <c r="A225" s="66">
        <f>A224+1</f>
        <v>183</v>
      </c>
      <c r="B225" s="67" t="s">
        <v>947</v>
      </c>
      <c r="C225" s="66" t="s">
        <v>220</v>
      </c>
      <c r="D225" s="71">
        <v>1</v>
      </c>
      <c r="E225" s="167">
        <v>2972.0470319999999</v>
      </c>
      <c r="F225" s="270">
        <f t="shared" si="47"/>
        <v>2972.05</v>
      </c>
      <c r="G225" s="270">
        <f t="shared" ref="G225:G235" si="50">ROUND(F225*1.2,2)</f>
        <v>3566.46</v>
      </c>
    </row>
    <row r="226" spans="1:8" ht="15.6" x14ac:dyDescent="0.3">
      <c r="A226" s="66">
        <f>A225+1</f>
        <v>184</v>
      </c>
      <c r="B226" s="67" t="s">
        <v>977</v>
      </c>
      <c r="C226" s="66" t="s">
        <v>193</v>
      </c>
      <c r="D226" s="68">
        <v>0.28000000000000003</v>
      </c>
      <c r="E226" s="167">
        <v>24022.991185714283</v>
      </c>
      <c r="F226" s="270">
        <f t="shared" si="47"/>
        <v>6726.44</v>
      </c>
      <c r="G226" s="270">
        <f t="shared" si="50"/>
        <v>8071.73</v>
      </c>
    </row>
    <row r="227" spans="1:8" ht="15.6" x14ac:dyDescent="0.3">
      <c r="A227" s="66">
        <f t="shared" ref="A227:A235" si="51">A226+1</f>
        <v>185</v>
      </c>
      <c r="B227" s="67" t="s">
        <v>978</v>
      </c>
      <c r="C227" s="66" t="s">
        <v>193</v>
      </c>
      <c r="D227" s="68">
        <v>0.05</v>
      </c>
      <c r="E227" s="167">
        <v>37872.861120000001</v>
      </c>
      <c r="F227" s="270">
        <f t="shared" si="47"/>
        <v>1893.64</v>
      </c>
      <c r="G227" s="270">
        <f t="shared" si="50"/>
        <v>2272.37</v>
      </c>
      <c r="H227" s="255" t="s">
        <v>1261</v>
      </c>
    </row>
    <row r="228" spans="1:8" ht="15.6" x14ac:dyDescent="0.3">
      <c r="A228" s="66">
        <f t="shared" si="51"/>
        <v>186</v>
      </c>
      <c r="B228" s="67" t="s">
        <v>979</v>
      </c>
      <c r="C228" s="66" t="s">
        <v>193</v>
      </c>
      <c r="D228" s="72">
        <v>0.3</v>
      </c>
      <c r="E228" s="167">
        <v>1973.7367200000001</v>
      </c>
      <c r="F228" s="270">
        <f t="shared" si="47"/>
        <v>592.12</v>
      </c>
      <c r="G228" s="270">
        <f t="shared" si="50"/>
        <v>710.54</v>
      </c>
    </row>
    <row r="229" spans="1:8" ht="15.6" x14ac:dyDescent="0.3">
      <c r="A229" s="66">
        <f t="shared" si="51"/>
        <v>187</v>
      </c>
      <c r="B229" s="67" t="s">
        <v>980</v>
      </c>
      <c r="C229" s="66" t="s">
        <v>239</v>
      </c>
      <c r="D229" s="76">
        <v>0.123</v>
      </c>
      <c r="E229" s="167">
        <v>100454.29199999999</v>
      </c>
      <c r="F229" s="270">
        <f t="shared" si="47"/>
        <v>12355.88</v>
      </c>
      <c r="G229" s="270">
        <f t="shared" si="50"/>
        <v>14827.06</v>
      </c>
    </row>
    <row r="230" spans="1:8" ht="15.6" x14ac:dyDescent="0.3">
      <c r="A230" s="66">
        <f t="shared" si="51"/>
        <v>188</v>
      </c>
      <c r="B230" s="67" t="s">
        <v>982</v>
      </c>
      <c r="C230" s="66" t="s">
        <v>220</v>
      </c>
      <c r="D230" s="71">
        <v>3</v>
      </c>
      <c r="E230" s="167">
        <v>1250.0332559999999</v>
      </c>
      <c r="F230" s="270">
        <f t="shared" si="47"/>
        <v>3750.1</v>
      </c>
      <c r="G230" s="270">
        <f t="shared" si="50"/>
        <v>4500.12</v>
      </c>
    </row>
    <row r="231" spans="1:8" ht="15.6" x14ac:dyDescent="0.3">
      <c r="A231" s="66">
        <f t="shared" si="51"/>
        <v>189</v>
      </c>
      <c r="B231" s="67" t="s">
        <v>976</v>
      </c>
      <c r="C231" s="66" t="s">
        <v>193</v>
      </c>
      <c r="D231" s="68">
        <v>0.02</v>
      </c>
      <c r="E231" s="167">
        <v>99473.470199999996</v>
      </c>
      <c r="F231" s="270">
        <f t="shared" si="47"/>
        <v>1989.47</v>
      </c>
      <c r="G231" s="270">
        <f t="shared" si="50"/>
        <v>2387.36</v>
      </c>
    </row>
    <row r="232" spans="1:8" ht="15.6" x14ac:dyDescent="0.3">
      <c r="A232" s="66">
        <f t="shared" si="51"/>
        <v>190</v>
      </c>
      <c r="B232" s="67" t="s">
        <v>1258</v>
      </c>
      <c r="C232" s="66" t="s">
        <v>193</v>
      </c>
      <c r="D232" s="76">
        <v>4.3890000000000002</v>
      </c>
      <c r="E232" s="167">
        <v>20112.704415584412</v>
      </c>
      <c r="F232" s="270">
        <f t="shared" si="47"/>
        <v>88274.66</v>
      </c>
      <c r="G232" s="270">
        <f t="shared" si="50"/>
        <v>105929.59</v>
      </c>
    </row>
    <row r="233" spans="1:8" ht="15.6" x14ac:dyDescent="0.3">
      <c r="A233" s="87">
        <f t="shared" si="51"/>
        <v>191</v>
      </c>
      <c r="B233" s="233" t="s">
        <v>974</v>
      </c>
      <c r="C233" s="87" t="s">
        <v>431</v>
      </c>
      <c r="D233" s="217">
        <v>41.6</v>
      </c>
      <c r="E233" s="167">
        <v>217.397088</v>
      </c>
      <c r="F233" s="99">
        <f t="shared" si="47"/>
        <v>9043.7199999999993</v>
      </c>
      <c r="G233" s="99">
        <f t="shared" si="50"/>
        <v>10852.46</v>
      </c>
    </row>
    <row r="234" spans="1:8" ht="15.6" x14ac:dyDescent="0.3">
      <c r="A234" s="87">
        <f t="shared" si="51"/>
        <v>192</v>
      </c>
      <c r="B234" s="233" t="s">
        <v>975</v>
      </c>
      <c r="C234" s="87" t="s">
        <v>431</v>
      </c>
      <c r="D234" s="217">
        <v>41.6</v>
      </c>
      <c r="E234" s="167">
        <v>451.29919176000004</v>
      </c>
      <c r="F234" s="99">
        <f t="shared" si="47"/>
        <v>18774.05</v>
      </c>
      <c r="G234" s="99">
        <f t="shared" si="50"/>
        <v>22528.86</v>
      </c>
    </row>
    <row r="235" spans="1:8" ht="15.6" x14ac:dyDescent="0.3">
      <c r="A235" s="66">
        <f t="shared" si="51"/>
        <v>193</v>
      </c>
      <c r="B235" s="67" t="s">
        <v>981</v>
      </c>
      <c r="C235" s="66" t="s">
        <v>239</v>
      </c>
      <c r="D235" s="76">
        <v>0.13300000000000001</v>
      </c>
      <c r="E235" s="167">
        <v>100450.44514285713</v>
      </c>
      <c r="F235" s="270">
        <f t="shared" si="47"/>
        <v>13359.91</v>
      </c>
      <c r="G235" s="270">
        <f t="shared" si="50"/>
        <v>16031.89</v>
      </c>
    </row>
    <row r="236" spans="1:8" x14ac:dyDescent="0.3">
      <c r="A236" s="974" t="s">
        <v>721</v>
      </c>
      <c r="B236" s="975"/>
      <c r="C236" s="975"/>
      <c r="D236" s="975"/>
      <c r="E236" s="976"/>
      <c r="F236" s="153">
        <f>F137+F107+F83+F62+F5</f>
        <v>22731643.340000004</v>
      </c>
      <c r="G236" s="153">
        <f>G137+G107+G83+G62+G5</f>
        <v>27277972.050000001</v>
      </c>
    </row>
  </sheetData>
  <mergeCells count="13">
    <mergeCell ref="A236:E236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2"/>
  <sheetViews>
    <sheetView topLeftCell="A118" zoomScale="85" zoomScaleNormal="85" zoomScaleSheetLayoutView="85" workbookViewId="0">
      <selection activeCell="A143" sqref="A143:D143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231</v>
      </c>
      <c r="F1" s="970" t="s">
        <v>410</v>
      </c>
      <c r="G1" s="978" t="s">
        <v>409</v>
      </c>
    </row>
    <row r="2" spans="1:10" ht="14.55" customHeight="1" x14ac:dyDescent="0.3">
      <c r="A2" s="964"/>
      <c r="B2" s="966"/>
      <c r="C2" s="954"/>
      <c r="D2" s="954"/>
      <c r="E2" s="972"/>
      <c r="F2" s="970"/>
      <c r="G2" s="978"/>
      <c r="J2" s="335"/>
    </row>
    <row r="3" spans="1:10" ht="27.6" customHeight="1" x14ac:dyDescent="0.3">
      <c r="A3" s="935"/>
      <c r="B3" s="967"/>
      <c r="C3" s="954"/>
      <c r="D3" s="954"/>
      <c r="E3" s="973"/>
      <c r="F3" s="971"/>
      <c r="G3" s="979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5"/>
    </row>
    <row r="5" spans="1:10" ht="20.25" customHeight="1" x14ac:dyDescent="0.3">
      <c r="A5" s="169"/>
      <c r="B5" s="957" t="s">
        <v>232</v>
      </c>
      <c r="C5" s="958"/>
      <c r="D5" s="958"/>
      <c r="E5" s="170"/>
      <c r="F5" s="171">
        <f>SUM(F7:F114)</f>
        <v>10632919.970000003</v>
      </c>
      <c r="G5" s="171">
        <f>SUM(G7:G114)</f>
        <v>12759504.01</v>
      </c>
    </row>
    <row r="6" spans="1:10" x14ac:dyDescent="0.3">
      <c r="A6" s="60"/>
      <c r="B6" s="62" t="s">
        <v>233</v>
      </c>
      <c r="C6" s="63"/>
      <c r="D6" s="63"/>
      <c r="E6" s="64"/>
      <c r="F6" s="65"/>
      <c r="G6" s="55"/>
    </row>
    <row r="7" spans="1:10" x14ac:dyDescent="0.3">
      <c r="A7" s="591">
        <v>1</v>
      </c>
      <c r="B7" s="621" t="s">
        <v>234</v>
      </c>
      <c r="C7" s="591" t="s">
        <v>193</v>
      </c>
      <c r="D7" s="622">
        <v>218.4</v>
      </c>
      <c r="E7" s="588">
        <v>979.00333333333299</v>
      </c>
      <c r="F7" s="620">
        <f t="shared" ref="F7:F14" si="0">ROUND(E7*D7,2)</f>
        <v>213814.33</v>
      </c>
      <c r="G7" s="620">
        <f t="shared" ref="G7:G14" si="1">ROUND(F7*1.2,2)</f>
        <v>256577.2</v>
      </c>
    </row>
    <row r="8" spans="1:10" ht="15.6" x14ac:dyDescent="0.3">
      <c r="A8" s="591">
        <f>A7+1</f>
        <v>2</v>
      </c>
      <c r="B8" s="621" t="s">
        <v>2166</v>
      </c>
      <c r="C8" s="591" t="s">
        <v>193</v>
      </c>
      <c r="D8" s="622">
        <v>370.8</v>
      </c>
      <c r="E8" s="630">
        <f>1045*1.2</f>
        <v>1254</v>
      </c>
      <c r="F8" s="620">
        <f t="shared" si="0"/>
        <v>464983.2</v>
      </c>
      <c r="G8" s="620">
        <f t="shared" si="1"/>
        <v>557979.84</v>
      </c>
    </row>
    <row r="9" spans="1:10" ht="15.6" x14ac:dyDescent="0.3">
      <c r="A9" s="612">
        <f>A8+1</f>
        <v>3</v>
      </c>
      <c r="B9" s="636" t="s">
        <v>236</v>
      </c>
      <c r="C9" s="612" t="s">
        <v>193</v>
      </c>
      <c r="D9" s="637">
        <v>337.22199999999998</v>
      </c>
      <c r="E9" s="639">
        <v>5162.8126200000006</v>
      </c>
      <c r="F9" s="638">
        <f t="shared" si="0"/>
        <v>1741014</v>
      </c>
      <c r="G9" s="638">
        <f t="shared" si="1"/>
        <v>2089216.8</v>
      </c>
    </row>
    <row r="10" spans="1:10" ht="15.6" x14ac:dyDescent="0.3">
      <c r="A10" s="591">
        <f t="shared" ref="A10:A14" si="2">A9+1</f>
        <v>4</v>
      </c>
      <c r="B10" s="621" t="s">
        <v>179</v>
      </c>
      <c r="C10" s="591" t="s">
        <v>193</v>
      </c>
      <c r="D10" s="622">
        <v>141.57</v>
      </c>
      <c r="E10" s="630">
        <f>4024.17*1.2</f>
        <v>4829.0039999999999</v>
      </c>
      <c r="F10" s="620">
        <f t="shared" si="0"/>
        <v>683642.1</v>
      </c>
      <c r="G10" s="620">
        <f t="shared" si="1"/>
        <v>820370.52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77">
        <v>8016.1494000000002</v>
      </c>
      <c r="F11" s="94">
        <f t="shared" si="0"/>
        <v>987349.12</v>
      </c>
      <c r="G11" s="94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77">
        <v>516.79677000000004</v>
      </c>
      <c r="F12" s="94">
        <f t="shared" si="0"/>
        <v>51679.68</v>
      </c>
      <c r="G12" s="94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77">
        <v>6521.1762000000008</v>
      </c>
      <c r="F13" s="94">
        <f t="shared" si="0"/>
        <v>38474.94</v>
      </c>
      <c r="G13" s="94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77">
        <v>42529.41</v>
      </c>
      <c r="F14" s="94">
        <f t="shared" si="0"/>
        <v>42529.41</v>
      </c>
      <c r="G14" s="94">
        <f t="shared" si="1"/>
        <v>51035.29</v>
      </c>
    </row>
    <row r="15" spans="1:10" ht="15.6" x14ac:dyDescent="0.3">
      <c r="A15" s="60"/>
      <c r="B15" s="62" t="s">
        <v>244</v>
      </c>
      <c r="C15" s="63"/>
      <c r="D15" s="63"/>
      <c r="E15" s="177">
        <v>0</v>
      </c>
      <c r="F15" s="94"/>
      <c r="G15" s="94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7">
        <v>3395.9089500000005</v>
      </c>
      <c r="F16" s="94">
        <f t="shared" ref="F16:F21" si="3">ROUND(E16*D16,2)</f>
        <v>964438.14</v>
      </c>
      <c r="G16" s="94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7">
        <v>104610.74967</v>
      </c>
      <c r="F17" s="94">
        <f t="shared" si="3"/>
        <v>1673771.99</v>
      </c>
      <c r="G17" s="94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7">
        <v>326058.81000000006</v>
      </c>
      <c r="F18" s="94">
        <f t="shared" si="3"/>
        <v>1317277.5900000001</v>
      </c>
      <c r="G18" s="94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7">
        <v>101.81283000000001</v>
      </c>
      <c r="F19" s="94">
        <f t="shared" si="3"/>
        <v>58440.56</v>
      </c>
      <c r="G19" s="94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7">
        <v>91.502670000000023</v>
      </c>
      <c r="F20" s="94">
        <f t="shared" si="3"/>
        <v>52522.53</v>
      </c>
      <c r="G20" s="94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77">
        <v>425294.10000000003</v>
      </c>
      <c r="F21" s="94">
        <f t="shared" si="3"/>
        <v>425294.1</v>
      </c>
      <c r="G21" s="94">
        <f t="shared" si="4"/>
        <v>510352.92</v>
      </c>
    </row>
    <row r="22" spans="1:7" ht="15.6" x14ac:dyDescent="0.3">
      <c r="A22" s="60"/>
      <c r="B22" s="62" t="s">
        <v>251</v>
      </c>
      <c r="C22" s="63"/>
      <c r="D22" s="63"/>
      <c r="E22" s="177">
        <v>0</v>
      </c>
      <c r="F22" s="94"/>
      <c r="G22" s="94"/>
    </row>
    <row r="23" spans="1:7" ht="15.6" x14ac:dyDescent="0.3">
      <c r="A23" s="66"/>
      <c r="B23" s="73" t="s">
        <v>252</v>
      </c>
      <c r="C23" s="74"/>
      <c r="D23" s="75"/>
      <c r="E23" s="177">
        <v>0</v>
      </c>
      <c r="F23" s="94"/>
      <c r="G23" s="94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7">
        <v>81.192509999999999</v>
      </c>
      <c r="F24" s="94">
        <f t="shared" ref="F24:F33" si="6">ROUND(E24*D24,2)</f>
        <v>11237.04</v>
      </c>
      <c r="G24" s="94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7">
        <v>87.636359999999996</v>
      </c>
      <c r="F25" s="94">
        <f t="shared" si="6"/>
        <v>7078.21</v>
      </c>
      <c r="G25" s="94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7">
        <v>90.21390000000001</v>
      </c>
      <c r="F26" s="94">
        <f t="shared" si="6"/>
        <v>1719.12</v>
      </c>
      <c r="G26" s="94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7">
        <v>90.21390000000001</v>
      </c>
      <c r="F27" s="94">
        <f t="shared" si="6"/>
        <v>1241.3399999999999</v>
      </c>
      <c r="G27" s="94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7">
        <v>237.13368</v>
      </c>
      <c r="F28" s="94">
        <f t="shared" si="6"/>
        <v>25686.32</v>
      </c>
      <c r="G28" s="94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7">
        <v>96.657750000000007</v>
      </c>
      <c r="F29" s="94">
        <f t="shared" si="6"/>
        <v>2335.25</v>
      </c>
      <c r="G29" s="94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7">
        <v>7879.539780000001</v>
      </c>
      <c r="F30" s="94">
        <f t="shared" si="6"/>
        <v>57583.68</v>
      </c>
      <c r="G30" s="94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7">
        <v>6521.1762000000008</v>
      </c>
      <c r="F31" s="94">
        <f t="shared" si="6"/>
        <v>12771.07</v>
      </c>
      <c r="G31" s="94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7">
        <v>202.33689000000001</v>
      </c>
      <c r="F32" s="94">
        <f t="shared" si="6"/>
        <v>17404.21</v>
      </c>
      <c r="G32" s="94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77">
        <v>42529.41</v>
      </c>
      <c r="F33" s="94">
        <f t="shared" si="6"/>
        <v>42529.41</v>
      </c>
      <c r="G33" s="94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177">
        <v>0</v>
      </c>
      <c r="F34" s="94"/>
      <c r="G34" s="94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7">
        <v>81.192509999999999</v>
      </c>
      <c r="F35" s="94">
        <f t="shared" ref="F35:F41" si="9">ROUND(E35*D35,2)</f>
        <v>10202.98</v>
      </c>
      <c r="G35" s="94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7">
        <v>87.636359999999996</v>
      </c>
      <c r="F36" s="94">
        <f t="shared" si="9"/>
        <v>10726.69</v>
      </c>
      <c r="G36" s="94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7">
        <v>90.21390000000001</v>
      </c>
      <c r="F37" s="94">
        <f t="shared" si="9"/>
        <v>6158.36</v>
      </c>
      <c r="G37" s="94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7">
        <v>7879.539780000001</v>
      </c>
      <c r="F38" s="94">
        <f t="shared" si="9"/>
        <v>28791.84</v>
      </c>
      <c r="G38" s="94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7">
        <v>6521.1762000000008</v>
      </c>
      <c r="F39" s="94">
        <f t="shared" si="9"/>
        <v>11972.88</v>
      </c>
      <c r="G39" s="94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7">
        <v>202.33689000000001</v>
      </c>
      <c r="F40" s="94">
        <f t="shared" si="9"/>
        <v>12820.07</v>
      </c>
      <c r="G40" s="94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77">
        <v>7088.2349999999997</v>
      </c>
      <c r="F41" s="94">
        <f t="shared" si="9"/>
        <v>7088.24</v>
      </c>
      <c r="G41" s="94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77">
        <v>0</v>
      </c>
      <c r="F42" s="94"/>
      <c r="G42" s="94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7">
        <v>146.91978000000003</v>
      </c>
      <c r="F43" s="94">
        <f t="shared" ref="F43:F49" si="12">ROUND(E43*D43,2)</f>
        <v>12611.59</v>
      </c>
      <c r="G43" s="94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7">
        <v>114.70053</v>
      </c>
      <c r="F44" s="94">
        <f t="shared" si="12"/>
        <v>10368.93</v>
      </c>
      <c r="G44" s="94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7">
        <v>114.70053</v>
      </c>
      <c r="F45" s="94">
        <f t="shared" si="12"/>
        <v>10167.049999999999</v>
      </c>
      <c r="G45" s="94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7">
        <v>114.70053</v>
      </c>
      <c r="F46" s="94">
        <f t="shared" si="12"/>
        <v>3174.91</v>
      </c>
      <c r="G46" s="94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7">
        <v>114.70053</v>
      </c>
      <c r="F47" s="94">
        <f t="shared" si="12"/>
        <v>2560.12</v>
      </c>
      <c r="G47" s="94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7">
        <v>88.925129999999996</v>
      </c>
      <c r="F48" s="94">
        <f t="shared" si="12"/>
        <v>1216.5</v>
      </c>
      <c r="G48" s="94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7">
        <v>408.54008999999996</v>
      </c>
      <c r="F49" s="94">
        <f t="shared" si="12"/>
        <v>1960.99</v>
      </c>
      <c r="G49" s="94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177">
        <v>0</v>
      </c>
      <c r="F50" s="94"/>
      <c r="G50" s="94"/>
    </row>
    <row r="51" spans="1:7" ht="15.6" x14ac:dyDescent="0.3">
      <c r="A51" s="66"/>
      <c r="B51" s="73" t="s">
        <v>284</v>
      </c>
      <c r="C51" s="66"/>
      <c r="D51" s="71"/>
      <c r="E51" s="177">
        <v>0</v>
      </c>
      <c r="F51" s="94"/>
      <c r="G51" s="94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7">
        <v>96.657750000000007</v>
      </c>
      <c r="F52" s="94">
        <f t="shared" ref="F52:F61" si="14">ROUND(E52*D52,2)</f>
        <v>2018.21</v>
      </c>
      <c r="G52" s="94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7">
        <v>144.34224</v>
      </c>
      <c r="F53" s="94">
        <f t="shared" si="14"/>
        <v>255788.88</v>
      </c>
      <c r="G53" s="94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7">
        <v>121.14438000000001</v>
      </c>
      <c r="F54" s="94">
        <f t="shared" si="14"/>
        <v>30811.86</v>
      </c>
      <c r="G54" s="94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7">
        <v>114.70053</v>
      </c>
      <c r="F55" s="94">
        <f t="shared" si="14"/>
        <v>22906.15</v>
      </c>
      <c r="G55" s="94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7">
        <v>114.70053</v>
      </c>
      <c r="F56" s="94">
        <f t="shared" si="14"/>
        <v>1260.56</v>
      </c>
      <c r="G56" s="94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7">
        <v>6793.106670000001</v>
      </c>
      <c r="F57" s="94">
        <f t="shared" si="14"/>
        <v>5791.8</v>
      </c>
      <c r="G57" s="94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7">
        <v>11412.058350000001</v>
      </c>
      <c r="F58" s="94">
        <f t="shared" si="14"/>
        <v>1004.26</v>
      </c>
      <c r="G58" s="94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7">
        <v>202.33689000000001</v>
      </c>
      <c r="F59" s="94">
        <f t="shared" si="14"/>
        <v>2015.28</v>
      </c>
      <c r="G59" s="94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7">
        <v>224.24598</v>
      </c>
      <c r="F60" s="94">
        <f t="shared" si="14"/>
        <v>2233.4899999999998</v>
      </c>
      <c r="G60" s="94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77">
        <v>8505.8820000000032</v>
      </c>
      <c r="F61" s="94">
        <f t="shared" si="14"/>
        <v>8505.8799999999992</v>
      </c>
      <c r="G61" s="94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177">
        <v>0</v>
      </c>
      <c r="F62" s="94"/>
      <c r="G62" s="94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7">
        <v>96.657750000000007</v>
      </c>
      <c r="F63" s="94">
        <f t="shared" ref="F63:F71" si="17">ROUND(E63*D63,2)</f>
        <v>84764.98</v>
      </c>
      <c r="G63" s="94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7">
        <v>96.657750000000007</v>
      </c>
      <c r="F64" s="94">
        <f t="shared" si="17"/>
        <v>71461.009999999995</v>
      </c>
      <c r="G64" s="94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7">
        <v>114.70053</v>
      </c>
      <c r="F65" s="94">
        <f t="shared" si="17"/>
        <v>4321.92</v>
      </c>
      <c r="G65" s="94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7">
        <v>114.70053</v>
      </c>
      <c r="F66" s="94">
        <f t="shared" si="17"/>
        <v>4321.92</v>
      </c>
      <c r="G66" s="94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7">
        <v>114.70053</v>
      </c>
      <c r="F67" s="94">
        <f t="shared" si="17"/>
        <v>14586.47</v>
      </c>
      <c r="G67" s="94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7">
        <v>163.67379</v>
      </c>
      <c r="F68" s="94">
        <f t="shared" si="17"/>
        <v>358.77</v>
      </c>
      <c r="G68" s="94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7">
        <v>189.44919000000002</v>
      </c>
      <c r="F69" s="94">
        <f t="shared" si="17"/>
        <v>97</v>
      </c>
      <c r="G69" s="94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7">
        <v>253.88768999999999</v>
      </c>
      <c r="F70" s="94">
        <f t="shared" si="17"/>
        <v>52.81</v>
      </c>
      <c r="G70" s="94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7">
        <v>275.79678000000001</v>
      </c>
      <c r="F71" s="94">
        <f t="shared" si="17"/>
        <v>26.48</v>
      </c>
      <c r="G71" s="94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177">
        <v>0</v>
      </c>
      <c r="F72" s="94"/>
      <c r="G72" s="94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7">
        <v>96.657750000000007</v>
      </c>
      <c r="F73" s="94">
        <f t="shared" ref="F73:F84" si="20">ROUND(E73*D73,2)</f>
        <v>31618.68</v>
      </c>
      <c r="G73" s="94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7">
        <v>96.657750000000007</v>
      </c>
      <c r="F74" s="94">
        <f t="shared" si="20"/>
        <v>31750.62</v>
      </c>
      <c r="G74" s="94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7">
        <v>114.70053</v>
      </c>
      <c r="F75" s="94">
        <f t="shared" si="20"/>
        <v>2160.96</v>
      </c>
      <c r="G75" s="94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7">
        <v>114.70053</v>
      </c>
      <c r="F76" s="94">
        <f t="shared" si="20"/>
        <v>2160.96</v>
      </c>
      <c r="G76" s="94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7">
        <v>114.70053</v>
      </c>
      <c r="F77" s="94">
        <f t="shared" si="20"/>
        <v>14586.47</v>
      </c>
      <c r="G77" s="94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7">
        <v>163.67379</v>
      </c>
      <c r="F78" s="94">
        <f t="shared" si="20"/>
        <v>179.39</v>
      </c>
      <c r="G78" s="94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7">
        <v>189.44919000000002</v>
      </c>
      <c r="F79" s="94">
        <f t="shared" si="20"/>
        <v>48.5</v>
      </c>
      <c r="G79" s="94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7">
        <v>253.88768999999999</v>
      </c>
      <c r="F80" s="94">
        <f t="shared" si="20"/>
        <v>26.4</v>
      </c>
      <c r="G80" s="94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7">
        <v>275.79678000000001</v>
      </c>
      <c r="F81" s="94">
        <f t="shared" si="20"/>
        <v>13.24</v>
      </c>
      <c r="G81" s="94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7">
        <v>202.33689000000001</v>
      </c>
      <c r="F82" s="94">
        <f t="shared" si="20"/>
        <v>2367.34</v>
      </c>
      <c r="G82" s="94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7">
        <v>224.24598</v>
      </c>
      <c r="F83" s="94">
        <f t="shared" si="20"/>
        <v>2623.68</v>
      </c>
      <c r="G83" s="94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77">
        <v>28352.94</v>
      </c>
      <c r="F84" s="94">
        <f t="shared" si="20"/>
        <v>28352.94</v>
      </c>
      <c r="G84" s="94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177">
        <v>0</v>
      </c>
      <c r="F85" s="94"/>
      <c r="G85" s="94"/>
    </row>
    <row r="86" spans="1:7" ht="15.6" x14ac:dyDescent="0.3">
      <c r="A86" s="66"/>
      <c r="B86" s="73" t="s">
        <v>315</v>
      </c>
      <c r="C86" s="66"/>
      <c r="D86" s="71"/>
      <c r="E86" s="177">
        <v>0</v>
      </c>
      <c r="F86" s="94"/>
      <c r="G86" s="94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7">
        <v>90.21390000000001</v>
      </c>
      <c r="F87" s="94">
        <f t="shared" ref="F87:F93" si="23">ROUND(E87*D87,2)</f>
        <v>53.23</v>
      </c>
      <c r="G87" s="94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7">
        <v>96.657750000000007</v>
      </c>
      <c r="F88" s="94">
        <f t="shared" si="23"/>
        <v>262.91000000000003</v>
      </c>
      <c r="G88" s="94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2101</v>
      </c>
      <c r="C89" s="66" t="s">
        <v>254</v>
      </c>
      <c r="D89" s="72">
        <f>12.6</f>
        <v>12.6</v>
      </c>
      <c r="E89" s="177">
        <v>146.91978000000003</v>
      </c>
      <c r="F89" s="94">
        <f t="shared" si="23"/>
        <v>1851.19</v>
      </c>
      <c r="G89" s="94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7">
        <v>844.14435000000014</v>
      </c>
      <c r="F90" s="94">
        <f t="shared" si="23"/>
        <v>17136.13</v>
      </c>
      <c r="G90" s="94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7">
        <v>7879.539780000001</v>
      </c>
      <c r="F91" s="94">
        <f t="shared" si="23"/>
        <v>3998.87</v>
      </c>
      <c r="G91" s="94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7">
        <v>6521.1762000000008</v>
      </c>
      <c r="F92" s="94">
        <f t="shared" si="23"/>
        <v>731.68</v>
      </c>
      <c r="G92" s="94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77">
        <v>4252.9410000000016</v>
      </c>
      <c r="F93" s="94">
        <f t="shared" si="23"/>
        <v>4252.9399999999996</v>
      </c>
      <c r="G93" s="94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177">
        <v>0</v>
      </c>
      <c r="F94" s="94"/>
      <c r="G94" s="94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7">
        <v>47786.302829999993</v>
      </c>
      <c r="F95" s="94">
        <f t="shared" ref="F95:F114" si="26">ROUND(E95*D95,2)</f>
        <v>47786.3</v>
      </c>
      <c r="G95" s="94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7">
        <v>47786.302829999993</v>
      </c>
      <c r="F96" s="94">
        <f t="shared" si="26"/>
        <v>47786.3</v>
      </c>
      <c r="G96" s="94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7">
        <v>47786.302829999993</v>
      </c>
      <c r="F97" s="94">
        <f t="shared" si="26"/>
        <v>47786.3</v>
      </c>
      <c r="G97" s="94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7">
        <v>47786.302829999993</v>
      </c>
      <c r="F98" s="94">
        <f t="shared" si="26"/>
        <v>47786.3</v>
      </c>
      <c r="G98" s="94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7">
        <v>46801.682550000005</v>
      </c>
      <c r="F99" s="94">
        <f t="shared" si="26"/>
        <v>46801.68</v>
      </c>
      <c r="G99" s="94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7">
        <v>46801.682550000005</v>
      </c>
      <c r="F100" s="94">
        <f t="shared" si="26"/>
        <v>46801.68</v>
      </c>
      <c r="G100" s="94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7">
        <v>46801.682550000005</v>
      </c>
      <c r="F101" s="94">
        <f t="shared" si="26"/>
        <v>46801.68</v>
      </c>
      <c r="G101" s="94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7">
        <v>46801.682550000005</v>
      </c>
      <c r="F102" s="94">
        <f t="shared" si="26"/>
        <v>46801.68</v>
      </c>
      <c r="G102" s="94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7">
        <v>46801.682550000005</v>
      </c>
      <c r="F103" s="94">
        <f t="shared" si="26"/>
        <v>46801.68</v>
      </c>
      <c r="G103" s="94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7">
        <v>45818.351040000009</v>
      </c>
      <c r="F104" s="94">
        <f t="shared" si="26"/>
        <v>45818.35</v>
      </c>
      <c r="G104" s="94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7">
        <v>45818.351040000009</v>
      </c>
      <c r="F105" s="94">
        <f t="shared" si="26"/>
        <v>45818.35</v>
      </c>
      <c r="G105" s="94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7">
        <v>45818.351040000009</v>
      </c>
      <c r="F106" s="94">
        <f t="shared" si="26"/>
        <v>45818.35</v>
      </c>
      <c r="G106" s="94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7">
        <v>12254.913929999999</v>
      </c>
      <c r="F107" s="94">
        <f t="shared" si="26"/>
        <v>318627.76</v>
      </c>
      <c r="G107" s="94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7">
        <v>114.70053</v>
      </c>
      <c r="F108" s="94">
        <f t="shared" si="26"/>
        <v>9176.0400000000009</v>
      </c>
      <c r="G108" s="94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7">
        <v>114.70053</v>
      </c>
      <c r="F109" s="94">
        <f t="shared" si="26"/>
        <v>940.54</v>
      </c>
      <c r="G109" s="94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7">
        <v>5706.6735599999993</v>
      </c>
      <c r="F110" s="94">
        <f t="shared" si="26"/>
        <v>28703.43</v>
      </c>
      <c r="G110" s="94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7">
        <v>5706.6735599999993</v>
      </c>
      <c r="F111" s="94">
        <f t="shared" si="26"/>
        <v>26397.93</v>
      </c>
      <c r="G111" s="94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7">
        <v>234.55614000000003</v>
      </c>
      <c r="F112" s="94">
        <f t="shared" si="26"/>
        <v>645.5</v>
      </c>
      <c r="G112" s="94">
        <f t="shared" si="27"/>
        <v>774.6</v>
      </c>
    </row>
    <row r="113" spans="1:9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7">
        <v>1773.3475200000003</v>
      </c>
      <c r="F113" s="94">
        <f t="shared" si="26"/>
        <v>2287.62</v>
      </c>
      <c r="G113" s="94">
        <f t="shared" si="27"/>
        <v>2745.14</v>
      </c>
    </row>
    <row r="114" spans="1:9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7">
        <v>850.58820000000014</v>
      </c>
      <c r="F114" s="94">
        <f t="shared" si="26"/>
        <v>2390.15</v>
      </c>
      <c r="G114" s="94">
        <f t="shared" si="27"/>
        <v>2868.18</v>
      </c>
    </row>
    <row r="115" spans="1:9" ht="15.6" x14ac:dyDescent="0.3">
      <c r="A115" s="169"/>
      <c r="B115" s="957" t="s">
        <v>341</v>
      </c>
      <c r="C115" s="958"/>
      <c r="D115" s="958"/>
      <c r="E115" s="177">
        <v>0</v>
      </c>
      <c r="F115" s="171">
        <f>SUM(F117:F143)</f>
        <v>1306622.1500000001</v>
      </c>
      <c r="G115" s="171">
        <f>SUM(G117:G143)</f>
        <v>1567946.5899999999</v>
      </c>
    </row>
    <row r="116" spans="1:9" ht="15.6" x14ac:dyDescent="0.3">
      <c r="A116" s="66"/>
      <c r="B116" s="62" t="s">
        <v>342</v>
      </c>
      <c r="C116" s="74"/>
      <c r="D116" s="75"/>
      <c r="E116" s="177">
        <v>0</v>
      </c>
      <c r="F116" s="70"/>
      <c r="G116" s="55"/>
    </row>
    <row r="117" spans="1:9" ht="15.6" x14ac:dyDescent="0.3">
      <c r="A117" s="591">
        <f>A114+1</f>
        <v>91</v>
      </c>
      <c r="B117" s="621" t="s">
        <v>343</v>
      </c>
      <c r="C117" s="591" t="s">
        <v>193</v>
      </c>
      <c r="D117" s="622">
        <v>7.36</v>
      </c>
      <c r="E117" s="630">
        <v>3184.5</v>
      </c>
      <c r="F117" s="620">
        <f t="shared" ref="F117:F126" si="29">ROUND(E117*D117,2)</f>
        <v>23437.919999999998</v>
      </c>
      <c r="G117" s="620">
        <f t="shared" ref="G117:G143" si="30">ROUND(F117*1.2,2)</f>
        <v>28125.5</v>
      </c>
    </row>
    <row r="118" spans="1:9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1030">
        <v>26</v>
      </c>
      <c r="E118" s="177">
        <v>16302.940500000004</v>
      </c>
      <c r="F118" s="94">
        <f t="shared" si="29"/>
        <v>423876.45</v>
      </c>
      <c r="G118" s="94">
        <f t="shared" si="30"/>
        <v>508651.74</v>
      </c>
      <c r="I118">
        <f>0.00264</f>
        <v>2.64E-3</v>
      </c>
    </row>
    <row r="119" spans="1:9" ht="15.6" x14ac:dyDescent="0.3">
      <c r="A119" s="66">
        <f t="shared" si="31"/>
        <v>93</v>
      </c>
      <c r="B119" s="67" t="s">
        <v>345</v>
      </c>
      <c r="C119" s="74" t="s">
        <v>220</v>
      </c>
      <c r="D119" s="1030">
        <v>27</v>
      </c>
      <c r="E119" s="177">
        <v>5162.8126200000006</v>
      </c>
      <c r="F119" s="94">
        <f t="shared" si="29"/>
        <v>139395.94</v>
      </c>
      <c r="G119" s="94">
        <f t="shared" si="30"/>
        <v>167275.13</v>
      </c>
    </row>
    <row r="120" spans="1:9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7">
        <v>7200.3579900000004</v>
      </c>
      <c r="F120" s="94">
        <f t="shared" si="29"/>
        <v>18252.91</v>
      </c>
      <c r="G120" s="94">
        <f t="shared" si="30"/>
        <v>21903.49</v>
      </c>
    </row>
    <row r="121" spans="1:9" ht="15.6" x14ac:dyDescent="0.3">
      <c r="A121" s="66">
        <f t="shared" si="31"/>
        <v>95</v>
      </c>
      <c r="B121" s="67" t="s">
        <v>347</v>
      </c>
      <c r="C121" s="74" t="s">
        <v>220</v>
      </c>
      <c r="D121" s="1030">
        <v>646</v>
      </c>
      <c r="E121" s="177">
        <v>19.33155</v>
      </c>
      <c r="F121" s="94">
        <f t="shared" si="29"/>
        <v>12488.18</v>
      </c>
      <c r="G121" s="94">
        <f t="shared" si="30"/>
        <v>14985.82</v>
      </c>
      <c r="I121">
        <f>1.7/I118</f>
        <v>643.93939393939388</v>
      </c>
    </row>
    <row r="122" spans="1:9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7">
        <v>5706.6735599999993</v>
      </c>
      <c r="F122" s="94">
        <f t="shared" si="29"/>
        <v>2328.3200000000002</v>
      </c>
      <c r="G122" s="94">
        <f t="shared" si="30"/>
        <v>2793.98</v>
      </c>
    </row>
    <row r="123" spans="1:9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7">
        <v>567.05880000000002</v>
      </c>
      <c r="F123" s="94">
        <f t="shared" si="29"/>
        <v>5217.12</v>
      </c>
      <c r="G123" s="94">
        <f t="shared" si="30"/>
        <v>6260.54</v>
      </c>
    </row>
    <row r="124" spans="1:9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7">
        <v>52.839570000000002</v>
      </c>
      <c r="F124" s="94">
        <f t="shared" si="29"/>
        <v>6403.85</v>
      </c>
      <c r="G124" s="94">
        <f t="shared" si="30"/>
        <v>7684.62</v>
      </c>
    </row>
    <row r="125" spans="1:9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7">
        <v>7336.9676099999997</v>
      </c>
      <c r="F125" s="94">
        <f t="shared" si="29"/>
        <v>106.93</v>
      </c>
      <c r="G125" s="94">
        <f t="shared" si="30"/>
        <v>128.32</v>
      </c>
    </row>
    <row r="126" spans="1:9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77">
        <v>7088.2349999999997</v>
      </c>
      <c r="F126" s="94">
        <f t="shared" si="29"/>
        <v>7088.24</v>
      </c>
      <c r="G126" s="94">
        <f t="shared" si="30"/>
        <v>8505.89</v>
      </c>
    </row>
    <row r="127" spans="1:9" ht="15.6" x14ac:dyDescent="0.3">
      <c r="A127" s="66"/>
      <c r="B127" s="62" t="s">
        <v>352</v>
      </c>
      <c r="C127" s="74"/>
      <c r="D127" s="75"/>
      <c r="E127" s="177">
        <v>0</v>
      </c>
      <c r="F127" s="94"/>
      <c r="G127" s="94"/>
    </row>
    <row r="128" spans="1:9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7">
        <v>114.70053</v>
      </c>
      <c r="F128" s="94">
        <f t="shared" ref="F128:F143" si="32">ROUND(E128*D128,2)</f>
        <v>38432.71</v>
      </c>
      <c r="G128" s="94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7">
        <v>114.70053</v>
      </c>
      <c r="F129" s="94">
        <f t="shared" si="32"/>
        <v>31208.29</v>
      </c>
      <c r="G129" s="94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7">
        <v>114.70053</v>
      </c>
      <c r="F130" s="94">
        <f t="shared" si="32"/>
        <v>42048.3</v>
      </c>
      <c r="G130" s="94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7">
        <v>114.70053</v>
      </c>
      <c r="F131" s="94">
        <f t="shared" si="32"/>
        <v>6759.53</v>
      </c>
      <c r="G131" s="94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7">
        <v>114.70053</v>
      </c>
      <c r="F132" s="94">
        <f t="shared" si="32"/>
        <v>6895.34</v>
      </c>
      <c r="G132" s="94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7">
        <v>114.70053</v>
      </c>
      <c r="F133" s="94">
        <f t="shared" si="32"/>
        <v>84924.27</v>
      </c>
      <c r="G133" s="94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7">
        <v>114.70053</v>
      </c>
      <c r="F134" s="94">
        <f t="shared" si="32"/>
        <v>8576.39</v>
      </c>
      <c r="G134" s="94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7">
        <v>114.70053</v>
      </c>
      <c r="F135" s="94">
        <f t="shared" si="32"/>
        <v>16032.38</v>
      </c>
      <c r="G135" s="94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7">
        <v>114.70053</v>
      </c>
      <c r="F136" s="94">
        <f t="shared" si="32"/>
        <v>32290.49</v>
      </c>
      <c r="G136" s="94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7">
        <v>114.70053</v>
      </c>
      <c r="F137" s="94">
        <f t="shared" si="32"/>
        <v>15744.94</v>
      </c>
      <c r="G137" s="94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7">
        <v>90.21390000000001</v>
      </c>
      <c r="F138" s="94">
        <f t="shared" si="32"/>
        <v>1580.82</v>
      </c>
      <c r="G138" s="94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7">
        <v>7879.539780000001</v>
      </c>
      <c r="F139" s="94">
        <f t="shared" si="32"/>
        <v>205541.73</v>
      </c>
      <c r="G139" s="94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7">
        <v>6521.1762000000008</v>
      </c>
      <c r="F140" s="94">
        <f t="shared" si="32"/>
        <v>48556.68</v>
      </c>
      <c r="G140" s="94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7">
        <v>567.05880000000002</v>
      </c>
      <c r="F141" s="94">
        <f t="shared" si="32"/>
        <v>24419.82</v>
      </c>
      <c r="G141" s="94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7">
        <v>52.839570000000002</v>
      </c>
      <c r="F142" s="94">
        <f t="shared" si="32"/>
        <v>34132.25</v>
      </c>
      <c r="G142" s="94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77">
        <v>70882.35000000002</v>
      </c>
      <c r="F143" s="94">
        <f t="shared" si="32"/>
        <v>70882.350000000006</v>
      </c>
      <c r="G143" s="94">
        <f t="shared" si="30"/>
        <v>85058.82</v>
      </c>
    </row>
    <row r="144" spans="1:7" x14ac:dyDescent="0.3">
      <c r="A144" s="173"/>
      <c r="B144" s="957" t="s">
        <v>364</v>
      </c>
      <c r="C144" s="958"/>
      <c r="D144" s="958"/>
      <c r="E144" s="175"/>
      <c r="F144" s="175">
        <f>SUM(F146:F158)</f>
        <v>2069917.4899999998</v>
      </c>
      <c r="G144" s="175">
        <f>SUM(G146:G158)</f>
        <v>2483900.9900000002</v>
      </c>
    </row>
    <row r="145" spans="1:8" ht="21" customHeight="1" x14ac:dyDescent="0.3">
      <c r="A145" s="66"/>
      <c r="B145" s="62" t="s">
        <v>365</v>
      </c>
      <c r="C145" s="74"/>
      <c r="D145" s="75"/>
      <c r="E145" s="177">
        <v>0</v>
      </c>
      <c r="F145" s="70"/>
    </row>
    <row r="146" spans="1:8" ht="20.25" customHeight="1" x14ac:dyDescent="0.3">
      <c r="A146" s="591">
        <f>A143+1</f>
        <v>117</v>
      </c>
      <c r="B146" s="621" t="s">
        <v>366</v>
      </c>
      <c r="C146" s="591" t="s">
        <v>193</v>
      </c>
      <c r="D146" s="623">
        <v>281</v>
      </c>
      <c r="E146" s="588">
        <v>979.00333333333299</v>
      </c>
      <c r="F146" s="620">
        <f>ROUND(E146*D146,2)</f>
        <v>275099.94</v>
      </c>
      <c r="G146" s="620">
        <f t="shared" ref="G146:G150" si="33">ROUND(F146*1.2,2)</f>
        <v>330119.93</v>
      </c>
    </row>
    <row r="147" spans="1:8" ht="20.25" customHeight="1" x14ac:dyDescent="0.3">
      <c r="A147" s="612">
        <f>A146+1</f>
        <v>118</v>
      </c>
      <c r="B147" s="636" t="s">
        <v>367</v>
      </c>
      <c r="C147" s="640" t="s">
        <v>193</v>
      </c>
      <c r="D147" s="637">
        <v>141.69999999999999</v>
      </c>
      <c r="E147" s="639">
        <v>5162.8126200000006</v>
      </c>
      <c r="F147" s="638">
        <f>ROUND(E147*D147,2)</f>
        <v>731570.55</v>
      </c>
      <c r="G147" s="638">
        <f t="shared" si="33"/>
        <v>877884.66</v>
      </c>
    </row>
    <row r="148" spans="1:8" ht="15.6" x14ac:dyDescent="0.3">
      <c r="A148" s="66">
        <f t="shared" ref="A148:A150" si="34">A147+1</f>
        <v>119</v>
      </c>
      <c r="B148" s="621" t="s">
        <v>368</v>
      </c>
      <c r="C148" s="624" t="s">
        <v>193</v>
      </c>
      <c r="D148" s="622">
        <v>71.5</v>
      </c>
      <c r="E148" s="630">
        <v>4768.5</v>
      </c>
      <c r="F148" s="620">
        <f>ROUND(E148*D148,2)</f>
        <v>340947.75</v>
      </c>
      <c r="G148" s="620">
        <f t="shared" si="33"/>
        <v>409137.3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7">
        <v>5977.3152599999994</v>
      </c>
      <c r="F149" s="94">
        <f>ROUND(E149*D149,2)</f>
        <v>626422.64</v>
      </c>
      <c r="G149" s="94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7">
        <v>33964.244580000006</v>
      </c>
      <c r="F150" s="94">
        <f>ROUND(E150*D150,2)</f>
        <v>47549.94</v>
      </c>
      <c r="G150" s="94">
        <f t="shared" si="33"/>
        <v>57059.93</v>
      </c>
    </row>
    <row r="151" spans="1:8" ht="15.6" x14ac:dyDescent="0.3">
      <c r="A151" s="66"/>
      <c r="B151" s="62" t="s">
        <v>923</v>
      </c>
      <c r="C151" s="74"/>
      <c r="D151" s="71"/>
      <c r="E151" s="177">
        <v>0</v>
      </c>
      <c r="F151" s="270"/>
      <c r="G151" s="270"/>
      <c r="H151" s="52"/>
    </row>
    <row r="152" spans="1:8" ht="15.6" x14ac:dyDescent="0.3">
      <c r="A152" s="66">
        <f>A150+1</f>
        <v>122</v>
      </c>
      <c r="B152" s="80" t="s">
        <v>926</v>
      </c>
      <c r="C152" s="66" t="s">
        <v>220</v>
      </c>
      <c r="D152" s="71">
        <v>3</v>
      </c>
      <c r="E152" s="177">
        <v>3647.2191000000003</v>
      </c>
      <c r="F152" s="270">
        <f>ROUND(E152*D152,2)</f>
        <v>10941.66</v>
      </c>
      <c r="G152" s="270">
        <f t="shared" ref="G152:G153" si="35">ROUND(F152*1.2,2)</f>
        <v>13129.99</v>
      </c>
      <c r="H152" s="52"/>
    </row>
    <row r="153" spans="1:8" ht="15.6" x14ac:dyDescent="0.3">
      <c r="A153" s="66">
        <f>A152+1</f>
        <v>123</v>
      </c>
      <c r="B153" s="80" t="s">
        <v>927</v>
      </c>
      <c r="C153" s="66" t="s">
        <v>220</v>
      </c>
      <c r="D153" s="71">
        <v>3</v>
      </c>
      <c r="E153" s="177">
        <v>1971.8181000000002</v>
      </c>
      <c r="F153" s="270">
        <f>ROUND(E153*D153,2)</f>
        <v>5915.45</v>
      </c>
      <c r="G153" s="270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7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7">
        <v>626.34222</v>
      </c>
      <c r="F155" s="94">
        <f>ROUND(E155*D155,2)</f>
        <v>814.24</v>
      </c>
      <c r="G155" s="94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7">
        <v>835.12296000000003</v>
      </c>
      <c r="F156" s="94">
        <f>ROUND(E156*D156,2)</f>
        <v>835.12</v>
      </c>
      <c r="G156" s="94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177">
        <v>1630.2940500000002</v>
      </c>
      <c r="F157" s="94">
        <f>ROUND(E157*D157,2)</f>
        <v>1467.26</v>
      </c>
      <c r="G157" s="94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177">
        <v>28352.94</v>
      </c>
      <c r="F158" s="94">
        <f>ROUND(E158*D158,2)</f>
        <v>28352.94</v>
      </c>
      <c r="G158" s="94">
        <f t="shared" si="36"/>
        <v>34023.53</v>
      </c>
    </row>
    <row r="159" spans="1:8" ht="22.5" customHeight="1" x14ac:dyDescent="0.3">
      <c r="A159" s="169"/>
      <c r="B159" s="957" t="s">
        <v>375</v>
      </c>
      <c r="C159" s="958"/>
      <c r="D159" s="958"/>
      <c r="E159" s="177">
        <v>0</v>
      </c>
      <c r="F159" s="171">
        <f>SUM(F160:F182)</f>
        <v>731237.02999999991</v>
      </c>
      <c r="G159" s="171">
        <f>SUM(G160:G182)</f>
        <v>877484.44</v>
      </c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7">
        <v>5542.9997700000004</v>
      </c>
      <c r="F160" s="94">
        <f t="shared" ref="F160:F182" si="38">ROUND(E160*D160,2)</f>
        <v>160746.99</v>
      </c>
      <c r="G160" s="94">
        <f t="shared" si="36"/>
        <v>192896.39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7">
        <v>9455.7054900000003</v>
      </c>
      <c r="F161" s="94">
        <f t="shared" si="38"/>
        <v>257857.09</v>
      </c>
      <c r="G161" s="94">
        <f t="shared" si="36"/>
        <v>309428.51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177">
        <v>13858.143810000001</v>
      </c>
      <c r="F162" s="94">
        <f t="shared" si="38"/>
        <v>13858.14</v>
      </c>
      <c r="G162" s="94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177">
        <v>14672.646450000004</v>
      </c>
      <c r="F163" s="94">
        <f t="shared" si="38"/>
        <v>14672.65</v>
      </c>
      <c r="G163" s="94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177">
        <v>13206.02619</v>
      </c>
      <c r="F164" s="94">
        <f t="shared" si="38"/>
        <v>13206.03</v>
      </c>
      <c r="G164" s="94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177">
        <v>14184.20262</v>
      </c>
      <c r="F165" s="94">
        <f t="shared" si="38"/>
        <v>42552.61</v>
      </c>
      <c r="G165" s="94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177">
        <v>7989.0852299999997</v>
      </c>
      <c r="F166" s="94">
        <f t="shared" si="38"/>
        <v>7989.09</v>
      </c>
      <c r="G166" s="94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177">
        <v>19563.528600000005</v>
      </c>
      <c r="F167" s="94">
        <f t="shared" si="38"/>
        <v>19563.53</v>
      </c>
      <c r="G167" s="94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177">
        <v>4728.4971299999997</v>
      </c>
      <c r="F168" s="94">
        <f t="shared" si="38"/>
        <v>4728.5</v>
      </c>
      <c r="G168" s="94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177">
        <v>904.71654000000001</v>
      </c>
      <c r="F169" s="94">
        <f t="shared" si="38"/>
        <v>14593.08</v>
      </c>
      <c r="G169" s="94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177">
        <v>320.90373</v>
      </c>
      <c r="F170" s="94">
        <f t="shared" si="38"/>
        <v>16045.19</v>
      </c>
      <c r="G170" s="94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177">
        <v>402.09624000000002</v>
      </c>
      <c r="F171" s="94">
        <f t="shared" si="38"/>
        <v>30157.22</v>
      </c>
      <c r="G171" s="94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177">
        <v>7879.539780000001</v>
      </c>
      <c r="F172" s="94">
        <f t="shared" si="38"/>
        <v>27992.07</v>
      </c>
      <c r="G172" s="94">
        <f t="shared" si="36"/>
        <v>33590.480000000003</v>
      </c>
    </row>
    <row r="173" spans="1:7" x14ac:dyDescent="0.3">
      <c r="A173" s="591">
        <f t="shared" si="39"/>
        <v>141</v>
      </c>
      <c r="B173" s="621" t="s">
        <v>390</v>
      </c>
      <c r="C173" s="624" t="s">
        <v>193</v>
      </c>
      <c r="D173" s="625">
        <f>12*1.1</f>
        <v>13.200000000000001</v>
      </c>
      <c r="E173" s="588">
        <v>979.00333333333299</v>
      </c>
      <c r="F173" s="620">
        <f t="shared" si="38"/>
        <v>12922.84</v>
      </c>
      <c r="G173" s="620">
        <f t="shared" si="36"/>
        <v>15507.41</v>
      </c>
    </row>
    <row r="174" spans="1:7" ht="15.6" x14ac:dyDescent="0.3">
      <c r="A174" s="591">
        <f t="shared" si="39"/>
        <v>142</v>
      </c>
      <c r="B174" s="621" t="s">
        <v>391</v>
      </c>
      <c r="C174" s="624" t="s">
        <v>193</v>
      </c>
      <c r="D174" s="625">
        <f>0.8*1.2</f>
        <v>0.96</v>
      </c>
      <c r="E174" s="630">
        <v>3184.5</v>
      </c>
      <c r="F174" s="620">
        <f t="shared" si="38"/>
        <v>3057.12</v>
      </c>
      <c r="G174" s="620">
        <f t="shared" si="36"/>
        <v>3668.54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177">
        <v>109.54545000000002</v>
      </c>
      <c r="F175" s="94">
        <f t="shared" si="38"/>
        <v>1862.27</v>
      </c>
      <c r="G175" s="94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177">
        <v>109.54545000000002</v>
      </c>
      <c r="F176" s="94">
        <f t="shared" si="38"/>
        <v>438.18</v>
      </c>
      <c r="G176" s="94">
        <f t="shared" si="36"/>
        <v>525.82000000000005</v>
      </c>
    </row>
    <row r="177" spans="1:9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177">
        <v>134.03208000000001</v>
      </c>
      <c r="F177" s="94">
        <f t="shared" si="38"/>
        <v>616.54999999999995</v>
      </c>
      <c r="G177" s="94">
        <f t="shared" si="36"/>
        <v>739.86</v>
      </c>
    </row>
    <row r="178" spans="1:9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177">
        <v>122.43315000000001</v>
      </c>
      <c r="F178" s="94">
        <f t="shared" si="38"/>
        <v>345.26</v>
      </c>
      <c r="G178" s="94">
        <f t="shared" si="36"/>
        <v>414.31</v>
      </c>
    </row>
    <row r="179" spans="1:9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177">
        <v>7825.4114400000017</v>
      </c>
      <c r="F179" s="94">
        <f t="shared" si="38"/>
        <v>14477.01</v>
      </c>
      <c r="G179" s="94">
        <f t="shared" si="36"/>
        <v>17372.41</v>
      </c>
    </row>
    <row r="180" spans="1:9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177">
        <v>6847.2350099999994</v>
      </c>
      <c r="F180" s="94">
        <f t="shared" si="38"/>
        <v>1985.7</v>
      </c>
      <c r="G180" s="94">
        <f t="shared" si="36"/>
        <v>2382.84</v>
      </c>
    </row>
    <row r="181" spans="1:9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177">
        <v>3125.2672500000003</v>
      </c>
      <c r="F181" s="94">
        <f t="shared" si="38"/>
        <v>687.56</v>
      </c>
      <c r="G181" s="94">
        <f t="shared" si="36"/>
        <v>825.07</v>
      </c>
    </row>
    <row r="182" spans="1:9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177">
        <v>70882.35000000002</v>
      </c>
      <c r="F182" s="94">
        <f t="shared" si="38"/>
        <v>70882.350000000006</v>
      </c>
      <c r="G182" s="94">
        <f t="shared" si="36"/>
        <v>85058.82</v>
      </c>
    </row>
    <row r="183" spans="1:9" ht="21.75" customHeight="1" x14ac:dyDescent="0.3">
      <c r="A183" s="169"/>
      <c r="B183" s="957" t="s">
        <v>399</v>
      </c>
      <c r="C183" s="958"/>
      <c r="D183" s="958"/>
      <c r="E183" s="171"/>
      <c r="F183" s="171">
        <f>SUM(F185:F300)</f>
        <v>3082145.4399999995</v>
      </c>
      <c r="G183" s="171">
        <f>SUM(G185:G300)</f>
        <v>3698574.5199999996</v>
      </c>
    </row>
    <row r="184" spans="1:9" ht="15.6" x14ac:dyDescent="0.3">
      <c r="A184" s="66"/>
      <c r="B184" s="73" t="s">
        <v>1063</v>
      </c>
      <c r="C184" s="66"/>
      <c r="D184" s="82"/>
      <c r="E184" s="177">
        <v>0</v>
      </c>
      <c r="F184" s="70"/>
      <c r="G184" s="55"/>
    </row>
    <row r="185" spans="1:9" ht="15.6" x14ac:dyDescent="0.3">
      <c r="A185" s="66">
        <f>A182+1</f>
        <v>151</v>
      </c>
      <c r="B185" s="67" t="s">
        <v>400</v>
      </c>
      <c r="C185" s="66" t="s">
        <v>220</v>
      </c>
      <c r="D185" s="228">
        <v>11</v>
      </c>
      <c r="E185" s="177">
        <v>22804.78515</v>
      </c>
      <c r="F185" s="94">
        <f t="shared" ref="F185:F191" si="40">ROUND(E185*D185,2)</f>
        <v>250852.64</v>
      </c>
      <c r="G185" s="94">
        <f t="shared" ref="G185:G191" si="41">ROUND(F185*1.2,2)</f>
        <v>301023.17</v>
      </c>
      <c r="I185" s="226"/>
    </row>
    <row r="186" spans="1:9" ht="15.6" x14ac:dyDescent="0.3">
      <c r="A186" s="66">
        <f>A185+1</f>
        <v>152</v>
      </c>
      <c r="B186" s="67" t="s">
        <v>983</v>
      </c>
      <c r="C186" s="66" t="s">
        <v>220</v>
      </c>
      <c r="D186" s="228">
        <v>43</v>
      </c>
      <c r="E186" s="177">
        <v>6635.8767300000009</v>
      </c>
      <c r="F186" s="94">
        <f t="shared" si="40"/>
        <v>285342.7</v>
      </c>
      <c r="G186" s="94">
        <f t="shared" si="41"/>
        <v>342411.24</v>
      </c>
      <c r="I186" s="226"/>
    </row>
    <row r="187" spans="1:9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177">
        <v>3714.2351400000002</v>
      </c>
      <c r="F187" s="94">
        <f t="shared" si="40"/>
        <v>51999.29</v>
      </c>
      <c r="G187" s="94">
        <f t="shared" si="41"/>
        <v>62399.15</v>
      </c>
      <c r="I187" s="226"/>
    </row>
    <row r="188" spans="1:9" ht="19.5" customHeight="1" x14ac:dyDescent="0.3">
      <c r="A188" s="66">
        <f>A187+1</f>
        <v>154</v>
      </c>
      <c r="B188" s="67" t="s">
        <v>1064</v>
      </c>
      <c r="C188" s="66" t="s">
        <v>193</v>
      </c>
      <c r="D188" s="196">
        <v>0.02</v>
      </c>
      <c r="E188" s="177">
        <v>7345.9890000000005</v>
      </c>
      <c r="F188" s="270">
        <f t="shared" si="40"/>
        <v>146.91999999999999</v>
      </c>
      <c r="G188" s="270">
        <f t="shared" si="41"/>
        <v>176.3</v>
      </c>
      <c r="I188" s="223"/>
    </row>
    <row r="189" spans="1:9" ht="19.5" customHeight="1" x14ac:dyDescent="0.3">
      <c r="A189" s="591">
        <f>A188+1</f>
        <v>155</v>
      </c>
      <c r="B189" s="621" t="s">
        <v>391</v>
      </c>
      <c r="C189" s="591" t="s">
        <v>193</v>
      </c>
      <c r="D189" s="634">
        <v>5.63</v>
      </c>
      <c r="E189" s="630">
        <v>3184.5</v>
      </c>
      <c r="F189" s="620">
        <f t="shared" si="40"/>
        <v>17928.740000000002</v>
      </c>
      <c r="G189" s="620">
        <f t="shared" si="41"/>
        <v>21514.49</v>
      </c>
      <c r="I189" s="223"/>
    </row>
    <row r="190" spans="1:9" ht="19.5" customHeight="1" x14ac:dyDescent="0.3">
      <c r="A190" s="87">
        <f t="shared" ref="A190:A191" si="43">A189+1</f>
        <v>156</v>
      </c>
      <c r="B190" s="233" t="s">
        <v>1066</v>
      </c>
      <c r="C190" s="87" t="s">
        <v>387</v>
      </c>
      <c r="D190" s="228">
        <f>43*20/16</f>
        <v>53.75</v>
      </c>
      <c r="E190" s="177">
        <v>322.1925</v>
      </c>
      <c r="F190" s="99">
        <f t="shared" si="40"/>
        <v>17317.849999999999</v>
      </c>
      <c r="G190" s="99">
        <f t="shared" si="41"/>
        <v>20781.419999999998</v>
      </c>
      <c r="I190" s="223"/>
    </row>
    <row r="191" spans="1:9" ht="19.5" customHeight="1" x14ac:dyDescent="0.3">
      <c r="A191" s="87">
        <f t="shared" si="43"/>
        <v>157</v>
      </c>
      <c r="B191" s="233" t="s">
        <v>1065</v>
      </c>
      <c r="C191" s="87" t="s">
        <v>254</v>
      </c>
      <c r="D191" s="244">
        <v>120.15</v>
      </c>
      <c r="E191" s="177">
        <v>402.09624000000002</v>
      </c>
      <c r="F191" s="99">
        <f t="shared" si="40"/>
        <v>48311.86</v>
      </c>
      <c r="G191" s="99">
        <f t="shared" si="41"/>
        <v>57974.23</v>
      </c>
      <c r="I191" s="223"/>
    </row>
    <row r="192" spans="1:9" ht="19.5" customHeight="1" x14ac:dyDescent="0.3">
      <c r="A192" s="87"/>
      <c r="B192" s="245" t="s">
        <v>1013</v>
      </c>
      <c r="C192" s="87"/>
      <c r="D192" s="246"/>
      <c r="E192" s="177">
        <v>0</v>
      </c>
      <c r="F192" s="99"/>
      <c r="G192" s="99"/>
      <c r="I192" s="223"/>
    </row>
    <row r="193" spans="1:9" ht="19.5" customHeight="1" x14ac:dyDescent="0.3">
      <c r="A193" s="66">
        <f>A191+1</f>
        <v>158</v>
      </c>
      <c r="B193" s="67" t="s">
        <v>1001</v>
      </c>
      <c r="C193" s="66" t="s">
        <v>193</v>
      </c>
      <c r="D193" s="196">
        <v>0.62</v>
      </c>
      <c r="E193" s="177">
        <v>7049.5719000000008</v>
      </c>
      <c r="F193" s="270">
        <f>ROUND(E193*D193,2)</f>
        <v>4370.7299999999996</v>
      </c>
      <c r="G193" s="270">
        <f t="shared" ref="G193:G196" si="44">ROUND(F193*1.2,2)</f>
        <v>5244.88</v>
      </c>
      <c r="I193" s="223"/>
    </row>
    <row r="194" spans="1:9" ht="19.5" customHeight="1" x14ac:dyDescent="0.3">
      <c r="A194" s="87">
        <f>A193+1</f>
        <v>159</v>
      </c>
      <c r="B194" s="233" t="s">
        <v>1016</v>
      </c>
      <c r="C194" s="87" t="s">
        <v>254</v>
      </c>
      <c r="D194" s="247">
        <v>53</v>
      </c>
      <c r="E194" s="177">
        <v>109.54545000000002</v>
      </c>
      <c r="F194" s="99">
        <f>ROUND(E194*D194,2)</f>
        <v>5805.91</v>
      </c>
      <c r="G194" s="99">
        <f t="shared" si="44"/>
        <v>6967.09</v>
      </c>
      <c r="I194" s="223"/>
    </row>
    <row r="195" spans="1:9" ht="19.5" customHeight="1" x14ac:dyDescent="0.3">
      <c r="A195" s="87">
        <f t="shared" ref="A195:A196" si="45">A194+1</f>
        <v>160</v>
      </c>
      <c r="B195" s="233" t="s">
        <v>1066</v>
      </c>
      <c r="C195" s="87" t="s">
        <v>387</v>
      </c>
      <c r="D195" s="244">
        <f>0.95*20/16</f>
        <v>1.1875</v>
      </c>
      <c r="E195" s="177">
        <v>322.1925</v>
      </c>
      <c r="F195" s="99">
        <f>ROUND(E195*D195,2)</f>
        <v>382.6</v>
      </c>
      <c r="G195" s="99">
        <f t="shared" si="44"/>
        <v>459.12</v>
      </c>
      <c r="I195" s="223"/>
    </row>
    <row r="196" spans="1:9" ht="19.5" customHeight="1" x14ac:dyDescent="0.3">
      <c r="A196" s="87">
        <f t="shared" si="45"/>
        <v>161</v>
      </c>
      <c r="B196" s="233" t="s">
        <v>1065</v>
      </c>
      <c r="C196" s="87" t="s">
        <v>254</v>
      </c>
      <c r="D196" s="244">
        <v>2.7</v>
      </c>
      <c r="E196" s="177">
        <v>402.09624000000002</v>
      </c>
      <c r="F196" s="99">
        <f>ROUND(E196*D196,2)</f>
        <v>1085.6600000000001</v>
      </c>
      <c r="G196" s="99">
        <f t="shared" si="44"/>
        <v>1302.79</v>
      </c>
      <c r="I196" s="223"/>
    </row>
    <row r="197" spans="1:9" ht="19.5" customHeight="1" x14ac:dyDescent="0.3">
      <c r="A197" s="87"/>
      <c r="B197" s="245" t="s">
        <v>1068</v>
      </c>
      <c r="C197" s="87"/>
      <c r="D197" s="244"/>
      <c r="E197" s="177">
        <v>0</v>
      </c>
      <c r="F197" s="99"/>
      <c r="G197" s="99"/>
      <c r="I197" s="223"/>
    </row>
    <row r="198" spans="1:9" ht="19.5" customHeight="1" x14ac:dyDescent="0.3">
      <c r="A198" s="591">
        <f>A196+1</f>
        <v>162</v>
      </c>
      <c r="B198" s="621" t="s">
        <v>1069</v>
      </c>
      <c r="C198" s="591" t="s">
        <v>193</v>
      </c>
      <c r="D198" s="634">
        <v>1.5</v>
      </c>
      <c r="E198" s="630">
        <v>3184.5</v>
      </c>
      <c r="F198" s="620">
        <f t="shared" ref="F198:F207" si="46">ROUND(E198*D198,2)</f>
        <v>4776.75</v>
      </c>
      <c r="G198" s="620">
        <f t="shared" ref="G198:G207" si="47">ROUND(F198*1.2,2)</f>
        <v>5732.1</v>
      </c>
      <c r="I198" s="223"/>
    </row>
    <row r="199" spans="1:9" ht="19.5" customHeight="1" x14ac:dyDescent="0.3">
      <c r="A199" s="66">
        <f>A198+1</f>
        <v>163</v>
      </c>
      <c r="B199" s="67" t="s">
        <v>1070</v>
      </c>
      <c r="C199" s="66" t="s">
        <v>193</v>
      </c>
      <c r="D199" s="196">
        <f>0.16+0.6</f>
        <v>0.76</v>
      </c>
      <c r="E199" s="177">
        <v>6793.106670000001</v>
      </c>
      <c r="F199" s="270">
        <f t="shared" si="46"/>
        <v>5162.76</v>
      </c>
      <c r="G199" s="270">
        <f t="shared" si="47"/>
        <v>6195.31</v>
      </c>
      <c r="I199" s="223"/>
    </row>
    <row r="200" spans="1:9" ht="19.5" customHeight="1" x14ac:dyDescent="0.3">
      <c r="A200" s="87">
        <f t="shared" ref="A200:A207" si="48">A199+1</f>
        <v>164</v>
      </c>
      <c r="B200" s="233" t="s">
        <v>1071</v>
      </c>
      <c r="C200" s="87" t="s">
        <v>254</v>
      </c>
      <c r="D200" s="228">
        <v>31</v>
      </c>
      <c r="E200" s="177">
        <v>109.54545000000002</v>
      </c>
      <c r="F200" s="99">
        <f t="shared" si="46"/>
        <v>3395.91</v>
      </c>
      <c r="G200" s="99">
        <f t="shared" si="47"/>
        <v>4075.09</v>
      </c>
      <c r="I200" s="223"/>
    </row>
    <row r="201" spans="1:9" ht="19.5" customHeight="1" x14ac:dyDescent="0.3">
      <c r="A201" s="102">
        <f t="shared" si="48"/>
        <v>165</v>
      </c>
      <c r="B201" s="287" t="s">
        <v>1072</v>
      </c>
      <c r="C201" s="102" t="s">
        <v>254</v>
      </c>
      <c r="D201" s="362">
        <v>5.0999999999999996</v>
      </c>
      <c r="E201" s="273">
        <v>109.54545000000002</v>
      </c>
      <c r="F201" s="270">
        <f t="shared" si="46"/>
        <v>558.67999999999995</v>
      </c>
      <c r="G201" s="270">
        <f t="shared" si="47"/>
        <v>670.42</v>
      </c>
      <c r="I201" s="223"/>
    </row>
    <row r="202" spans="1:9" ht="19.5" customHeight="1" x14ac:dyDescent="0.3">
      <c r="A202" s="102">
        <f t="shared" si="48"/>
        <v>166</v>
      </c>
      <c r="B202" s="287" t="s">
        <v>1066</v>
      </c>
      <c r="C202" s="102" t="s">
        <v>387</v>
      </c>
      <c r="D202" s="363">
        <f>1.13*20/16</f>
        <v>1.4124999999999999</v>
      </c>
      <c r="E202" s="273">
        <v>322.1925</v>
      </c>
      <c r="F202" s="270">
        <f t="shared" si="46"/>
        <v>455.1</v>
      </c>
      <c r="G202" s="270">
        <f t="shared" si="47"/>
        <v>546.12</v>
      </c>
      <c r="I202" s="223"/>
    </row>
    <row r="203" spans="1:9" ht="19.5" customHeight="1" x14ac:dyDescent="0.3">
      <c r="A203" s="102">
        <f t="shared" si="48"/>
        <v>167</v>
      </c>
      <c r="B203" s="287" t="s">
        <v>1065</v>
      </c>
      <c r="C203" s="102" t="s">
        <v>254</v>
      </c>
      <c r="D203" s="363">
        <v>3.2</v>
      </c>
      <c r="E203" s="273">
        <v>402.09624000000002</v>
      </c>
      <c r="F203" s="270">
        <f t="shared" si="46"/>
        <v>1286.71</v>
      </c>
      <c r="G203" s="270">
        <f t="shared" si="47"/>
        <v>1544.05</v>
      </c>
      <c r="I203" s="223"/>
    </row>
    <row r="204" spans="1:9" ht="15.75" customHeight="1" x14ac:dyDescent="0.3">
      <c r="A204" s="102">
        <f t="shared" si="48"/>
        <v>168</v>
      </c>
      <c r="B204" s="287" t="s">
        <v>1073</v>
      </c>
      <c r="C204" s="102" t="s">
        <v>193</v>
      </c>
      <c r="D204" s="363">
        <v>0.08</v>
      </c>
      <c r="E204" s="273">
        <v>15465.24</v>
      </c>
      <c r="F204" s="270">
        <f t="shared" si="46"/>
        <v>1237.22</v>
      </c>
      <c r="G204" s="270">
        <f t="shared" si="47"/>
        <v>1484.66</v>
      </c>
      <c r="I204" s="223"/>
    </row>
    <row r="205" spans="1:9" ht="15.75" customHeight="1" x14ac:dyDescent="0.3">
      <c r="A205" s="102">
        <f t="shared" si="48"/>
        <v>169</v>
      </c>
      <c r="B205" s="287" t="s">
        <v>937</v>
      </c>
      <c r="C205" s="102" t="s">
        <v>220</v>
      </c>
      <c r="D205" s="360">
        <v>1</v>
      </c>
      <c r="E205" s="273">
        <v>22721.015100000001</v>
      </c>
      <c r="F205" s="270">
        <f t="shared" si="46"/>
        <v>22721.02</v>
      </c>
      <c r="G205" s="270">
        <f t="shared" si="47"/>
        <v>27265.22</v>
      </c>
      <c r="I205" s="223"/>
    </row>
    <row r="206" spans="1:9" ht="15.75" customHeight="1" x14ac:dyDescent="0.3">
      <c r="A206" s="102">
        <f t="shared" si="48"/>
        <v>170</v>
      </c>
      <c r="B206" s="287" t="s">
        <v>938</v>
      </c>
      <c r="C206" s="102" t="s">
        <v>254</v>
      </c>
      <c r="D206" s="363">
        <v>138.83000000000001</v>
      </c>
      <c r="E206" s="273">
        <v>229.40106</v>
      </c>
      <c r="F206" s="270">
        <f t="shared" si="46"/>
        <v>31847.75</v>
      </c>
      <c r="G206" s="270">
        <f t="shared" si="47"/>
        <v>38217.300000000003</v>
      </c>
      <c r="I206" s="223"/>
    </row>
    <row r="207" spans="1:9" ht="15.75" customHeight="1" x14ac:dyDescent="0.3">
      <c r="A207" s="102">
        <f t="shared" si="48"/>
        <v>171</v>
      </c>
      <c r="B207" s="287" t="s">
        <v>1074</v>
      </c>
      <c r="C207" s="102" t="s">
        <v>254</v>
      </c>
      <c r="D207" s="360">
        <v>45</v>
      </c>
      <c r="E207" s="273">
        <v>278.37432000000001</v>
      </c>
      <c r="F207" s="270">
        <f t="shared" si="46"/>
        <v>12526.84</v>
      </c>
      <c r="G207" s="270">
        <f t="shared" si="47"/>
        <v>15032.21</v>
      </c>
      <c r="I207" s="223"/>
    </row>
    <row r="208" spans="1:9" ht="19.5" customHeight="1" x14ac:dyDescent="0.3">
      <c r="A208" s="102"/>
      <c r="B208" s="355" t="s">
        <v>1003</v>
      </c>
      <c r="C208" s="102"/>
      <c r="D208" s="373"/>
      <c r="E208" s="273">
        <v>0</v>
      </c>
      <c r="F208" s="270"/>
      <c r="G208" s="270"/>
      <c r="I208" s="226"/>
    </row>
    <row r="209" spans="1:9" ht="19.5" customHeight="1" x14ac:dyDescent="0.3">
      <c r="A209" s="102">
        <f>A188+1</f>
        <v>155</v>
      </c>
      <c r="B209" s="287" t="s">
        <v>1004</v>
      </c>
      <c r="C209" s="102" t="s">
        <v>220</v>
      </c>
      <c r="D209" s="360">
        <v>2</v>
      </c>
      <c r="E209" s="273">
        <v>3672.9945000000002</v>
      </c>
      <c r="F209" s="270">
        <f t="shared" ref="F209:F214" si="49">ROUND(E209*D209,2)</f>
        <v>7345.99</v>
      </c>
      <c r="G209" s="270">
        <f t="shared" ref="G209:G214" si="50">ROUND(F209*1.2,2)</f>
        <v>8815.19</v>
      </c>
      <c r="I209" s="226"/>
    </row>
    <row r="210" spans="1:9" ht="19.5" customHeight="1" x14ac:dyDescent="0.3">
      <c r="A210" s="102">
        <f>A209+1</f>
        <v>156</v>
      </c>
      <c r="B210" s="287" t="s">
        <v>1005</v>
      </c>
      <c r="C210" s="102" t="s">
        <v>220</v>
      </c>
      <c r="D210" s="374" t="s">
        <v>761</v>
      </c>
      <c r="E210" s="273">
        <v>19563.528600000005</v>
      </c>
      <c r="F210" s="270">
        <f t="shared" si="49"/>
        <v>39127.06</v>
      </c>
      <c r="G210" s="270">
        <f t="shared" si="50"/>
        <v>46952.47</v>
      </c>
      <c r="I210" s="226"/>
    </row>
    <row r="211" spans="1:9" ht="19.5" customHeight="1" x14ac:dyDescent="0.3">
      <c r="A211" s="102">
        <f>A210+1</f>
        <v>157</v>
      </c>
      <c r="B211" s="287" t="s">
        <v>1006</v>
      </c>
      <c r="C211" s="102" t="s">
        <v>220</v>
      </c>
      <c r="D211" s="374" t="s">
        <v>761</v>
      </c>
      <c r="E211" s="273">
        <v>3415.2405000000003</v>
      </c>
      <c r="F211" s="270">
        <f t="shared" si="49"/>
        <v>6830.48</v>
      </c>
      <c r="G211" s="270">
        <f t="shared" si="50"/>
        <v>8196.58</v>
      </c>
      <c r="I211" s="226"/>
    </row>
    <row r="212" spans="1:9" ht="19.5" customHeight="1" x14ac:dyDescent="0.3">
      <c r="A212" s="102">
        <f>A211+1</f>
        <v>158</v>
      </c>
      <c r="B212" s="287" t="s">
        <v>1007</v>
      </c>
      <c r="C212" s="102" t="s">
        <v>220</v>
      </c>
      <c r="D212" s="374" t="s">
        <v>761</v>
      </c>
      <c r="E212" s="273">
        <v>7513.5291000000007</v>
      </c>
      <c r="F212" s="270">
        <f t="shared" si="49"/>
        <v>15027.06</v>
      </c>
      <c r="G212" s="270">
        <f t="shared" si="50"/>
        <v>18032.47</v>
      </c>
      <c r="I212" s="226"/>
    </row>
    <row r="213" spans="1:9" ht="20.100000000000001" customHeight="1" x14ac:dyDescent="0.3">
      <c r="A213" s="102">
        <f>A212+1</f>
        <v>159</v>
      </c>
      <c r="B213" s="287" t="s">
        <v>1008</v>
      </c>
      <c r="C213" s="102" t="s">
        <v>220</v>
      </c>
      <c r="D213" s="374" t="s">
        <v>761</v>
      </c>
      <c r="E213" s="273">
        <v>27064.170000000002</v>
      </c>
      <c r="F213" s="270">
        <f t="shared" si="49"/>
        <v>54128.34</v>
      </c>
      <c r="G213" s="270">
        <f t="shared" si="50"/>
        <v>64954.01</v>
      </c>
      <c r="I213" s="226"/>
    </row>
    <row r="214" spans="1:9" ht="19.5" customHeight="1" x14ac:dyDescent="0.3">
      <c r="A214" s="102">
        <f>A213+1</f>
        <v>160</v>
      </c>
      <c r="B214" s="287" t="s">
        <v>1009</v>
      </c>
      <c r="C214" s="102" t="s">
        <v>220</v>
      </c>
      <c r="D214" s="374" t="s">
        <v>758</v>
      </c>
      <c r="E214" s="273">
        <v>16238.502</v>
      </c>
      <c r="F214" s="270">
        <f t="shared" si="49"/>
        <v>16238.5</v>
      </c>
      <c r="G214" s="270">
        <f t="shared" si="50"/>
        <v>19486.2</v>
      </c>
      <c r="I214" s="226"/>
    </row>
    <row r="215" spans="1:9" ht="19.5" customHeight="1" x14ac:dyDescent="0.3">
      <c r="A215" s="102"/>
      <c r="B215" s="375" t="s">
        <v>1012</v>
      </c>
      <c r="C215" s="102"/>
      <c r="D215" s="373"/>
      <c r="E215" s="273">
        <v>0</v>
      </c>
      <c r="F215" s="270"/>
      <c r="G215" s="270"/>
      <c r="H215" s="202"/>
      <c r="I215" s="223"/>
    </row>
    <row r="216" spans="1:9" ht="19.5" customHeight="1" x14ac:dyDescent="0.3">
      <c r="A216" s="102">
        <f>A214+1</f>
        <v>161</v>
      </c>
      <c r="B216" s="287" t="s">
        <v>1001</v>
      </c>
      <c r="C216" s="102" t="s">
        <v>193</v>
      </c>
      <c r="D216" s="363">
        <v>0.34</v>
      </c>
      <c r="E216" s="273">
        <v>7049.5719000000008</v>
      </c>
      <c r="F216" s="270">
        <f t="shared" ref="F216:F223" si="51">ROUND(E216*D216,2)</f>
        <v>2396.85</v>
      </c>
      <c r="G216" s="270">
        <f t="shared" ref="G216:G223" si="52">ROUND(F216*1.2,2)</f>
        <v>2876.22</v>
      </c>
      <c r="I216" s="223"/>
    </row>
    <row r="217" spans="1:9" ht="19.5" customHeight="1" x14ac:dyDescent="0.3">
      <c r="A217" s="102">
        <f>A216+1</f>
        <v>162</v>
      </c>
      <c r="B217" s="287" t="s">
        <v>1016</v>
      </c>
      <c r="C217" s="102" t="s">
        <v>254</v>
      </c>
      <c r="D217" s="363">
        <v>30.1</v>
      </c>
      <c r="E217" s="273">
        <v>109.54545000000002</v>
      </c>
      <c r="F217" s="270">
        <f t="shared" si="51"/>
        <v>3297.32</v>
      </c>
      <c r="G217" s="270">
        <f t="shared" si="52"/>
        <v>3956.78</v>
      </c>
      <c r="I217" s="223"/>
    </row>
    <row r="218" spans="1:9" ht="19.5" customHeight="1" x14ac:dyDescent="0.3">
      <c r="A218" s="102">
        <f>A217+1</f>
        <v>163</v>
      </c>
      <c r="B218" s="287" t="s">
        <v>1011</v>
      </c>
      <c r="C218" s="102" t="s">
        <v>254</v>
      </c>
      <c r="D218" s="374" t="s">
        <v>1010</v>
      </c>
      <c r="E218" s="273">
        <v>231.9786</v>
      </c>
      <c r="F218" s="270">
        <f t="shared" si="51"/>
        <v>18210.32</v>
      </c>
      <c r="G218" s="270">
        <f t="shared" si="52"/>
        <v>21852.38</v>
      </c>
      <c r="I218" s="226"/>
    </row>
    <row r="219" spans="1:9" ht="19.5" customHeight="1" x14ac:dyDescent="0.3">
      <c r="A219" s="102">
        <f>A217+1</f>
        <v>163</v>
      </c>
      <c r="B219" s="287" t="s">
        <v>1066</v>
      </c>
      <c r="C219" s="102" t="s">
        <v>387</v>
      </c>
      <c r="D219" s="363">
        <f>54.1*0.25</f>
        <v>13.525</v>
      </c>
      <c r="E219" s="273">
        <v>322.1925</v>
      </c>
      <c r="F219" s="270">
        <f t="shared" si="51"/>
        <v>4357.6499999999996</v>
      </c>
      <c r="G219" s="270">
        <f t="shared" si="52"/>
        <v>5229.18</v>
      </c>
      <c r="H219" s="202"/>
      <c r="I219" s="223"/>
    </row>
    <row r="220" spans="1:9" ht="19.5" customHeight="1" x14ac:dyDescent="0.3">
      <c r="A220" s="102">
        <f t="shared" ref="A220:A223" si="53">A219+1</f>
        <v>164</v>
      </c>
      <c r="B220" s="287" t="s">
        <v>1065</v>
      </c>
      <c r="C220" s="102" t="s">
        <v>254</v>
      </c>
      <c r="D220" s="363">
        <f>0.7*54.1*2</f>
        <v>75.739999999999995</v>
      </c>
      <c r="E220" s="273">
        <v>402.09624000000002</v>
      </c>
      <c r="F220" s="270">
        <f t="shared" si="51"/>
        <v>30454.77</v>
      </c>
      <c r="G220" s="270">
        <f t="shared" si="52"/>
        <v>36545.72</v>
      </c>
      <c r="I220" s="223"/>
    </row>
    <row r="221" spans="1:9" ht="15.6" x14ac:dyDescent="0.3">
      <c r="A221" s="102">
        <f t="shared" si="53"/>
        <v>165</v>
      </c>
      <c r="B221" s="287" t="s">
        <v>402</v>
      </c>
      <c r="C221" s="102" t="s">
        <v>254</v>
      </c>
      <c r="D221" s="290">
        <v>40</v>
      </c>
      <c r="E221" s="273">
        <v>1773.3475200000003</v>
      </c>
      <c r="F221" s="270">
        <f t="shared" si="51"/>
        <v>70933.899999999994</v>
      </c>
      <c r="G221" s="270">
        <f t="shared" si="52"/>
        <v>85120.68</v>
      </c>
    </row>
    <row r="222" spans="1:9" ht="15.6" x14ac:dyDescent="0.3">
      <c r="A222" s="102">
        <f t="shared" si="53"/>
        <v>166</v>
      </c>
      <c r="B222" s="287" t="s">
        <v>403</v>
      </c>
      <c r="C222" s="102" t="s">
        <v>254</v>
      </c>
      <c r="D222" s="290">
        <v>80</v>
      </c>
      <c r="E222" s="273">
        <v>1956.3528600000004</v>
      </c>
      <c r="F222" s="270">
        <f t="shared" si="51"/>
        <v>156508.23000000001</v>
      </c>
      <c r="G222" s="270">
        <f t="shared" si="52"/>
        <v>187809.88</v>
      </c>
    </row>
    <row r="223" spans="1:9" ht="15.6" x14ac:dyDescent="0.3">
      <c r="A223" s="102">
        <f t="shared" si="53"/>
        <v>167</v>
      </c>
      <c r="B223" s="287" t="s">
        <v>1075</v>
      </c>
      <c r="C223" s="102" t="s">
        <v>193</v>
      </c>
      <c r="D223" s="336">
        <v>0.2</v>
      </c>
      <c r="E223" s="273">
        <v>5928.3420000000006</v>
      </c>
      <c r="F223" s="270">
        <f t="shared" si="51"/>
        <v>1185.67</v>
      </c>
      <c r="G223" s="270">
        <f t="shared" si="52"/>
        <v>1422.8</v>
      </c>
    </row>
    <row r="224" spans="1:9" ht="19.5" customHeight="1" x14ac:dyDescent="0.3">
      <c r="A224" s="102"/>
      <c r="B224" s="375" t="s">
        <v>984</v>
      </c>
      <c r="C224" s="102"/>
      <c r="D224" s="373"/>
      <c r="E224" s="273">
        <v>0</v>
      </c>
      <c r="F224" s="270"/>
      <c r="G224" s="270"/>
      <c r="I224" s="223"/>
    </row>
    <row r="225" spans="1:9" ht="19.5" customHeight="1" x14ac:dyDescent="0.3">
      <c r="A225" s="102">
        <f>A188+1</f>
        <v>155</v>
      </c>
      <c r="B225" s="287" t="s">
        <v>1001</v>
      </c>
      <c r="C225" s="102" t="s">
        <v>193</v>
      </c>
      <c r="D225" s="363">
        <v>9.9</v>
      </c>
      <c r="E225" s="273">
        <v>7049.5719000000008</v>
      </c>
      <c r="F225" s="270">
        <f t="shared" ref="F225:F241" si="54">ROUND(E225*D225,2)</f>
        <v>69790.759999999995</v>
      </c>
      <c r="G225" s="270">
        <f t="shared" ref="G225:G241" si="55">ROUND(F225*1.2,2)</f>
        <v>83748.91</v>
      </c>
      <c r="I225" s="226"/>
    </row>
    <row r="226" spans="1:9" ht="19.5" customHeight="1" x14ac:dyDescent="0.3">
      <c r="A226" s="102">
        <f>A225+1</f>
        <v>156</v>
      </c>
      <c r="B226" s="287" t="s">
        <v>1002</v>
      </c>
      <c r="C226" s="102" t="s">
        <v>193</v>
      </c>
      <c r="D226" s="363">
        <v>1.7</v>
      </c>
      <c r="E226" s="273">
        <v>5928.3420000000006</v>
      </c>
      <c r="F226" s="270">
        <f t="shared" si="54"/>
        <v>10078.18</v>
      </c>
      <c r="G226" s="270">
        <f t="shared" si="55"/>
        <v>12093.82</v>
      </c>
      <c r="I226" s="226"/>
    </row>
    <row r="227" spans="1:9" ht="19.5" customHeight="1" x14ac:dyDescent="0.3">
      <c r="A227" s="102">
        <f t="shared" ref="A227:A241" si="56">A226+1</f>
        <v>157</v>
      </c>
      <c r="B227" s="287" t="s">
        <v>985</v>
      </c>
      <c r="C227" s="102" t="s">
        <v>254</v>
      </c>
      <c r="D227" s="363">
        <f>5.8*62</f>
        <v>359.59999999999997</v>
      </c>
      <c r="E227" s="273">
        <v>109.54545000000002</v>
      </c>
      <c r="F227" s="270">
        <f t="shared" si="54"/>
        <v>39392.54</v>
      </c>
      <c r="G227" s="270">
        <f t="shared" si="55"/>
        <v>47271.05</v>
      </c>
      <c r="I227" s="226"/>
    </row>
    <row r="228" spans="1:9" ht="19.5" customHeight="1" x14ac:dyDescent="0.3">
      <c r="A228" s="102">
        <f t="shared" si="56"/>
        <v>158</v>
      </c>
      <c r="B228" s="287" t="s">
        <v>986</v>
      </c>
      <c r="C228" s="102" t="s">
        <v>254</v>
      </c>
      <c r="D228" s="363">
        <f>24*2.9</f>
        <v>69.599999999999994</v>
      </c>
      <c r="E228" s="273">
        <v>109.54545000000002</v>
      </c>
      <c r="F228" s="270">
        <f t="shared" si="54"/>
        <v>7624.36</v>
      </c>
      <c r="G228" s="270">
        <f t="shared" si="55"/>
        <v>9149.23</v>
      </c>
      <c r="I228" s="226"/>
    </row>
    <row r="229" spans="1:9" ht="19.5" customHeight="1" x14ac:dyDescent="0.3">
      <c r="A229" s="102">
        <f t="shared" si="56"/>
        <v>159</v>
      </c>
      <c r="B229" s="287" t="s">
        <v>987</v>
      </c>
      <c r="C229" s="102" t="s">
        <v>254</v>
      </c>
      <c r="D229" s="363">
        <f>144*2.1</f>
        <v>302.40000000000003</v>
      </c>
      <c r="E229" s="273">
        <v>109.54545000000002</v>
      </c>
      <c r="F229" s="270">
        <f t="shared" si="54"/>
        <v>33126.54</v>
      </c>
      <c r="G229" s="270">
        <f t="shared" si="55"/>
        <v>39751.85</v>
      </c>
      <c r="I229" s="226"/>
    </row>
    <row r="230" spans="1:9" ht="19.5" customHeight="1" x14ac:dyDescent="0.3">
      <c r="A230" s="102">
        <f t="shared" si="56"/>
        <v>160</v>
      </c>
      <c r="B230" s="287" t="s">
        <v>988</v>
      </c>
      <c r="C230" s="102" t="s">
        <v>254</v>
      </c>
      <c r="D230" s="363">
        <f>48*2.3</f>
        <v>110.39999999999999</v>
      </c>
      <c r="E230" s="273">
        <v>109.54545000000002</v>
      </c>
      <c r="F230" s="270">
        <f t="shared" si="54"/>
        <v>12093.82</v>
      </c>
      <c r="G230" s="270">
        <f t="shared" si="55"/>
        <v>14512.58</v>
      </c>
      <c r="I230" s="226"/>
    </row>
    <row r="231" spans="1:9" ht="19.5" customHeight="1" x14ac:dyDescent="0.3">
      <c r="A231" s="102">
        <f t="shared" si="56"/>
        <v>161</v>
      </c>
      <c r="B231" s="287" t="s">
        <v>989</v>
      </c>
      <c r="C231" s="102" t="s">
        <v>254</v>
      </c>
      <c r="D231" s="363">
        <f>36*0.5</f>
        <v>18</v>
      </c>
      <c r="E231" s="273">
        <v>109.54545000000002</v>
      </c>
      <c r="F231" s="270">
        <f t="shared" si="54"/>
        <v>1971.82</v>
      </c>
      <c r="G231" s="270">
        <f t="shared" si="55"/>
        <v>2366.1799999999998</v>
      </c>
      <c r="I231" s="226"/>
    </row>
    <row r="232" spans="1:9" ht="19.5" customHeight="1" x14ac:dyDescent="0.3">
      <c r="A232" s="102">
        <f t="shared" si="56"/>
        <v>162</v>
      </c>
      <c r="B232" s="287" t="s">
        <v>990</v>
      </c>
      <c r="C232" s="102" t="s">
        <v>254</v>
      </c>
      <c r="D232" s="363">
        <f>48*1.2</f>
        <v>57.599999999999994</v>
      </c>
      <c r="E232" s="273">
        <v>109.54545000000002</v>
      </c>
      <c r="F232" s="270">
        <f t="shared" si="54"/>
        <v>6309.82</v>
      </c>
      <c r="G232" s="270">
        <f t="shared" si="55"/>
        <v>7571.78</v>
      </c>
      <c r="I232" s="226"/>
    </row>
    <row r="233" spans="1:9" ht="19.5" customHeight="1" x14ac:dyDescent="0.3">
      <c r="A233" s="102">
        <f t="shared" si="56"/>
        <v>163</v>
      </c>
      <c r="B233" s="287" t="s">
        <v>991</v>
      </c>
      <c r="C233" s="102" t="s">
        <v>254</v>
      </c>
      <c r="D233" s="363">
        <f>144*1.8</f>
        <v>259.2</v>
      </c>
      <c r="E233" s="273">
        <v>109.54545000000002</v>
      </c>
      <c r="F233" s="270">
        <f t="shared" si="54"/>
        <v>28394.18</v>
      </c>
      <c r="G233" s="270">
        <f t="shared" si="55"/>
        <v>34073.019999999997</v>
      </c>
      <c r="I233" s="226"/>
    </row>
    <row r="234" spans="1:9" ht="19.5" customHeight="1" x14ac:dyDescent="0.3">
      <c r="A234" s="102">
        <f t="shared" si="56"/>
        <v>164</v>
      </c>
      <c r="B234" s="287" t="s">
        <v>992</v>
      </c>
      <c r="C234" s="102" t="s">
        <v>254</v>
      </c>
      <c r="D234" s="363">
        <f>48*1.2</f>
        <v>57.599999999999994</v>
      </c>
      <c r="E234" s="273">
        <v>109.54545000000002</v>
      </c>
      <c r="F234" s="270">
        <f t="shared" si="54"/>
        <v>6309.82</v>
      </c>
      <c r="G234" s="270">
        <f t="shared" si="55"/>
        <v>7571.78</v>
      </c>
      <c r="I234" s="226"/>
    </row>
    <row r="235" spans="1:9" ht="19.5" customHeight="1" x14ac:dyDescent="0.3">
      <c r="A235" s="102">
        <f t="shared" si="56"/>
        <v>165</v>
      </c>
      <c r="B235" s="287" t="s">
        <v>993</v>
      </c>
      <c r="C235" s="102" t="s">
        <v>254</v>
      </c>
      <c r="D235" s="363">
        <f>186*0.09</f>
        <v>16.739999999999998</v>
      </c>
      <c r="E235" s="273">
        <v>109.54545000000002</v>
      </c>
      <c r="F235" s="270">
        <f t="shared" si="54"/>
        <v>1833.79</v>
      </c>
      <c r="G235" s="270">
        <f t="shared" si="55"/>
        <v>2200.5500000000002</v>
      </c>
      <c r="I235" s="226"/>
    </row>
    <row r="236" spans="1:9" ht="19.5" customHeight="1" x14ac:dyDescent="0.3">
      <c r="A236" s="102">
        <f t="shared" si="56"/>
        <v>166</v>
      </c>
      <c r="B236" s="287" t="s">
        <v>994</v>
      </c>
      <c r="C236" s="102" t="s">
        <v>254</v>
      </c>
      <c r="D236" s="363">
        <f>80*3.8</f>
        <v>304</v>
      </c>
      <c r="E236" s="273">
        <v>109.54545000000002</v>
      </c>
      <c r="F236" s="270">
        <f t="shared" si="54"/>
        <v>33301.82</v>
      </c>
      <c r="G236" s="270">
        <f t="shared" si="55"/>
        <v>39962.18</v>
      </c>
      <c r="I236" s="226"/>
    </row>
    <row r="237" spans="1:9" ht="19.5" customHeight="1" x14ac:dyDescent="0.3">
      <c r="A237" s="102">
        <f t="shared" si="56"/>
        <v>167</v>
      </c>
      <c r="B237" s="287" t="s">
        <v>995</v>
      </c>
      <c r="C237" s="102" t="s">
        <v>254</v>
      </c>
      <c r="D237" s="363">
        <f>12*3.8</f>
        <v>45.599999999999994</v>
      </c>
      <c r="E237" s="273">
        <v>109.54545000000002</v>
      </c>
      <c r="F237" s="270">
        <f t="shared" si="54"/>
        <v>4995.2700000000004</v>
      </c>
      <c r="G237" s="270">
        <f t="shared" si="55"/>
        <v>5994.32</v>
      </c>
      <c r="I237" s="226"/>
    </row>
    <row r="238" spans="1:9" ht="19.5" customHeight="1" x14ac:dyDescent="0.3">
      <c r="A238" s="102">
        <f t="shared" si="56"/>
        <v>168</v>
      </c>
      <c r="B238" s="287" t="s">
        <v>996</v>
      </c>
      <c r="C238" s="102" t="s">
        <v>254</v>
      </c>
      <c r="D238" s="363">
        <f>12*1.3</f>
        <v>15.600000000000001</v>
      </c>
      <c r="E238" s="273">
        <v>109.54545000000002</v>
      </c>
      <c r="F238" s="270">
        <f t="shared" si="54"/>
        <v>1708.91</v>
      </c>
      <c r="G238" s="270">
        <f t="shared" si="55"/>
        <v>2050.69</v>
      </c>
      <c r="I238" s="226"/>
    </row>
    <row r="239" spans="1:9" ht="19.5" customHeight="1" x14ac:dyDescent="0.3">
      <c r="A239" s="102">
        <f t="shared" si="56"/>
        <v>169</v>
      </c>
      <c r="B239" s="287" t="s">
        <v>998</v>
      </c>
      <c r="C239" s="102" t="s">
        <v>254</v>
      </c>
      <c r="D239" s="363">
        <f>10.4*3</f>
        <v>31.200000000000003</v>
      </c>
      <c r="E239" s="273">
        <v>115.9893</v>
      </c>
      <c r="F239" s="270">
        <f t="shared" si="54"/>
        <v>3618.87</v>
      </c>
      <c r="G239" s="270">
        <f t="shared" si="55"/>
        <v>4342.6400000000003</v>
      </c>
      <c r="I239" s="226"/>
    </row>
    <row r="240" spans="1:9" ht="19.5" customHeight="1" x14ac:dyDescent="0.3">
      <c r="A240" s="102">
        <f t="shared" si="56"/>
        <v>170</v>
      </c>
      <c r="B240" s="287" t="s">
        <v>999</v>
      </c>
      <c r="C240" s="102" t="s">
        <v>254</v>
      </c>
      <c r="D240" s="363">
        <f>2.9*2</f>
        <v>5.8</v>
      </c>
      <c r="E240" s="273">
        <v>115.9893</v>
      </c>
      <c r="F240" s="270">
        <f t="shared" si="54"/>
        <v>672.74</v>
      </c>
      <c r="G240" s="270">
        <f t="shared" si="55"/>
        <v>807.29</v>
      </c>
      <c r="I240" s="223"/>
    </row>
    <row r="241" spans="1:9" ht="19.5" customHeight="1" x14ac:dyDescent="0.3">
      <c r="A241" s="102">
        <f t="shared" si="56"/>
        <v>171</v>
      </c>
      <c r="B241" s="287" t="s">
        <v>1000</v>
      </c>
      <c r="C241" s="102" t="s">
        <v>254</v>
      </c>
      <c r="D241" s="363">
        <v>1.6</v>
      </c>
      <c r="E241" s="273">
        <v>115.9893</v>
      </c>
      <c r="F241" s="270">
        <f t="shared" si="54"/>
        <v>185.58</v>
      </c>
      <c r="G241" s="270">
        <f t="shared" si="55"/>
        <v>222.7</v>
      </c>
      <c r="I241" s="223"/>
    </row>
    <row r="242" spans="1:9" ht="19.5" customHeight="1" x14ac:dyDescent="0.3">
      <c r="A242" s="102"/>
      <c r="B242" s="375" t="s">
        <v>997</v>
      </c>
      <c r="C242" s="102"/>
      <c r="D242" s="373"/>
      <c r="E242" s="273">
        <v>0</v>
      </c>
      <c r="F242" s="270"/>
      <c r="G242" s="270"/>
      <c r="I242" s="226"/>
    </row>
    <row r="243" spans="1:9" ht="19.5" customHeight="1" x14ac:dyDescent="0.3">
      <c r="A243" s="102">
        <f>A241+1</f>
        <v>172</v>
      </c>
      <c r="B243" s="287" t="s">
        <v>1014</v>
      </c>
      <c r="C243" s="102" t="s">
        <v>254</v>
      </c>
      <c r="D243" s="363">
        <f>1.22*3</f>
        <v>3.66</v>
      </c>
      <c r="E243" s="273">
        <v>109.54545000000002</v>
      </c>
      <c r="F243" s="270">
        <f>ROUND(E243*D243,2)</f>
        <v>400.94</v>
      </c>
      <c r="G243" s="270">
        <f t="shared" ref="G243:G244" si="57">ROUND(F243*1.2,2)</f>
        <v>481.13</v>
      </c>
      <c r="I243" s="226"/>
    </row>
    <row r="244" spans="1:9" ht="19.5" customHeight="1" x14ac:dyDescent="0.3">
      <c r="A244" s="102">
        <f>A243+1</f>
        <v>173</v>
      </c>
      <c r="B244" s="287" t="s">
        <v>1015</v>
      </c>
      <c r="C244" s="102" t="s">
        <v>254</v>
      </c>
      <c r="D244" s="363">
        <f>0.27*16</f>
        <v>4.32</v>
      </c>
      <c r="E244" s="273">
        <v>109.54545000000002</v>
      </c>
      <c r="F244" s="270">
        <f>ROUND(E244*D244,2)</f>
        <v>473.24</v>
      </c>
      <c r="G244" s="270">
        <f t="shared" si="57"/>
        <v>567.89</v>
      </c>
      <c r="I244" s="226"/>
    </row>
    <row r="245" spans="1:9" ht="19.5" customHeight="1" x14ac:dyDescent="0.3">
      <c r="A245" s="102"/>
      <c r="B245" s="375" t="s">
        <v>1017</v>
      </c>
      <c r="C245" s="102"/>
      <c r="D245" s="373"/>
      <c r="E245" s="273">
        <v>0</v>
      </c>
      <c r="F245" s="270"/>
      <c r="G245" s="270"/>
      <c r="I245" s="223"/>
    </row>
    <row r="246" spans="1:9" ht="19.5" customHeight="1" x14ac:dyDescent="0.3">
      <c r="A246" s="102">
        <f>A244+1</f>
        <v>174</v>
      </c>
      <c r="B246" s="287" t="s">
        <v>1018</v>
      </c>
      <c r="C246" s="102" t="s">
        <v>194</v>
      </c>
      <c r="D246" s="363">
        <v>23.55</v>
      </c>
      <c r="E246" s="273">
        <v>33.508020000000002</v>
      </c>
      <c r="F246" s="270">
        <f>ROUND(E246*D246,2)</f>
        <v>789.11</v>
      </c>
      <c r="G246" s="270">
        <f t="shared" ref="G246:G248" si="58">ROUND(F246*1.2,2)</f>
        <v>946.93</v>
      </c>
      <c r="I246" s="223"/>
    </row>
    <row r="247" spans="1:9" ht="19.5" customHeight="1" x14ac:dyDescent="0.3">
      <c r="A247" s="102">
        <f>A246+1</f>
        <v>175</v>
      </c>
      <c r="B247" s="287" t="s">
        <v>1019</v>
      </c>
      <c r="C247" s="102" t="s">
        <v>193</v>
      </c>
      <c r="D247" s="361">
        <v>0.621</v>
      </c>
      <c r="E247" s="273">
        <v>6521.1762000000008</v>
      </c>
      <c r="F247" s="270">
        <f>ROUND(E247*D247,2)</f>
        <v>4049.65</v>
      </c>
      <c r="G247" s="270">
        <f t="shared" si="58"/>
        <v>4859.58</v>
      </c>
      <c r="I247" s="223"/>
    </row>
    <row r="248" spans="1:9" ht="19.5" customHeight="1" x14ac:dyDescent="0.3">
      <c r="A248" s="102">
        <f>A247+1</f>
        <v>176</v>
      </c>
      <c r="B248" s="287" t="s">
        <v>1020</v>
      </c>
      <c r="C248" s="102" t="s">
        <v>254</v>
      </c>
      <c r="D248" s="363">
        <f>0.3</f>
        <v>0.3</v>
      </c>
      <c r="E248" s="273">
        <v>77.3262</v>
      </c>
      <c r="F248" s="270">
        <f>ROUND(E248*D248,2)</f>
        <v>23.2</v>
      </c>
      <c r="G248" s="270">
        <f t="shared" si="58"/>
        <v>27.84</v>
      </c>
      <c r="I248" s="223"/>
    </row>
    <row r="249" spans="1:9" ht="19.5" customHeight="1" x14ac:dyDescent="0.3">
      <c r="A249" s="102"/>
      <c r="B249" s="355" t="s">
        <v>1021</v>
      </c>
      <c r="C249" s="102"/>
      <c r="D249" s="373"/>
      <c r="E249" s="273">
        <v>0</v>
      </c>
      <c r="F249" s="270"/>
      <c r="G249" s="270"/>
      <c r="I249" s="223"/>
    </row>
    <row r="250" spans="1:9" ht="19.5" customHeight="1" x14ac:dyDescent="0.3">
      <c r="A250" s="102">
        <f>A248+1</f>
        <v>177</v>
      </c>
      <c r="B250" s="287" t="s">
        <v>1004</v>
      </c>
      <c r="C250" s="102" t="s">
        <v>220</v>
      </c>
      <c r="D250" s="360">
        <v>1</v>
      </c>
      <c r="E250" s="273">
        <v>3672.9945000000002</v>
      </c>
      <c r="F250" s="270">
        <f t="shared" ref="F250:F266" si="59">ROUND(E250*D250,2)</f>
        <v>3672.99</v>
      </c>
      <c r="G250" s="270">
        <f t="shared" ref="G250:G266" si="60">ROUND(F250*1.2,2)</f>
        <v>4407.59</v>
      </c>
      <c r="I250" s="223"/>
    </row>
    <row r="251" spans="1:9" ht="19.5" customHeight="1" x14ac:dyDescent="0.3">
      <c r="A251" s="102">
        <f t="shared" ref="A251:A266" si="61">A250+1</f>
        <v>178</v>
      </c>
      <c r="B251" s="287" t="s">
        <v>1022</v>
      </c>
      <c r="C251" s="102" t="s">
        <v>220</v>
      </c>
      <c r="D251" s="360">
        <v>1</v>
      </c>
      <c r="E251" s="273">
        <v>3840.5346</v>
      </c>
      <c r="F251" s="270">
        <f t="shared" si="59"/>
        <v>3840.53</v>
      </c>
      <c r="G251" s="270">
        <f t="shared" si="60"/>
        <v>4608.6400000000003</v>
      </c>
      <c r="I251" s="223"/>
    </row>
    <row r="252" spans="1:9" ht="19.5" customHeight="1" x14ac:dyDescent="0.3">
      <c r="A252" s="102">
        <f t="shared" si="61"/>
        <v>179</v>
      </c>
      <c r="B252" s="287" t="s">
        <v>1023</v>
      </c>
      <c r="C252" s="102" t="s">
        <v>220</v>
      </c>
      <c r="D252" s="360">
        <v>1</v>
      </c>
      <c r="E252" s="273">
        <v>7023.7965000000013</v>
      </c>
      <c r="F252" s="270">
        <f t="shared" si="59"/>
        <v>7023.8</v>
      </c>
      <c r="G252" s="270">
        <f t="shared" si="60"/>
        <v>8428.56</v>
      </c>
      <c r="I252" s="223"/>
    </row>
    <row r="253" spans="1:9" s="292" customFormat="1" ht="19.5" customHeight="1" x14ac:dyDescent="0.3">
      <c r="A253" s="102">
        <f t="shared" si="61"/>
        <v>180</v>
      </c>
      <c r="B253" s="287" t="s">
        <v>1007</v>
      </c>
      <c r="C253" s="102" t="s">
        <v>220</v>
      </c>
      <c r="D253" s="360">
        <v>1</v>
      </c>
      <c r="E253" s="273">
        <v>7513.5291000000007</v>
      </c>
      <c r="F253" s="270">
        <f t="shared" si="59"/>
        <v>7513.53</v>
      </c>
      <c r="G253" s="270">
        <f t="shared" si="60"/>
        <v>9016.24</v>
      </c>
      <c r="I253" s="293"/>
    </row>
    <row r="254" spans="1:9" ht="19.5" customHeight="1" x14ac:dyDescent="0.3">
      <c r="A254" s="376">
        <f t="shared" si="61"/>
        <v>181</v>
      </c>
      <c r="B254" s="377" t="s">
        <v>1005</v>
      </c>
      <c r="C254" s="376" t="s">
        <v>220</v>
      </c>
      <c r="D254" s="378">
        <v>1</v>
      </c>
      <c r="E254" s="273">
        <v>19563.528600000005</v>
      </c>
      <c r="F254" s="372">
        <f t="shared" si="59"/>
        <v>19563.53</v>
      </c>
      <c r="G254" s="372">
        <f t="shared" si="60"/>
        <v>23476.240000000002</v>
      </c>
      <c r="I254" s="223"/>
    </row>
    <row r="255" spans="1:9" ht="19.5" customHeight="1" x14ac:dyDescent="0.3">
      <c r="A255" s="102">
        <f t="shared" si="61"/>
        <v>182</v>
      </c>
      <c r="B255" s="287" t="s">
        <v>1006</v>
      </c>
      <c r="C255" s="102" t="s">
        <v>220</v>
      </c>
      <c r="D255" s="360">
        <v>1</v>
      </c>
      <c r="E255" s="273">
        <v>3415.2405000000003</v>
      </c>
      <c r="F255" s="270">
        <f t="shared" si="59"/>
        <v>3415.24</v>
      </c>
      <c r="G255" s="270">
        <f t="shared" si="60"/>
        <v>4098.29</v>
      </c>
      <c r="I255" s="223"/>
    </row>
    <row r="256" spans="1:9" ht="19.5" customHeight="1" x14ac:dyDescent="0.3">
      <c r="A256" s="102">
        <f t="shared" si="61"/>
        <v>183</v>
      </c>
      <c r="B256" s="287" t="s">
        <v>1024</v>
      </c>
      <c r="C256" s="102" t="s">
        <v>254</v>
      </c>
      <c r="D256" s="360">
        <v>45</v>
      </c>
      <c r="E256" s="273">
        <v>7062.459600000001</v>
      </c>
      <c r="F256" s="270">
        <f t="shared" si="59"/>
        <v>317810.68</v>
      </c>
      <c r="G256" s="270">
        <f t="shared" si="60"/>
        <v>381372.82</v>
      </c>
      <c r="I256" s="223"/>
    </row>
    <row r="257" spans="1:9" ht="19.5" customHeight="1" x14ac:dyDescent="0.3">
      <c r="A257" s="102">
        <f t="shared" si="61"/>
        <v>184</v>
      </c>
      <c r="B257" s="287" t="s">
        <v>1025</v>
      </c>
      <c r="C257" s="102" t="s">
        <v>220</v>
      </c>
      <c r="D257" s="360">
        <v>3</v>
      </c>
      <c r="E257" s="273">
        <v>824.81280000000015</v>
      </c>
      <c r="F257" s="270">
        <f t="shared" si="59"/>
        <v>2474.44</v>
      </c>
      <c r="G257" s="270">
        <f t="shared" si="60"/>
        <v>2969.33</v>
      </c>
      <c r="I257" s="223"/>
    </row>
    <row r="258" spans="1:9" ht="19.5" customHeight="1" x14ac:dyDescent="0.3">
      <c r="A258" s="102">
        <f t="shared" si="61"/>
        <v>185</v>
      </c>
      <c r="B258" s="287" t="s">
        <v>971</v>
      </c>
      <c r="C258" s="102" t="s">
        <v>220</v>
      </c>
      <c r="D258" s="360">
        <v>4</v>
      </c>
      <c r="E258" s="273">
        <v>2938.3956000000003</v>
      </c>
      <c r="F258" s="270">
        <f t="shared" si="59"/>
        <v>11753.58</v>
      </c>
      <c r="G258" s="270">
        <f t="shared" si="60"/>
        <v>14104.3</v>
      </c>
      <c r="I258" s="223"/>
    </row>
    <row r="259" spans="1:9" ht="19.5" customHeight="1" x14ac:dyDescent="0.3">
      <c r="A259" s="102">
        <f t="shared" si="61"/>
        <v>186</v>
      </c>
      <c r="B259" s="287" t="s">
        <v>1026</v>
      </c>
      <c r="C259" s="102" t="s">
        <v>193</v>
      </c>
      <c r="D259" s="363">
        <v>0.28000000000000003</v>
      </c>
      <c r="E259" s="273">
        <v>7474.866</v>
      </c>
      <c r="F259" s="270">
        <f t="shared" si="59"/>
        <v>2092.96</v>
      </c>
      <c r="G259" s="270">
        <f t="shared" si="60"/>
        <v>2511.5500000000002</v>
      </c>
      <c r="I259" s="223"/>
    </row>
    <row r="260" spans="1:9" ht="19.5" customHeight="1" x14ac:dyDescent="0.3">
      <c r="A260" s="102">
        <f t="shared" si="61"/>
        <v>187</v>
      </c>
      <c r="B260" s="287" t="s">
        <v>1027</v>
      </c>
      <c r="C260" s="102" t="s">
        <v>193</v>
      </c>
      <c r="D260" s="363">
        <v>0.05</v>
      </c>
      <c r="E260" s="273">
        <v>7825.4114399999999</v>
      </c>
      <c r="F260" s="270">
        <f t="shared" si="59"/>
        <v>391.27</v>
      </c>
      <c r="G260" s="270">
        <f t="shared" si="60"/>
        <v>469.52</v>
      </c>
      <c r="I260" s="223"/>
    </row>
    <row r="261" spans="1:9" ht="19.5" customHeight="1" x14ac:dyDescent="0.3">
      <c r="A261" s="626">
        <f t="shared" si="61"/>
        <v>188</v>
      </c>
      <c r="B261" s="627" t="s">
        <v>161</v>
      </c>
      <c r="C261" s="626" t="s">
        <v>193</v>
      </c>
      <c r="D261" s="628">
        <v>0.3</v>
      </c>
      <c r="E261" s="588">
        <v>979.00333333333299</v>
      </c>
      <c r="F261" s="620">
        <f t="shared" si="59"/>
        <v>293.7</v>
      </c>
      <c r="G261" s="620">
        <f t="shared" si="60"/>
        <v>352.44</v>
      </c>
      <c r="I261" s="223"/>
    </row>
    <row r="262" spans="1:9" ht="19.5" customHeight="1" x14ac:dyDescent="0.3">
      <c r="A262" s="102">
        <f t="shared" si="61"/>
        <v>189</v>
      </c>
      <c r="B262" s="287" t="s">
        <v>972</v>
      </c>
      <c r="C262" s="102" t="s">
        <v>254</v>
      </c>
      <c r="D262" s="362">
        <v>122.7</v>
      </c>
      <c r="E262" s="273">
        <v>231.9786</v>
      </c>
      <c r="F262" s="270">
        <f t="shared" si="59"/>
        <v>28463.77</v>
      </c>
      <c r="G262" s="270">
        <f t="shared" si="60"/>
        <v>34156.519999999997</v>
      </c>
      <c r="I262" s="223"/>
    </row>
    <row r="263" spans="1:9" ht="19.5" customHeight="1" x14ac:dyDescent="0.3">
      <c r="A263" s="102">
        <f t="shared" si="61"/>
        <v>190</v>
      </c>
      <c r="B263" s="287" t="s">
        <v>1028</v>
      </c>
      <c r="C263" s="102" t="s">
        <v>220</v>
      </c>
      <c r="D263" s="360">
        <v>1</v>
      </c>
      <c r="E263" s="273">
        <v>19279.999200000002</v>
      </c>
      <c r="F263" s="270">
        <f t="shared" si="59"/>
        <v>19280</v>
      </c>
      <c r="G263" s="270">
        <f t="shared" si="60"/>
        <v>23136</v>
      </c>
      <c r="I263" s="223"/>
    </row>
    <row r="264" spans="1:9" ht="19.5" customHeight="1" x14ac:dyDescent="0.3">
      <c r="A264" s="102">
        <f t="shared" si="61"/>
        <v>191</v>
      </c>
      <c r="B264" s="287" t="s">
        <v>1066</v>
      </c>
      <c r="C264" s="102" t="s">
        <v>387</v>
      </c>
      <c r="D264" s="363">
        <f>41.6*0.25</f>
        <v>10.4</v>
      </c>
      <c r="E264" s="273">
        <v>322.1925</v>
      </c>
      <c r="F264" s="270">
        <f t="shared" si="59"/>
        <v>3350.8</v>
      </c>
      <c r="G264" s="270">
        <f t="shared" si="60"/>
        <v>4020.96</v>
      </c>
      <c r="I264" s="223"/>
    </row>
    <row r="265" spans="1:9" ht="19.5" customHeight="1" x14ac:dyDescent="0.3">
      <c r="A265" s="102">
        <f t="shared" si="61"/>
        <v>192</v>
      </c>
      <c r="B265" s="287" t="s">
        <v>1065</v>
      </c>
      <c r="C265" s="102" t="s">
        <v>254</v>
      </c>
      <c r="D265" s="363">
        <f>0.7*41.6*2</f>
        <v>58.239999999999995</v>
      </c>
      <c r="E265" s="273">
        <v>402.09624000000002</v>
      </c>
      <c r="F265" s="270">
        <f t="shared" si="59"/>
        <v>23418.09</v>
      </c>
      <c r="G265" s="270">
        <f t="shared" si="60"/>
        <v>28101.71</v>
      </c>
      <c r="I265" s="223"/>
    </row>
    <row r="266" spans="1:9" ht="19.5" customHeight="1" x14ac:dyDescent="0.3">
      <c r="A266" s="102">
        <f t="shared" si="61"/>
        <v>193</v>
      </c>
      <c r="B266" s="287" t="s">
        <v>973</v>
      </c>
      <c r="C266" s="102" t="s">
        <v>254</v>
      </c>
      <c r="D266" s="360">
        <v>133</v>
      </c>
      <c r="E266" s="273">
        <v>231.9786</v>
      </c>
      <c r="F266" s="270">
        <f t="shared" si="59"/>
        <v>30853.15</v>
      </c>
      <c r="G266" s="270">
        <f t="shared" si="60"/>
        <v>37023.78</v>
      </c>
      <c r="I266" s="223"/>
    </row>
    <row r="267" spans="1:9" ht="19.5" customHeight="1" x14ac:dyDescent="0.3">
      <c r="A267" s="102"/>
      <c r="B267" s="355" t="s">
        <v>1055</v>
      </c>
      <c r="C267" s="102"/>
      <c r="D267" s="362"/>
      <c r="E267" s="273">
        <v>0</v>
      </c>
      <c r="F267" s="270"/>
      <c r="G267" s="270"/>
      <c r="I267" s="223"/>
    </row>
    <row r="268" spans="1:9" ht="19.5" customHeight="1" x14ac:dyDescent="0.3">
      <c r="A268" s="102">
        <f>A263+1</f>
        <v>191</v>
      </c>
      <c r="B268" s="287" t="s">
        <v>1029</v>
      </c>
      <c r="C268" s="102" t="s">
        <v>220</v>
      </c>
      <c r="D268" s="360">
        <f>1*4</f>
        <v>4</v>
      </c>
      <c r="E268" s="273">
        <v>2062.0320000000002</v>
      </c>
      <c r="F268" s="270">
        <f t="shared" ref="F268:F275" si="62">ROUND(E268*D268,2)</f>
        <v>8248.1299999999992</v>
      </c>
      <c r="G268" s="270">
        <f t="shared" ref="G268:G275" si="63">ROUND(F268*1.2,2)</f>
        <v>9897.76</v>
      </c>
      <c r="I268" s="223"/>
    </row>
    <row r="269" spans="1:9" ht="19.5" customHeight="1" x14ac:dyDescent="0.3">
      <c r="A269" s="102">
        <f>A268+1</f>
        <v>192</v>
      </c>
      <c r="B269" s="287" t="s">
        <v>1030</v>
      </c>
      <c r="C269" s="102" t="s">
        <v>254</v>
      </c>
      <c r="D269" s="363">
        <f>0.66*4</f>
        <v>2.64</v>
      </c>
      <c r="E269" s="273">
        <v>162.38502</v>
      </c>
      <c r="F269" s="270">
        <f t="shared" si="62"/>
        <v>428.7</v>
      </c>
      <c r="G269" s="270">
        <f t="shared" si="63"/>
        <v>514.44000000000005</v>
      </c>
      <c r="H269" s="294"/>
      <c r="I269" s="223"/>
    </row>
    <row r="270" spans="1:9" ht="19.5" customHeight="1" x14ac:dyDescent="0.3">
      <c r="A270" s="102">
        <f>A269+1</f>
        <v>193</v>
      </c>
      <c r="B270" s="287" t="s">
        <v>1031</v>
      </c>
      <c r="C270" s="102" t="s">
        <v>220</v>
      </c>
      <c r="D270" s="360">
        <f>1*4</f>
        <v>4</v>
      </c>
      <c r="E270" s="273">
        <v>2080.0747799999999</v>
      </c>
      <c r="F270" s="270">
        <f t="shared" si="62"/>
        <v>8320.2999999999993</v>
      </c>
      <c r="G270" s="270">
        <f t="shared" si="63"/>
        <v>9984.36</v>
      </c>
      <c r="I270" s="223"/>
    </row>
    <row r="271" spans="1:9" ht="19.5" customHeight="1" x14ac:dyDescent="0.3">
      <c r="A271" s="102">
        <f>A270+1</f>
        <v>194</v>
      </c>
      <c r="B271" s="287" t="s">
        <v>1032</v>
      </c>
      <c r="C271" s="102" t="s">
        <v>194</v>
      </c>
      <c r="D271" s="362">
        <f>0.2*4</f>
        <v>0.8</v>
      </c>
      <c r="E271" s="273">
        <v>618.6096</v>
      </c>
      <c r="F271" s="270">
        <f t="shared" si="62"/>
        <v>494.89</v>
      </c>
      <c r="G271" s="270">
        <f t="shared" si="63"/>
        <v>593.87</v>
      </c>
      <c r="I271" s="223"/>
    </row>
    <row r="272" spans="1:9" ht="19.5" customHeight="1" x14ac:dyDescent="0.3">
      <c r="A272" s="102">
        <f t="shared" ref="A272:A275" si="64">A271+1</f>
        <v>195</v>
      </c>
      <c r="B272" s="287" t="s">
        <v>1033</v>
      </c>
      <c r="C272" s="102" t="s">
        <v>254</v>
      </c>
      <c r="D272" s="361">
        <f>0.032*2*4</f>
        <v>0.25600000000000001</v>
      </c>
      <c r="E272" s="273">
        <v>163.67379</v>
      </c>
      <c r="F272" s="270">
        <f t="shared" si="62"/>
        <v>41.9</v>
      </c>
      <c r="G272" s="270">
        <f t="shared" si="63"/>
        <v>50.28</v>
      </c>
      <c r="I272" s="223"/>
    </row>
    <row r="273" spans="1:9" ht="19.5" customHeight="1" x14ac:dyDescent="0.3">
      <c r="A273" s="102">
        <f t="shared" si="64"/>
        <v>196</v>
      </c>
      <c r="B273" s="287" t="s">
        <v>1034</v>
      </c>
      <c r="C273" s="102" t="s">
        <v>254</v>
      </c>
      <c r="D273" s="361">
        <f>0.012*2*4</f>
        <v>9.6000000000000002E-2</v>
      </c>
      <c r="E273" s="273">
        <v>189.44919000000002</v>
      </c>
      <c r="F273" s="270">
        <f t="shared" si="62"/>
        <v>18.190000000000001</v>
      </c>
      <c r="G273" s="270">
        <f t="shared" si="63"/>
        <v>21.83</v>
      </c>
      <c r="I273" s="223"/>
    </row>
    <row r="274" spans="1:9" ht="19.5" customHeight="1" x14ac:dyDescent="0.3">
      <c r="A274" s="102">
        <f t="shared" si="64"/>
        <v>197</v>
      </c>
      <c r="B274" s="287" t="s">
        <v>1035</v>
      </c>
      <c r="C274" s="102" t="s">
        <v>254</v>
      </c>
      <c r="D274" s="361">
        <f>0.002*2*4</f>
        <v>1.6E-2</v>
      </c>
      <c r="E274" s="273">
        <v>253.88768999999999</v>
      </c>
      <c r="F274" s="270">
        <f t="shared" si="62"/>
        <v>4.0599999999999996</v>
      </c>
      <c r="G274" s="270">
        <f t="shared" si="63"/>
        <v>4.87</v>
      </c>
      <c r="I274" s="223"/>
    </row>
    <row r="275" spans="1:9" ht="19.5" customHeight="1" x14ac:dyDescent="0.3">
      <c r="A275" s="102">
        <f t="shared" si="64"/>
        <v>198</v>
      </c>
      <c r="B275" s="287" t="s">
        <v>1036</v>
      </c>
      <c r="C275" s="102" t="s">
        <v>254</v>
      </c>
      <c r="D275" s="361">
        <f>0.004*2*4</f>
        <v>3.2000000000000001E-2</v>
      </c>
      <c r="E275" s="273">
        <v>253.88768999999999</v>
      </c>
      <c r="F275" s="270">
        <f t="shared" si="62"/>
        <v>8.1199999999999992</v>
      </c>
      <c r="G275" s="270">
        <f t="shared" si="63"/>
        <v>9.74</v>
      </c>
      <c r="I275" s="223"/>
    </row>
    <row r="276" spans="1:9" ht="19.5" customHeight="1" x14ac:dyDescent="0.3">
      <c r="A276" s="102"/>
      <c r="B276" s="355" t="s">
        <v>404</v>
      </c>
      <c r="C276" s="102"/>
      <c r="D276" s="373"/>
      <c r="E276" s="273">
        <v>0</v>
      </c>
      <c r="F276" s="270"/>
      <c r="G276" s="270"/>
      <c r="I276" s="223"/>
    </row>
    <row r="277" spans="1:9" ht="24.75" customHeight="1" x14ac:dyDescent="0.3">
      <c r="A277" s="102">
        <f>A275+1</f>
        <v>199</v>
      </c>
      <c r="B277" s="287" t="s">
        <v>1047</v>
      </c>
      <c r="C277" s="102" t="s">
        <v>194</v>
      </c>
      <c r="D277" s="360">
        <v>115</v>
      </c>
      <c r="E277" s="273">
        <v>1875.1603500000001</v>
      </c>
      <c r="F277" s="270">
        <f t="shared" ref="F277:F300" si="65">ROUND(E277*D277,2)</f>
        <v>215643.44</v>
      </c>
      <c r="G277" s="270">
        <f t="shared" ref="G277:G300" si="66">ROUND(F277*1.2,2)</f>
        <v>258772.13</v>
      </c>
      <c r="H277" s="229" t="s">
        <v>1202</v>
      </c>
      <c r="I277" s="223"/>
    </row>
    <row r="278" spans="1:9" ht="19.5" customHeight="1" x14ac:dyDescent="0.3">
      <c r="A278" s="102">
        <f>A277+1</f>
        <v>200</v>
      </c>
      <c r="B278" s="287" t="s">
        <v>1038</v>
      </c>
      <c r="C278" s="102" t="s">
        <v>194</v>
      </c>
      <c r="D278" s="360">
        <v>20</v>
      </c>
      <c r="E278" s="273">
        <v>0</v>
      </c>
      <c r="F278" s="270">
        <f t="shared" si="65"/>
        <v>0</v>
      </c>
      <c r="G278" s="270">
        <f t="shared" si="66"/>
        <v>0</v>
      </c>
      <c r="I278" s="223"/>
    </row>
    <row r="279" spans="1:9" ht="19.5" customHeight="1" x14ac:dyDescent="0.3">
      <c r="A279" s="102">
        <f t="shared" ref="A279:A300" si="67">A278+1</f>
        <v>201</v>
      </c>
      <c r="B279" s="287" t="s">
        <v>1050</v>
      </c>
      <c r="C279" s="102" t="s">
        <v>194</v>
      </c>
      <c r="D279" s="360">
        <v>24</v>
      </c>
      <c r="E279" s="273">
        <v>0</v>
      </c>
      <c r="F279" s="270">
        <f t="shared" si="65"/>
        <v>0</v>
      </c>
      <c r="G279" s="270">
        <f t="shared" si="66"/>
        <v>0</v>
      </c>
      <c r="I279" s="223"/>
    </row>
    <row r="280" spans="1:9" ht="19.5" customHeight="1" x14ac:dyDescent="0.3">
      <c r="A280" s="102">
        <f t="shared" si="67"/>
        <v>202</v>
      </c>
      <c r="B280" s="287" t="s">
        <v>1048</v>
      </c>
      <c r="C280" s="102" t="s">
        <v>194</v>
      </c>
      <c r="D280" s="360">
        <v>11</v>
      </c>
      <c r="E280" s="273">
        <v>1005.2406000000001</v>
      </c>
      <c r="F280" s="270">
        <f t="shared" si="65"/>
        <v>11057.65</v>
      </c>
      <c r="G280" s="270">
        <f t="shared" si="66"/>
        <v>13269.18</v>
      </c>
      <c r="I280" s="223"/>
    </row>
    <row r="281" spans="1:9" ht="19.5" customHeight="1" x14ac:dyDescent="0.3">
      <c r="A281" s="102">
        <f t="shared" si="67"/>
        <v>203</v>
      </c>
      <c r="B281" s="287" t="s">
        <v>1049</v>
      </c>
      <c r="C281" s="102" t="s">
        <v>194</v>
      </c>
      <c r="D281" s="362">
        <v>10.5</v>
      </c>
      <c r="E281" s="273">
        <v>667.58285999999998</v>
      </c>
      <c r="F281" s="270">
        <f t="shared" si="65"/>
        <v>7009.62</v>
      </c>
      <c r="G281" s="270">
        <f t="shared" si="66"/>
        <v>8411.5400000000009</v>
      </c>
      <c r="H281" s="202"/>
      <c r="I281" s="223"/>
    </row>
    <row r="282" spans="1:9" ht="19.5" customHeight="1" x14ac:dyDescent="0.3">
      <c r="A282" s="102">
        <f t="shared" si="67"/>
        <v>204</v>
      </c>
      <c r="B282" s="287" t="s">
        <v>1051</v>
      </c>
      <c r="C282" s="102" t="s">
        <v>194</v>
      </c>
      <c r="D282" s="362">
        <v>2</v>
      </c>
      <c r="E282" s="273">
        <v>4252.9410000000007</v>
      </c>
      <c r="F282" s="270">
        <f t="shared" si="65"/>
        <v>8505.8799999999992</v>
      </c>
      <c r="G282" s="270">
        <f t="shared" si="66"/>
        <v>10207.06</v>
      </c>
      <c r="H282" s="202"/>
      <c r="I282" s="223"/>
    </row>
    <row r="283" spans="1:9" ht="19.5" customHeight="1" x14ac:dyDescent="0.3">
      <c r="A283" s="102">
        <f t="shared" si="67"/>
        <v>205</v>
      </c>
      <c r="B283" s="287" t="s">
        <v>1039</v>
      </c>
      <c r="C283" s="102" t="s">
        <v>220</v>
      </c>
      <c r="D283" s="360">
        <f>4+12</f>
        <v>16</v>
      </c>
      <c r="E283" s="273">
        <v>5026.2030000000004</v>
      </c>
      <c r="F283" s="270">
        <f t="shared" si="65"/>
        <v>80419.25</v>
      </c>
      <c r="G283" s="270">
        <f t="shared" si="66"/>
        <v>96503.1</v>
      </c>
      <c r="H283" s="202"/>
      <c r="I283" s="223"/>
    </row>
    <row r="284" spans="1:9" ht="19.5" customHeight="1" x14ac:dyDescent="0.3">
      <c r="A284" s="102">
        <f t="shared" si="67"/>
        <v>206</v>
      </c>
      <c r="B284" s="287" t="s">
        <v>1052</v>
      </c>
      <c r="C284" s="102" t="s">
        <v>220</v>
      </c>
      <c r="D284" s="360">
        <v>6</v>
      </c>
      <c r="E284" s="273">
        <v>773.26200000000006</v>
      </c>
      <c r="F284" s="270">
        <f t="shared" si="65"/>
        <v>4639.57</v>
      </c>
      <c r="G284" s="270">
        <f t="shared" si="66"/>
        <v>5567.48</v>
      </c>
      <c r="H284" s="202"/>
      <c r="I284" s="223"/>
    </row>
    <row r="285" spans="1:9" ht="19.5" customHeight="1" x14ac:dyDescent="0.3">
      <c r="A285" s="102">
        <f t="shared" si="67"/>
        <v>207</v>
      </c>
      <c r="B285" s="287" t="s">
        <v>1040</v>
      </c>
      <c r="C285" s="102" t="s">
        <v>220</v>
      </c>
      <c r="D285" s="360">
        <f>4+4</f>
        <v>8</v>
      </c>
      <c r="E285" s="273">
        <v>212.64705000000004</v>
      </c>
      <c r="F285" s="270">
        <f t="shared" si="65"/>
        <v>1701.18</v>
      </c>
      <c r="G285" s="270">
        <f t="shared" si="66"/>
        <v>2041.42</v>
      </c>
      <c r="H285" s="202"/>
      <c r="I285" s="223"/>
    </row>
    <row r="286" spans="1:9" ht="33" customHeight="1" x14ac:dyDescent="0.3">
      <c r="A286" s="102">
        <f t="shared" si="67"/>
        <v>208</v>
      </c>
      <c r="B286" s="287" t="s">
        <v>1041</v>
      </c>
      <c r="C286" s="102" t="s">
        <v>220</v>
      </c>
      <c r="D286" s="360">
        <f>2+2</f>
        <v>4</v>
      </c>
      <c r="E286" s="273">
        <v>62363.580300000009</v>
      </c>
      <c r="F286" s="270">
        <f t="shared" si="65"/>
        <v>249454.32</v>
      </c>
      <c r="G286" s="270">
        <f t="shared" si="66"/>
        <v>299345.18</v>
      </c>
      <c r="I286" s="223"/>
    </row>
    <row r="287" spans="1:9" ht="33" customHeight="1" x14ac:dyDescent="0.3">
      <c r="A287" s="102">
        <f t="shared" si="67"/>
        <v>209</v>
      </c>
      <c r="B287" s="287" t="s">
        <v>1053</v>
      </c>
      <c r="C287" s="102" t="s">
        <v>220</v>
      </c>
      <c r="D287" s="360">
        <v>2</v>
      </c>
      <c r="E287" s="273">
        <v>12114.438000000002</v>
      </c>
      <c r="F287" s="270">
        <f t="shared" si="65"/>
        <v>24228.880000000001</v>
      </c>
      <c r="G287" s="270">
        <f t="shared" si="66"/>
        <v>29074.66</v>
      </c>
      <c r="I287" s="223"/>
    </row>
    <row r="288" spans="1:9" ht="30" customHeight="1" x14ac:dyDescent="0.3">
      <c r="A288" s="102">
        <f t="shared" si="67"/>
        <v>210</v>
      </c>
      <c r="B288" s="287" t="s">
        <v>1042</v>
      </c>
      <c r="C288" s="102" t="s">
        <v>220</v>
      </c>
      <c r="D288" s="360">
        <f>2+2</f>
        <v>4</v>
      </c>
      <c r="E288" s="273">
        <v>5283.9570000000003</v>
      </c>
      <c r="F288" s="270">
        <f t="shared" si="65"/>
        <v>21135.83</v>
      </c>
      <c r="G288" s="270">
        <f t="shared" si="66"/>
        <v>25363</v>
      </c>
      <c r="I288" s="223"/>
    </row>
    <row r="289" spans="1:9" ht="15.75" customHeight="1" x14ac:dyDescent="0.3">
      <c r="A289" s="102">
        <f t="shared" si="67"/>
        <v>211</v>
      </c>
      <c r="B289" s="287" t="s">
        <v>1043</v>
      </c>
      <c r="C289" s="102" t="s">
        <v>220</v>
      </c>
      <c r="D289" s="360">
        <v>24</v>
      </c>
      <c r="E289" s="273">
        <v>7255.7750999999998</v>
      </c>
      <c r="F289" s="270">
        <f t="shared" si="65"/>
        <v>174138.6</v>
      </c>
      <c r="G289" s="270">
        <f t="shared" si="66"/>
        <v>208966.32</v>
      </c>
      <c r="H289" s="202"/>
      <c r="I289" s="223"/>
    </row>
    <row r="290" spans="1:9" ht="15.75" customHeight="1" x14ac:dyDescent="0.3">
      <c r="A290" s="102">
        <f t="shared" si="67"/>
        <v>212</v>
      </c>
      <c r="B290" s="287" t="s">
        <v>1054</v>
      </c>
      <c r="C290" s="102" t="s">
        <v>220</v>
      </c>
      <c r="D290" s="360">
        <v>2</v>
      </c>
      <c r="E290" s="273">
        <v>2435.7753000000002</v>
      </c>
      <c r="F290" s="270">
        <f t="shared" si="65"/>
        <v>4871.55</v>
      </c>
      <c r="G290" s="270">
        <f t="shared" si="66"/>
        <v>5845.86</v>
      </c>
      <c r="I290" s="223"/>
    </row>
    <row r="291" spans="1:9" ht="15.75" customHeight="1" x14ac:dyDescent="0.3">
      <c r="A291" s="102">
        <f t="shared" si="67"/>
        <v>213</v>
      </c>
      <c r="B291" s="287" t="s">
        <v>1056</v>
      </c>
      <c r="C291" s="102" t="s">
        <v>220</v>
      </c>
      <c r="D291" s="360">
        <v>2</v>
      </c>
      <c r="E291" s="273">
        <v>2474.4384</v>
      </c>
      <c r="F291" s="270">
        <f t="shared" si="65"/>
        <v>4948.88</v>
      </c>
      <c r="G291" s="270">
        <f t="shared" si="66"/>
        <v>5938.66</v>
      </c>
      <c r="H291" s="202"/>
      <c r="I291" s="223"/>
    </row>
    <row r="292" spans="1:9" ht="15.75" customHeight="1" x14ac:dyDescent="0.3">
      <c r="A292" s="102">
        <f t="shared" si="67"/>
        <v>214</v>
      </c>
      <c r="B292" s="287" t="s">
        <v>1045</v>
      </c>
      <c r="C292" s="102" t="s">
        <v>220</v>
      </c>
      <c r="D292" s="360">
        <v>4</v>
      </c>
      <c r="E292" s="273">
        <v>15465.24</v>
      </c>
      <c r="F292" s="270">
        <f t="shared" si="65"/>
        <v>61860.959999999999</v>
      </c>
      <c r="G292" s="270">
        <f t="shared" si="66"/>
        <v>74233.149999999994</v>
      </c>
      <c r="I292" s="223"/>
    </row>
    <row r="293" spans="1:9" ht="15.75" customHeight="1" x14ac:dyDescent="0.3">
      <c r="A293" s="102">
        <f t="shared" si="67"/>
        <v>215</v>
      </c>
      <c r="B293" s="287" t="s">
        <v>1046</v>
      </c>
      <c r="C293" s="102" t="s">
        <v>220</v>
      </c>
      <c r="D293" s="360">
        <v>1</v>
      </c>
      <c r="E293" s="273">
        <v>15175.266750000003</v>
      </c>
      <c r="F293" s="270">
        <f t="shared" si="65"/>
        <v>15175.27</v>
      </c>
      <c r="G293" s="270">
        <f t="shared" si="66"/>
        <v>18210.32</v>
      </c>
      <c r="I293" s="223"/>
    </row>
    <row r="294" spans="1:9" ht="15.75" customHeight="1" x14ac:dyDescent="0.3">
      <c r="A294" s="102">
        <f t="shared" si="67"/>
        <v>216</v>
      </c>
      <c r="B294" s="287" t="s">
        <v>1057</v>
      </c>
      <c r="C294" s="102" t="s">
        <v>194</v>
      </c>
      <c r="D294" s="362">
        <v>2.2999999999999998</v>
      </c>
      <c r="E294" s="273">
        <v>479.42243999999999</v>
      </c>
      <c r="F294" s="270">
        <f t="shared" si="65"/>
        <v>1102.67</v>
      </c>
      <c r="G294" s="270">
        <f t="shared" si="66"/>
        <v>1323.2</v>
      </c>
      <c r="I294" s="223"/>
    </row>
    <row r="295" spans="1:9" ht="20.100000000000001" customHeight="1" x14ac:dyDescent="0.3">
      <c r="A295" s="102">
        <f t="shared" si="67"/>
        <v>217</v>
      </c>
      <c r="B295" s="287" t="s">
        <v>1058</v>
      </c>
      <c r="C295" s="102" t="s">
        <v>254</v>
      </c>
      <c r="D295" s="362">
        <v>3.5</v>
      </c>
      <c r="E295" s="273">
        <v>2448.663</v>
      </c>
      <c r="F295" s="270">
        <f t="shared" si="65"/>
        <v>8570.32</v>
      </c>
      <c r="G295" s="270">
        <f t="shared" si="66"/>
        <v>10284.379999999999</v>
      </c>
      <c r="I295" s="223"/>
    </row>
    <row r="296" spans="1:9" ht="15.75" customHeight="1" x14ac:dyDescent="0.3">
      <c r="A296" s="102">
        <f t="shared" si="67"/>
        <v>218</v>
      </c>
      <c r="B296" s="287" t="s">
        <v>1059</v>
      </c>
      <c r="C296" s="102" t="s">
        <v>220</v>
      </c>
      <c r="D296" s="360">
        <v>1</v>
      </c>
      <c r="E296" s="273">
        <v>8377.005000000001</v>
      </c>
      <c r="F296" s="270">
        <f t="shared" si="65"/>
        <v>8377.01</v>
      </c>
      <c r="G296" s="270">
        <f t="shared" si="66"/>
        <v>10052.41</v>
      </c>
      <c r="I296" s="223"/>
    </row>
    <row r="297" spans="1:9" ht="15.75" customHeight="1" x14ac:dyDescent="0.3">
      <c r="A297" s="102">
        <f t="shared" si="67"/>
        <v>219</v>
      </c>
      <c r="B297" s="287" t="s">
        <v>1060</v>
      </c>
      <c r="C297" s="102" t="s">
        <v>220</v>
      </c>
      <c r="D297" s="360">
        <v>4</v>
      </c>
      <c r="E297" s="273">
        <v>2629.0907999999999</v>
      </c>
      <c r="F297" s="270">
        <f t="shared" si="65"/>
        <v>10516.36</v>
      </c>
      <c r="G297" s="270">
        <f t="shared" si="66"/>
        <v>12619.63</v>
      </c>
      <c r="I297" s="223"/>
    </row>
    <row r="298" spans="1:9" ht="15.75" customHeight="1" x14ac:dyDescent="0.3">
      <c r="A298" s="102">
        <f t="shared" si="67"/>
        <v>220</v>
      </c>
      <c r="B298" s="287" t="s">
        <v>1061</v>
      </c>
      <c r="C298" s="102" t="s">
        <v>254</v>
      </c>
      <c r="D298" s="363">
        <v>1.71</v>
      </c>
      <c r="E298" s="273">
        <v>231.9786</v>
      </c>
      <c r="F298" s="270">
        <f t="shared" si="65"/>
        <v>396.68</v>
      </c>
      <c r="G298" s="270">
        <f t="shared" si="66"/>
        <v>476.02</v>
      </c>
      <c r="I298" s="223"/>
    </row>
    <row r="299" spans="1:9" ht="15.75" customHeight="1" x14ac:dyDescent="0.3">
      <c r="A299" s="102">
        <f t="shared" si="67"/>
        <v>221</v>
      </c>
      <c r="B299" s="287" t="s">
        <v>1062</v>
      </c>
      <c r="C299" s="102" t="s">
        <v>220</v>
      </c>
      <c r="D299" s="360">
        <v>1</v>
      </c>
      <c r="E299" s="273">
        <v>11598.93</v>
      </c>
      <c r="F299" s="270">
        <f t="shared" si="65"/>
        <v>11598.93</v>
      </c>
      <c r="G299" s="270">
        <f t="shared" si="66"/>
        <v>13918.72</v>
      </c>
      <c r="I299" s="223"/>
    </row>
    <row r="300" spans="1:9" ht="27.6" x14ac:dyDescent="0.3">
      <c r="A300" s="102">
        <f t="shared" si="67"/>
        <v>222</v>
      </c>
      <c r="B300" s="287" t="s">
        <v>407</v>
      </c>
      <c r="C300" s="102" t="s">
        <v>243</v>
      </c>
      <c r="D300" s="290">
        <v>1</v>
      </c>
      <c r="E300" s="273">
        <v>193315.5</v>
      </c>
      <c r="F300" s="270">
        <f t="shared" si="65"/>
        <v>193315.5</v>
      </c>
      <c r="G300" s="270">
        <f t="shared" si="66"/>
        <v>231978.6</v>
      </c>
    </row>
    <row r="301" spans="1:9" ht="22.5" customHeight="1" x14ac:dyDescent="0.3">
      <c r="A301" s="977" t="s">
        <v>408</v>
      </c>
      <c r="B301" s="977"/>
      <c r="C301" s="977"/>
      <c r="D301" s="977"/>
      <c r="E301" s="977"/>
      <c r="F301" s="83">
        <f>F183+F159+F144+F115+F5</f>
        <v>17822842.080000002</v>
      </c>
      <c r="G301" s="83">
        <f>G183+G159+G144+G115+G5</f>
        <v>21387410.549999997</v>
      </c>
    </row>
    <row r="302" spans="1:9" x14ac:dyDescent="0.3">
      <c r="F302" s="15">
        <v>17822842.079999994</v>
      </c>
      <c r="G302" s="15">
        <v>21387410.549999997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00" customWidth="1"/>
    <col min="2" max="2" width="22.5546875" style="300" customWidth="1"/>
    <col min="3" max="3" width="17.109375" style="300" customWidth="1"/>
    <col min="4" max="4" width="20" style="300" customWidth="1"/>
    <col min="5" max="5" width="10.5546875" style="300" hidden="1" customWidth="1"/>
    <col min="6" max="6" width="8.77734375" style="300" customWidth="1"/>
    <col min="7" max="16384" width="14.44140625" style="300"/>
  </cols>
  <sheetData>
    <row r="1" spans="1:5" ht="14.4" x14ac:dyDescent="0.3">
      <c r="A1" s="297"/>
      <c r="B1" s="298"/>
      <c r="C1" s="298"/>
      <c r="D1" s="299"/>
    </row>
    <row r="2" spans="1:5" ht="33.6" customHeight="1" x14ac:dyDescent="0.3">
      <c r="A2" s="301" t="s">
        <v>1618</v>
      </c>
      <c r="B2" s="302"/>
      <c r="C2" s="302"/>
      <c r="D2" s="302"/>
      <c r="E2" s="303"/>
    </row>
    <row r="3" spans="1:5" ht="14.4" x14ac:dyDescent="0.3">
      <c r="A3" s="304" t="s">
        <v>1619</v>
      </c>
      <c r="B3" s="305">
        <f>[1]Выручка!E34/1000</f>
        <v>548003.99969434505</v>
      </c>
      <c r="C3" s="305">
        <v>548003.99969434505</v>
      </c>
    </row>
    <row r="4" spans="1:5" ht="14.4" x14ac:dyDescent="0.3">
      <c r="A4" s="304"/>
      <c r="B4" s="304"/>
      <c r="C4" s="304"/>
    </row>
    <row r="5" spans="1:5" ht="41.4" x14ac:dyDescent="0.3">
      <c r="A5" s="301" t="s">
        <v>1620</v>
      </c>
      <c r="B5" s="302" t="s">
        <v>1621</v>
      </c>
      <c r="C5" s="306" t="s">
        <v>1622</v>
      </c>
      <c r="D5" s="307" t="s">
        <v>1623</v>
      </c>
      <c r="E5" s="308" t="s">
        <v>1624</v>
      </c>
    </row>
    <row r="6" spans="1:5" ht="14.4" x14ac:dyDescent="0.3">
      <c r="A6" s="309" t="s">
        <v>1625</v>
      </c>
      <c r="B6" s="310">
        <f>[1]PL_CF!U4</f>
        <v>456669.99974528741</v>
      </c>
      <c r="C6" s="310">
        <v>456669.99974528741</v>
      </c>
      <c r="D6" s="310">
        <v>456669.99974528741</v>
      </c>
      <c r="E6" s="311">
        <v>479955.30044194311</v>
      </c>
    </row>
    <row r="7" spans="1:5" ht="14.4" x14ac:dyDescent="0.3">
      <c r="A7" s="309" t="s">
        <v>1626</v>
      </c>
      <c r="B7" s="310">
        <f>[1]PL_CF!U5</f>
        <v>-320230.36179916671</v>
      </c>
      <c r="C7" s="310">
        <v>-320230.36179916671</v>
      </c>
      <c r="D7" s="310">
        <v>-320230.36179916665</v>
      </c>
      <c r="E7" s="311">
        <v>-323478.32263249991</v>
      </c>
    </row>
    <row r="8" spans="1:5" ht="14.4" x14ac:dyDescent="0.3">
      <c r="A8" s="309" t="s">
        <v>1627</v>
      </c>
      <c r="B8" s="310">
        <f>[1]PL_CF!U6</f>
        <v>-7706.7749999999996</v>
      </c>
      <c r="C8" s="310">
        <v>-7706.7749999999996</v>
      </c>
      <c r="D8" s="310">
        <v>-9059.2833300000002</v>
      </c>
      <c r="E8" s="980">
        <v>-14699</v>
      </c>
    </row>
    <row r="9" spans="1:5" ht="14.4" x14ac:dyDescent="0.3">
      <c r="A9" s="309" t="s">
        <v>1628</v>
      </c>
      <c r="B9" s="310">
        <f>[1]PL_CF!U7</f>
        <v>-9904.0159987773768</v>
      </c>
      <c r="C9" s="310">
        <v>-9904.0159987773768</v>
      </c>
      <c r="D9" s="310">
        <v>-11858.015996641687</v>
      </c>
      <c r="E9" s="981"/>
    </row>
    <row r="10" spans="1:5" ht="14.4" x14ac:dyDescent="0.3">
      <c r="A10" s="312" t="s">
        <v>1629</v>
      </c>
      <c r="B10" s="313">
        <f>[1]PL_CF!U8</f>
        <v>118828.84694734331</v>
      </c>
      <c r="C10" s="313">
        <v>118828.84694734331</v>
      </c>
      <c r="D10" s="313">
        <v>115522.33861947905</v>
      </c>
      <c r="E10" s="313">
        <v>141778.23087413987</v>
      </c>
    </row>
    <row r="11" spans="1:5" ht="14.4" x14ac:dyDescent="0.3">
      <c r="A11" s="314" t="s">
        <v>1630</v>
      </c>
      <c r="B11" s="315">
        <f>[1]PL_CF!U9</f>
        <v>0.26020725472139922</v>
      </c>
      <c r="C11" s="315">
        <v>0.26020725472139922</v>
      </c>
      <c r="D11" s="315">
        <v>0.25296677838244874</v>
      </c>
      <c r="E11" s="311">
        <v>0.29539882306454457</v>
      </c>
    </row>
    <row r="12" spans="1:5" ht="14.4" x14ac:dyDescent="0.3">
      <c r="A12" s="316"/>
      <c r="B12" s="310"/>
      <c r="C12" s="310"/>
      <c r="D12" s="310"/>
      <c r="E12" s="311"/>
    </row>
    <row r="13" spans="1:5" ht="14.4" x14ac:dyDescent="0.3">
      <c r="A13" s="309" t="s">
        <v>1631</v>
      </c>
      <c r="B13" s="310">
        <f>[1]PL_CF!U11</f>
        <v>-36689.8908045977</v>
      </c>
      <c r="C13" s="310">
        <v>-36689.8908045977</v>
      </c>
      <c r="D13" s="310">
        <v>-38320.900383141758</v>
      </c>
      <c r="E13" s="311">
        <v>-39942.396551724138</v>
      </c>
    </row>
    <row r="14" spans="1:5" ht="14.4" x14ac:dyDescent="0.3">
      <c r="A14" s="312" t="s">
        <v>1632</v>
      </c>
      <c r="B14" s="313">
        <f>[1]PL_CF!U12</f>
        <v>82138.956142745606</v>
      </c>
      <c r="C14" s="313">
        <v>82138.956142745606</v>
      </c>
      <c r="D14" s="313">
        <v>77201.438236337286</v>
      </c>
      <c r="E14" s="313">
        <v>101835.83432241573</v>
      </c>
    </row>
    <row r="15" spans="1:5" ht="14.4" x14ac:dyDescent="0.3">
      <c r="A15" s="317"/>
      <c r="B15" s="317"/>
      <c r="C15" s="317"/>
      <c r="D15" s="317"/>
      <c r="E15" s="311"/>
    </row>
    <row r="16" spans="1:5" ht="14.4" x14ac:dyDescent="0.3">
      <c r="A16" s="318" t="s">
        <v>1633</v>
      </c>
      <c r="B16" s="319">
        <f>[1]PL_CF!U36</f>
        <v>-1362.4999998011463</v>
      </c>
      <c r="C16" s="319">
        <v>-1362.4999998011463</v>
      </c>
      <c r="D16" s="319">
        <v>-1882.3397704268746</v>
      </c>
      <c r="E16" s="311">
        <v>0</v>
      </c>
    </row>
    <row r="17" spans="1:5" ht="14.4" x14ac:dyDescent="0.3">
      <c r="A17" s="312" t="s">
        <v>1634</v>
      </c>
      <c r="B17" s="313">
        <f>[1]PL_CF!U16</f>
        <v>80776.456142944546</v>
      </c>
      <c r="C17" s="313">
        <v>80776.456142944546</v>
      </c>
      <c r="D17" s="313">
        <v>75319.098465910458</v>
      </c>
      <c r="E17" s="313">
        <v>101835.83432241561</v>
      </c>
    </row>
    <row r="18" spans="1:5" ht="14.4" x14ac:dyDescent="0.3">
      <c r="A18" s="309"/>
      <c r="B18" s="310"/>
      <c r="C18" s="310"/>
      <c r="D18" s="310"/>
      <c r="E18" s="311"/>
    </row>
    <row r="19" spans="1:5" ht="14.4" x14ac:dyDescent="0.3">
      <c r="A19" s="309" t="s">
        <v>1635</v>
      </c>
      <c r="B19" s="310">
        <f>[1]PL_CF!U18</f>
        <v>-19335.616206673203</v>
      </c>
      <c r="C19" s="310">
        <v>-19335.616206673203</v>
      </c>
      <c r="D19" s="310">
        <v>-18264.390256322746</v>
      </c>
      <c r="E19" s="311">
        <v>-22397.514967931398</v>
      </c>
    </row>
    <row r="20" spans="1:5" ht="15.75" customHeight="1" x14ac:dyDescent="0.3">
      <c r="A20" s="312" t="s">
        <v>1636</v>
      </c>
      <c r="B20" s="313">
        <f>[1]PL_CF!U20</f>
        <v>61440.839936271346</v>
      </c>
      <c r="C20" s="313">
        <v>61440.839936271346</v>
      </c>
      <c r="D20" s="313">
        <v>57054.708209587712</v>
      </c>
      <c r="E20" s="313">
        <v>79438.319354484207</v>
      </c>
    </row>
    <row r="21" spans="1:5" ht="15.75" customHeight="1" x14ac:dyDescent="0.3">
      <c r="A21" s="314" t="s">
        <v>1637</v>
      </c>
      <c r="B21" s="320">
        <f>[1]PL_CF!U21</f>
        <v>0.13454100328583141</v>
      </c>
      <c r="C21" s="320">
        <v>0.13454100328583141</v>
      </c>
      <c r="D21" s="320">
        <v>0.12493640537239273</v>
      </c>
      <c r="E21" s="320">
        <v>0.1655119117995725</v>
      </c>
    </row>
    <row r="22" spans="1:5" ht="14.4" x14ac:dyDescent="0.3">
      <c r="A22" s="321" t="s">
        <v>1638</v>
      </c>
      <c r="B22" s="322">
        <f>[1]PL_CF!U25</f>
        <v>-24220.339255890842</v>
      </c>
      <c r="C22" s="322">
        <v>-24220.339255890842</v>
      </c>
      <c r="D22" s="322">
        <v>-23197.759812113076</v>
      </c>
      <c r="E22" s="322">
        <v>-28382.738895888615</v>
      </c>
    </row>
    <row r="23" spans="1:5" ht="15.75" customHeight="1" x14ac:dyDescent="0.3">
      <c r="A23" s="314"/>
      <c r="B23" s="323"/>
      <c r="C23" s="324"/>
      <c r="E23" s="325"/>
    </row>
    <row r="24" spans="1:5" ht="15.75" customHeight="1" x14ac:dyDescent="0.3">
      <c r="A24" s="309" t="s">
        <v>1639</v>
      </c>
      <c r="B24" s="310"/>
      <c r="C24" s="326"/>
      <c r="E24" s="325"/>
    </row>
    <row r="25" spans="1:5" ht="15.75" customHeight="1" x14ac:dyDescent="0.3">
      <c r="A25" s="309" t="s">
        <v>1640</v>
      </c>
      <c r="B25" s="310"/>
      <c r="C25" s="326"/>
    </row>
    <row r="26" spans="1:5" ht="15.75" customHeight="1" x14ac:dyDescent="0.3">
      <c r="A26" s="314" t="s">
        <v>1641</v>
      </c>
      <c r="B26" s="327"/>
      <c r="C26" s="328"/>
    </row>
    <row r="27" spans="1:5" ht="15.75" customHeight="1" x14ac:dyDescent="0.3">
      <c r="A27" s="309" t="s">
        <v>1642</v>
      </c>
      <c r="B27" s="310"/>
      <c r="C27" s="326"/>
    </row>
    <row r="28" spans="1:5" ht="15.75" customHeight="1" x14ac:dyDescent="0.3">
      <c r="A28" s="309" t="s">
        <v>1643</v>
      </c>
      <c r="B28" s="310"/>
      <c r="C28" s="326"/>
    </row>
    <row r="29" spans="1:5" ht="15.75" customHeight="1" x14ac:dyDescent="0.3">
      <c r="A29" s="309"/>
      <c r="B29" s="310"/>
      <c r="C29" s="326"/>
    </row>
    <row r="30" spans="1:5" ht="15.75" customHeight="1" x14ac:dyDescent="0.3">
      <c r="A30" s="309" t="s">
        <v>1644</v>
      </c>
      <c r="B30" s="329"/>
      <c r="C30" s="330"/>
    </row>
    <row r="31" spans="1:5" ht="15.75" customHeight="1" x14ac:dyDescent="0.3">
      <c r="A31" s="312" t="s">
        <v>1645</v>
      </c>
      <c r="B31" s="313"/>
      <c r="C31" s="331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  <cfRule type="cellIs" dxfId="2" priority="2" operator="equal">
      <formula>0</formula>
    </cfRule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984" t="s">
        <v>200</v>
      </c>
      <c r="B1" s="984" t="s">
        <v>227</v>
      </c>
      <c r="C1" s="984" t="s">
        <v>411</v>
      </c>
      <c r="D1" s="984" t="s">
        <v>202</v>
      </c>
      <c r="E1" s="884" t="s">
        <v>703</v>
      </c>
      <c r="F1" s="884"/>
      <c r="G1" s="884"/>
    </row>
    <row r="2" spans="1:7" ht="26.4" x14ac:dyDescent="0.3">
      <c r="A2" s="984"/>
      <c r="B2" s="984"/>
      <c r="C2" s="984"/>
      <c r="D2" s="984"/>
      <c r="E2" s="88" t="s">
        <v>412</v>
      </c>
      <c r="F2" s="107" t="s">
        <v>438</v>
      </c>
      <c r="G2" s="108" t="s">
        <v>409</v>
      </c>
    </row>
    <row r="3" spans="1:7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ht="14.55" customHeight="1" x14ac:dyDescent="0.3">
      <c r="A4" s="982" t="s">
        <v>713</v>
      </c>
      <c r="B4" s="983"/>
      <c r="C4" s="115"/>
      <c r="D4" s="117"/>
      <c r="E4" s="115"/>
      <c r="F4" s="115"/>
      <c r="G4" s="118"/>
    </row>
    <row r="5" spans="1:7" x14ac:dyDescent="0.3">
      <c r="A5" s="102">
        <v>1</v>
      </c>
      <c r="B5" s="103" t="s">
        <v>425</v>
      </c>
      <c r="C5" s="103" t="s">
        <v>178</v>
      </c>
      <c r="D5" s="113">
        <v>2</v>
      </c>
      <c r="E5" s="94">
        <v>109572</v>
      </c>
      <c r="F5" s="94">
        <f>ROUND(E5*D5,2)</f>
        <v>219144</v>
      </c>
      <c r="G5" s="94">
        <f>ROUND(F5*1.2,2)</f>
        <v>262972.79999999999</v>
      </c>
    </row>
    <row r="6" spans="1:7" x14ac:dyDescent="0.3">
      <c r="A6" s="102">
        <f>A5+1</f>
        <v>2</v>
      </c>
      <c r="B6" s="103" t="s">
        <v>435</v>
      </c>
      <c r="C6" s="103" t="s">
        <v>194</v>
      </c>
      <c r="D6" s="112">
        <v>8.5</v>
      </c>
      <c r="E6" s="94">
        <v>4200</v>
      </c>
      <c r="F6" s="94">
        <f>ROUND(E6*D6,2)</f>
        <v>35700</v>
      </c>
      <c r="G6" s="94">
        <f>ROUND(F6*1.2,2)</f>
        <v>42840</v>
      </c>
    </row>
    <row r="7" spans="1:7" x14ac:dyDescent="0.3">
      <c r="A7" s="102">
        <f>A6+1</f>
        <v>3</v>
      </c>
      <c r="B7" s="103" t="s">
        <v>424</v>
      </c>
      <c r="C7" s="103" t="s">
        <v>194</v>
      </c>
      <c r="D7" s="113">
        <v>110</v>
      </c>
      <c r="E7" s="94">
        <f>ROUND(2315*0.9,2)</f>
        <v>2083.5</v>
      </c>
      <c r="F7" s="94">
        <f>ROUND(E7*D7,2)</f>
        <v>229185</v>
      </c>
      <c r="G7" s="94">
        <f>ROUND(F7*1.2,2)</f>
        <v>275022</v>
      </c>
    </row>
    <row r="8" spans="1:7" ht="14.55" customHeight="1" x14ac:dyDescent="0.3">
      <c r="A8" s="982" t="s">
        <v>207</v>
      </c>
      <c r="B8" s="983"/>
      <c r="C8" s="115"/>
      <c r="D8" s="117"/>
      <c r="E8" s="115"/>
      <c r="F8" s="115"/>
      <c r="G8" s="118"/>
    </row>
    <row r="9" spans="1:7" x14ac:dyDescent="0.3">
      <c r="A9" s="102">
        <f>A7+1</f>
        <v>4</v>
      </c>
      <c r="B9" s="103" t="s">
        <v>428</v>
      </c>
      <c r="C9" s="103" t="s">
        <v>193</v>
      </c>
      <c r="D9" s="111">
        <v>146.52000000000001</v>
      </c>
      <c r="E9" s="94">
        <f>ROUND(1380*0.9,2)</f>
        <v>1242</v>
      </c>
      <c r="F9" s="94">
        <f t="shared" ref="F9:F14" si="0">ROUND(E9*D9,2)</f>
        <v>181977.84</v>
      </c>
      <c r="G9" s="94">
        <f t="shared" ref="G9:G14" si="1">ROUND(F9*1.2,2)</f>
        <v>218373.41</v>
      </c>
    </row>
    <row r="10" spans="1:7" x14ac:dyDescent="0.3">
      <c r="A10" s="102">
        <f>A9+1</f>
        <v>5</v>
      </c>
      <c r="B10" s="103" t="s">
        <v>429</v>
      </c>
      <c r="C10" s="103" t="s">
        <v>193</v>
      </c>
      <c r="D10" s="111">
        <v>704.98</v>
      </c>
      <c r="E10" s="94">
        <f>ROUND(5165*0.9,2)</f>
        <v>4648.5</v>
      </c>
      <c r="F10" s="94">
        <f t="shared" si="0"/>
        <v>3277099.53</v>
      </c>
      <c r="G10" s="94">
        <f t="shared" si="1"/>
        <v>3932519.44</v>
      </c>
    </row>
    <row r="11" spans="1:7" x14ac:dyDescent="0.3">
      <c r="A11" s="102">
        <f t="shared" ref="A11:A14" si="2">A10+1</f>
        <v>6</v>
      </c>
      <c r="B11" s="103" t="s">
        <v>430</v>
      </c>
      <c r="C11" s="103" t="s">
        <v>431</v>
      </c>
      <c r="D11" s="111">
        <v>226</v>
      </c>
      <c r="E11" s="94">
        <f>ROUND(325*0.9,2)</f>
        <v>292.5</v>
      </c>
      <c r="F11" s="94">
        <f t="shared" si="0"/>
        <v>66105</v>
      </c>
      <c r="G11" s="94">
        <f t="shared" si="1"/>
        <v>79326</v>
      </c>
    </row>
    <row r="12" spans="1:7" x14ac:dyDescent="0.3">
      <c r="A12" s="102">
        <f t="shared" si="2"/>
        <v>7</v>
      </c>
      <c r="B12" s="103" t="s">
        <v>432</v>
      </c>
      <c r="C12" s="103" t="s">
        <v>431</v>
      </c>
      <c r="D12" s="111">
        <v>73.2</v>
      </c>
      <c r="E12" s="94">
        <f t="shared" ref="E12:E14" si="3">ROUND(325*0.9,2)</f>
        <v>292.5</v>
      </c>
      <c r="F12" s="94">
        <f t="shared" si="0"/>
        <v>21411</v>
      </c>
      <c r="G12" s="94">
        <f t="shared" si="1"/>
        <v>25693.200000000001</v>
      </c>
    </row>
    <row r="13" spans="1:7" x14ac:dyDescent="0.3">
      <c r="A13" s="102">
        <f t="shared" si="2"/>
        <v>8</v>
      </c>
      <c r="B13" s="103" t="s">
        <v>436</v>
      </c>
      <c r="C13" s="103" t="s">
        <v>431</v>
      </c>
      <c r="D13" s="111">
        <v>861.3</v>
      </c>
      <c r="E13" s="94">
        <f t="shared" si="3"/>
        <v>292.5</v>
      </c>
      <c r="F13" s="94">
        <f t="shared" si="0"/>
        <v>251930.25</v>
      </c>
      <c r="G13" s="94">
        <f t="shared" si="1"/>
        <v>302316.3</v>
      </c>
    </row>
    <row r="14" spans="1:7" x14ac:dyDescent="0.3">
      <c r="A14" s="102">
        <f t="shared" si="2"/>
        <v>9</v>
      </c>
      <c r="B14" s="103" t="s">
        <v>437</v>
      </c>
      <c r="C14" s="103" t="s">
        <v>431</v>
      </c>
      <c r="D14" s="111">
        <v>475.92</v>
      </c>
      <c r="E14" s="94">
        <f t="shared" si="3"/>
        <v>292.5</v>
      </c>
      <c r="F14" s="94">
        <f t="shared" si="0"/>
        <v>139206.6</v>
      </c>
      <c r="G14" s="94">
        <f t="shared" si="1"/>
        <v>167047.92000000001</v>
      </c>
    </row>
    <row r="15" spans="1:7" ht="14.55" customHeight="1" x14ac:dyDescent="0.3">
      <c r="A15" s="982" t="s">
        <v>413</v>
      </c>
      <c r="B15" s="983"/>
      <c r="C15" s="115"/>
      <c r="D15" s="117"/>
      <c r="E15" s="115"/>
      <c r="F15" s="115"/>
      <c r="G15" s="118"/>
    </row>
    <row r="16" spans="1:7" x14ac:dyDescent="0.3">
      <c r="A16" s="102">
        <f>A14+1</f>
        <v>10</v>
      </c>
      <c r="B16" s="103" t="s">
        <v>427</v>
      </c>
      <c r="C16" s="103" t="s">
        <v>193</v>
      </c>
      <c r="D16" s="111">
        <v>549.42999999999995</v>
      </c>
      <c r="E16" s="94">
        <f>ROUND(1610.8*0.9,2)</f>
        <v>1449.72</v>
      </c>
      <c r="F16" s="94">
        <f>ROUND(E16*D16,2)</f>
        <v>796519.66</v>
      </c>
      <c r="G16" s="94">
        <f>ROUND(F16*1.2,2)</f>
        <v>955823.59</v>
      </c>
    </row>
    <row r="17" spans="1:8" ht="41.4" x14ac:dyDescent="0.3">
      <c r="A17" s="102">
        <f>A16+1</f>
        <v>11</v>
      </c>
      <c r="B17" s="103" t="s">
        <v>414</v>
      </c>
      <c r="C17" s="103" t="s">
        <v>194</v>
      </c>
      <c r="D17" s="110">
        <v>284</v>
      </c>
      <c r="E17" s="94">
        <v>2348</v>
      </c>
      <c r="F17" s="94">
        <f>ROUND(E17*D17,2)</f>
        <v>666832</v>
      </c>
      <c r="G17" s="94">
        <f>ROUND(F17*1.2,2)</f>
        <v>800198.4</v>
      </c>
      <c r="H17" s="30"/>
    </row>
    <row r="18" spans="1:8" ht="41.4" x14ac:dyDescent="0.3">
      <c r="A18" s="102">
        <f>A17+1</f>
        <v>12</v>
      </c>
      <c r="B18" s="103" t="s">
        <v>434</v>
      </c>
      <c r="C18" s="103" t="s">
        <v>194</v>
      </c>
      <c r="D18" s="109">
        <v>145.63</v>
      </c>
      <c r="E18" s="94">
        <v>1587</v>
      </c>
      <c r="F18" s="94">
        <f>ROUND(E18*D18,2)</f>
        <v>231114.81</v>
      </c>
      <c r="G18" s="94">
        <f>ROUND(F18*1.2,2)</f>
        <v>277337.77</v>
      </c>
    </row>
    <row r="19" spans="1:8" s="1" customFormat="1" x14ac:dyDescent="0.3">
      <c r="A19" s="97"/>
      <c r="B19" s="931" t="s">
        <v>721</v>
      </c>
      <c r="C19" s="932"/>
      <c r="D19" s="932"/>
      <c r="E19" s="933"/>
      <c r="F19" s="106">
        <f>SUM(F5:F18)</f>
        <v>6116225.6899999985</v>
      </c>
      <c r="G19" s="106">
        <f>SUM(G5:G18)</f>
        <v>7339470.8300000001</v>
      </c>
    </row>
    <row r="20" spans="1:8" x14ac:dyDescent="0.3">
      <c r="A20" s="974" t="s">
        <v>722</v>
      </c>
      <c r="B20" s="975"/>
      <c r="C20" s="975"/>
      <c r="D20" s="975"/>
      <c r="E20" s="976"/>
      <c r="F20" s="204">
        <f>ROUND(F19*0.03,2)</f>
        <v>183486.77</v>
      </c>
      <c r="G20" s="204">
        <f>ROUND(G19*0.03,2)</f>
        <v>220184.12</v>
      </c>
      <c r="H20" s="52"/>
    </row>
    <row r="21" spans="1:8" x14ac:dyDescent="0.3">
      <c r="A21" s="974" t="s">
        <v>723</v>
      </c>
      <c r="B21" s="975"/>
      <c r="C21" s="975"/>
      <c r="D21" s="975"/>
      <c r="E21" s="976"/>
      <c r="F21" s="204">
        <f>F19+F20</f>
        <v>6299712.4599999981</v>
      </c>
      <c r="G21" s="204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984" t="s">
        <v>200</v>
      </c>
      <c r="B1" s="984" t="s">
        <v>201</v>
      </c>
      <c r="C1" s="963" t="s">
        <v>705</v>
      </c>
      <c r="D1" s="963" t="s">
        <v>202</v>
      </c>
      <c r="E1" s="985" t="s">
        <v>703</v>
      </c>
      <c r="F1" s="985"/>
      <c r="G1" s="985"/>
    </row>
    <row r="2" spans="1:7" ht="27.6" x14ac:dyDescent="0.3">
      <c r="A2" s="984"/>
      <c r="B2" s="984"/>
      <c r="C2" s="963"/>
      <c r="D2" s="963"/>
      <c r="E2" s="89" t="s">
        <v>196</v>
      </c>
      <c r="F2" s="90" t="s">
        <v>197</v>
      </c>
      <c r="G2" s="90" t="s">
        <v>199</v>
      </c>
    </row>
    <row r="3" spans="1:7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x14ac:dyDescent="0.3">
      <c r="A4" s="102">
        <v>1</v>
      </c>
      <c r="B4" s="92" t="s">
        <v>161</v>
      </c>
      <c r="C4" s="102" t="s">
        <v>193</v>
      </c>
      <c r="D4" s="102">
        <v>190.476</v>
      </c>
      <c r="E4" s="94">
        <f>ROUND(1584/1.2,2)</f>
        <v>1320</v>
      </c>
      <c r="F4" s="94">
        <f>ROUND(E4*D4,2)</f>
        <v>251428.32</v>
      </c>
      <c r="G4" s="94">
        <f>ROUND(F4*1.2,2)</f>
        <v>301713.98</v>
      </c>
    </row>
    <row r="5" spans="1:7" x14ac:dyDescent="0.3">
      <c r="A5" s="102">
        <f>A4+1</f>
        <v>2</v>
      </c>
      <c r="B5" s="92" t="s">
        <v>716</v>
      </c>
      <c r="C5" s="102" t="s">
        <v>193</v>
      </c>
      <c r="D5" s="102">
        <v>642.83000000000004</v>
      </c>
      <c r="E5" s="94">
        <f>ROUND(5300/1.2,2)</f>
        <v>4416.67</v>
      </c>
      <c r="F5" s="94">
        <f t="shared" ref="F5:F10" si="0">ROUND(E5*D5,2)</f>
        <v>2839167.98</v>
      </c>
      <c r="G5" s="94">
        <f t="shared" ref="G5:G10" si="1">ROUND(F5*1.2,2)</f>
        <v>3407001.58</v>
      </c>
    </row>
    <row r="6" spans="1:7" x14ac:dyDescent="0.3">
      <c r="A6" s="102">
        <f>A5+1</f>
        <v>3</v>
      </c>
      <c r="B6" s="92" t="s">
        <v>203</v>
      </c>
      <c r="C6" s="102" t="s">
        <v>431</v>
      </c>
      <c r="D6" s="104">
        <f>300*3</f>
        <v>900</v>
      </c>
      <c r="E6" s="94">
        <f>ROUND(184/1.2,2)</f>
        <v>153.33000000000001</v>
      </c>
      <c r="F6" s="94">
        <f t="shared" si="0"/>
        <v>137997</v>
      </c>
      <c r="G6" s="94">
        <f t="shared" si="1"/>
        <v>165596.4</v>
      </c>
    </row>
    <row r="7" spans="1:7" ht="20.25" customHeight="1" x14ac:dyDescent="0.3">
      <c r="A7" s="102">
        <f t="shared" ref="A7:A11" si="2">A6+1</f>
        <v>4</v>
      </c>
      <c r="B7" s="92" t="s">
        <v>204</v>
      </c>
      <c r="C7" s="102" t="s">
        <v>194</v>
      </c>
      <c r="D7" s="104">
        <v>145.63</v>
      </c>
      <c r="E7" s="94">
        <f>ROUND(16500/1.2,2)</f>
        <v>13750</v>
      </c>
      <c r="F7" s="94">
        <f t="shared" si="0"/>
        <v>2002412.5</v>
      </c>
      <c r="G7" s="94">
        <f t="shared" si="1"/>
        <v>2402895</v>
      </c>
    </row>
    <row r="8" spans="1:7" ht="39" customHeight="1" x14ac:dyDescent="0.3">
      <c r="A8" s="102">
        <f t="shared" si="2"/>
        <v>5</v>
      </c>
      <c r="B8" s="92" t="s">
        <v>205</v>
      </c>
      <c r="C8" s="102" t="s">
        <v>194</v>
      </c>
      <c r="D8" s="104">
        <v>284</v>
      </c>
      <c r="E8" s="94">
        <f>ROUND(34100/1.2,2)</f>
        <v>28416.67</v>
      </c>
      <c r="F8" s="94">
        <f t="shared" si="0"/>
        <v>8070334.2800000003</v>
      </c>
      <c r="G8" s="94">
        <f t="shared" si="1"/>
        <v>9684401.1400000006</v>
      </c>
    </row>
    <row r="9" spans="1:7" x14ac:dyDescent="0.3">
      <c r="A9" s="102">
        <f t="shared" si="2"/>
        <v>6</v>
      </c>
      <c r="B9" s="92" t="s">
        <v>706</v>
      </c>
      <c r="C9" s="93" t="s">
        <v>178</v>
      </c>
      <c r="D9" s="104">
        <v>276</v>
      </c>
      <c r="E9" s="94">
        <f>ROUND(200/1.2,2)</f>
        <v>166.67</v>
      </c>
      <c r="F9" s="94">
        <f t="shared" si="0"/>
        <v>46000.92</v>
      </c>
      <c r="G9" s="94">
        <f t="shared" si="1"/>
        <v>55201.1</v>
      </c>
    </row>
    <row r="10" spans="1:7" x14ac:dyDescent="0.3">
      <c r="A10" s="102">
        <f t="shared" si="2"/>
        <v>7</v>
      </c>
      <c r="B10" s="92" t="s">
        <v>707</v>
      </c>
      <c r="C10" s="93" t="s">
        <v>178</v>
      </c>
      <c r="D10" s="104">
        <v>92</v>
      </c>
      <c r="E10" s="94">
        <f>ROUND(5841/1.2,2)</f>
        <v>4867.5</v>
      </c>
      <c r="F10" s="94">
        <f t="shared" si="0"/>
        <v>447810</v>
      </c>
      <c r="G10" s="94">
        <f t="shared" si="1"/>
        <v>537372</v>
      </c>
    </row>
    <row r="11" spans="1:7" x14ac:dyDescent="0.3">
      <c r="A11" s="66">
        <f t="shared" si="2"/>
        <v>8</v>
      </c>
      <c r="B11" s="205" t="s">
        <v>719</v>
      </c>
      <c r="C11" s="194" t="s">
        <v>732</v>
      </c>
      <c r="D11" s="87">
        <v>1</v>
      </c>
      <c r="E11" s="195">
        <v>330000</v>
      </c>
      <c r="F11" s="195">
        <f t="shared" ref="F11" si="3">ROUND(E11*D11,2)</f>
        <v>330000</v>
      </c>
      <c r="G11" s="195">
        <f t="shared" ref="G11" si="4">ROUND(F11*1.2,2)</f>
        <v>396000</v>
      </c>
    </row>
    <row r="12" spans="1:7" s="1" customFormat="1" x14ac:dyDescent="0.3">
      <c r="A12" s="97"/>
      <c r="B12" s="931" t="s">
        <v>721</v>
      </c>
      <c r="C12" s="932"/>
      <c r="D12" s="932"/>
      <c r="E12" s="933"/>
      <c r="F12" s="106">
        <f>SUM(F4:F11)</f>
        <v>14125151</v>
      </c>
      <c r="G12" s="106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888" t="s">
        <v>226</v>
      </c>
      <c r="B1" s="954" t="s">
        <v>201</v>
      </c>
      <c r="C1" s="954" t="s">
        <v>230</v>
      </c>
      <c r="D1" s="954" t="s">
        <v>202</v>
      </c>
      <c r="E1" s="954" t="s">
        <v>703</v>
      </c>
      <c r="F1" s="954"/>
      <c r="G1" s="954"/>
    </row>
    <row r="2" spans="1:9" ht="27.6" x14ac:dyDescent="0.3">
      <c r="A2" s="888"/>
      <c r="B2" s="954"/>
      <c r="C2" s="954"/>
      <c r="D2" s="954"/>
      <c r="E2" s="59" t="s">
        <v>441</v>
      </c>
      <c r="F2" s="59" t="s">
        <v>433</v>
      </c>
      <c r="G2" s="98" t="s">
        <v>409</v>
      </c>
    </row>
    <row r="3" spans="1:9" ht="17.2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9" ht="28.5" customHeight="1" x14ac:dyDescent="0.3">
      <c r="A4" s="149"/>
      <c r="B4" s="955" t="s">
        <v>733</v>
      </c>
      <c r="C4" s="956"/>
      <c r="D4" s="986"/>
      <c r="E4" s="150"/>
      <c r="F4" s="151"/>
      <c r="G4" s="163"/>
    </row>
    <row r="5" spans="1:9" ht="18" customHeight="1" x14ac:dyDescent="0.3">
      <c r="A5" s="147"/>
      <c r="B5" s="85" t="s">
        <v>513</v>
      </c>
      <c r="C5" s="155"/>
      <c r="D5" s="155"/>
      <c r="E5" s="158"/>
      <c r="F5" s="86"/>
      <c r="G5" s="164"/>
      <c r="H5" s="202" t="s">
        <v>919</v>
      </c>
    </row>
    <row r="6" spans="1:9" ht="35.25" customHeight="1" x14ac:dyDescent="0.3">
      <c r="A6" s="87">
        <v>1</v>
      </c>
      <c r="B6" s="67" t="s">
        <v>826</v>
      </c>
      <c r="C6" s="104" t="s">
        <v>193</v>
      </c>
      <c r="D6" s="159">
        <v>322</v>
      </c>
      <c r="E6" s="166">
        <v>90.47</v>
      </c>
      <c r="F6" s="94">
        <f t="shared" ref="F6:F40" si="0">ROUND(E6*D6,2)</f>
        <v>29131.34</v>
      </c>
      <c r="G6" s="94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827</v>
      </c>
      <c r="C7" s="104" t="s">
        <v>193</v>
      </c>
      <c r="D7" s="198" t="s">
        <v>600</v>
      </c>
      <c r="E7" s="166">
        <v>1860.11</v>
      </c>
      <c r="F7" s="94">
        <f t="shared" si="0"/>
        <v>18601.099999999999</v>
      </c>
      <c r="G7" s="94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828</v>
      </c>
      <c r="C8" s="104" t="s">
        <v>193</v>
      </c>
      <c r="D8" s="198" t="s">
        <v>792</v>
      </c>
      <c r="E8" s="166">
        <v>1155.67</v>
      </c>
      <c r="F8" s="94">
        <f t="shared" si="0"/>
        <v>13868.04</v>
      </c>
      <c r="G8" s="94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4" t="s">
        <v>193</v>
      </c>
      <c r="D9" s="198" t="s">
        <v>832</v>
      </c>
      <c r="E9" s="166">
        <v>1456.66</v>
      </c>
      <c r="F9" s="94">
        <f t="shared" si="0"/>
        <v>3350.32</v>
      </c>
      <c r="G9" s="94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829</v>
      </c>
      <c r="C10" s="104" t="s">
        <v>193</v>
      </c>
      <c r="D10" s="198" t="s">
        <v>792</v>
      </c>
      <c r="E10" s="166">
        <v>856.54</v>
      </c>
      <c r="F10" s="94">
        <f t="shared" si="0"/>
        <v>10278.48</v>
      </c>
      <c r="G10" s="94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4" t="s">
        <v>193</v>
      </c>
      <c r="D11" s="198" t="s">
        <v>833</v>
      </c>
      <c r="E11" s="166">
        <v>9.73</v>
      </c>
      <c r="F11" s="94">
        <f t="shared" si="0"/>
        <v>2860.62</v>
      </c>
      <c r="G11" s="94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4" t="s">
        <v>193</v>
      </c>
      <c r="D12" s="198" t="s">
        <v>833</v>
      </c>
      <c r="E12" s="166">
        <v>197.58</v>
      </c>
      <c r="F12" s="94">
        <f t="shared" si="0"/>
        <v>58088.52</v>
      </c>
      <c r="G12" s="94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4" t="s">
        <v>193</v>
      </c>
      <c r="D13" s="198" t="s">
        <v>834</v>
      </c>
      <c r="E13" s="166">
        <v>856.54</v>
      </c>
      <c r="F13" s="94">
        <f t="shared" si="0"/>
        <v>12848.1</v>
      </c>
      <c r="G13" s="94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830</v>
      </c>
      <c r="C14" s="104" t="s">
        <v>239</v>
      </c>
      <c r="D14" s="199">
        <v>36.799999999999997</v>
      </c>
      <c r="E14" s="166">
        <v>67.760000000000005</v>
      </c>
      <c r="F14" s="94">
        <f t="shared" si="0"/>
        <v>2493.5700000000002</v>
      </c>
      <c r="G14" s="94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831</v>
      </c>
      <c r="C15" s="66" t="s">
        <v>239</v>
      </c>
      <c r="D15" s="199">
        <v>36.799999999999997</v>
      </c>
      <c r="E15" s="166">
        <v>312.27999999999997</v>
      </c>
      <c r="F15" s="94">
        <f t="shared" si="0"/>
        <v>11491.9</v>
      </c>
      <c r="G15" s="94">
        <f t="shared" si="1"/>
        <v>13790.28</v>
      </c>
      <c r="H15">
        <v>3460</v>
      </c>
      <c r="I15" s="202" t="s">
        <v>918</v>
      </c>
    </row>
    <row r="16" spans="1:9" ht="15.6" x14ac:dyDescent="0.3">
      <c r="A16" s="87"/>
      <c r="B16" s="62" t="s">
        <v>523</v>
      </c>
      <c r="C16" s="66"/>
      <c r="D16" s="71"/>
      <c r="E16" s="166"/>
      <c r="F16" s="94"/>
      <c r="G16" s="94"/>
    </row>
    <row r="17" spans="1:8" ht="27.6" x14ac:dyDescent="0.3">
      <c r="A17" s="87">
        <f>A15+1</f>
        <v>11</v>
      </c>
      <c r="B17" s="67" t="s">
        <v>835</v>
      </c>
      <c r="C17" s="66" t="s">
        <v>194</v>
      </c>
      <c r="D17" s="71">
        <v>31</v>
      </c>
      <c r="E17" s="166">
        <v>1223.9000000000001</v>
      </c>
      <c r="F17" s="94">
        <f t="shared" si="0"/>
        <v>37940.9</v>
      </c>
      <c r="G17" s="94">
        <f t="shared" si="1"/>
        <v>45529.08</v>
      </c>
    </row>
    <row r="18" spans="1:8" ht="41.4" x14ac:dyDescent="0.3">
      <c r="A18" s="87">
        <f>A17+1</f>
        <v>12</v>
      </c>
      <c r="B18" s="67" t="s">
        <v>836</v>
      </c>
      <c r="C18" s="66" t="s">
        <v>194</v>
      </c>
      <c r="D18" s="71">
        <v>6</v>
      </c>
      <c r="E18" s="166">
        <v>10557.31</v>
      </c>
      <c r="F18" s="94">
        <f t="shared" si="0"/>
        <v>63343.86</v>
      </c>
      <c r="G18" s="94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837</v>
      </c>
      <c r="C19" s="66" t="s">
        <v>220</v>
      </c>
      <c r="D19" s="71">
        <v>2</v>
      </c>
      <c r="E19" s="166">
        <v>10242.23</v>
      </c>
      <c r="F19" s="94">
        <f t="shared" si="0"/>
        <v>20484.46</v>
      </c>
      <c r="G19" s="94">
        <f t="shared" si="1"/>
        <v>24581.35</v>
      </c>
    </row>
    <row r="20" spans="1:8" ht="27.6" x14ac:dyDescent="0.3">
      <c r="A20" s="87">
        <f t="shared" si="3"/>
        <v>14</v>
      </c>
      <c r="B20" s="67" t="s">
        <v>838</v>
      </c>
      <c r="C20" s="66" t="s">
        <v>220</v>
      </c>
      <c r="D20" s="71">
        <v>2</v>
      </c>
      <c r="E20" s="166">
        <v>6691.94</v>
      </c>
      <c r="F20" s="94">
        <f t="shared" si="0"/>
        <v>13383.88</v>
      </c>
      <c r="G20" s="94">
        <f t="shared" si="1"/>
        <v>16060.66</v>
      </c>
    </row>
    <row r="21" spans="1:8" ht="15.6" x14ac:dyDescent="0.3">
      <c r="A21" s="87">
        <f t="shared" si="3"/>
        <v>15</v>
      </c>
      <c r="B21" s="67" t="s">
        <v>861</v>
      </c>
      <c r="C21" s="66" t="s">
        <v>220</v>
      </c>
      <c r="D21" s="71">
        <v>36</v>
      </c>
      <c r="E21" s="166">
        <v>592.5</v>
      </c>
      <c r="F21" s="94">
        <f t="shared" si="0"/>
        <v>21330</v>
      </c>
      <c r="G21" s="94">
        <f t="shared" si="1"/>
        <v>25596</v>
      </c>
    </row>
    <row r="22" spans="1:8" ht="27.6" x14ac:dyDescent="0.3">
      <c r="A22" s="87">
        <f t="shared" si="3"/>
        <v>16</v>
      </c>
      <c r="B22" s="67" t="s">
        <v>839</v>
      </c>
      <c r="C22" s="66" t="s">
        <v>220</v>
      </c>
      <c r="D22" s="71">
        <v>36</v>
      </c>
      <c r="E22" s="166">
        <v>210.41</v>
      </c>
      <c r="F22" s="94">
        <f t="shared" si="0"/>
        <v>7574.76</v>
      </c>
      <c r="G22" s="94">
        <f t="shared" si="1"/>
        <v>9089.7099999999991</v>
      </c>
    </row>
    <row r="23" spans="1:8" ht="41.4" x14ac:dyDescent="0.3">
      <c r="A23" s="87">
        <f t="shared" si="3"/>
        <v>17</v>
      </c>
      <c r="B23" s="67" t="s">
        <v>840</v>
      </c>
      <c r="C23" s="66" t="s">
        <v>220</v>
      </c>
      <c r="D23" s="71">
        <v>2</v>
      </c>
      <c r="E23" s="166">
        <v>1207.4100000000001</v>
      </c>
      <c r="F23" s="94">
        <f t="shared" si="0"/>
        <v>2414.8200000000002</v>
      </c>
      <c r="G23" s="94">
        <f t="shared" si="1"/>
        <v>2897.78</v>
      </c>
    </row>
    <row r="24" spans="1:8" ht="41.4" x14ac:dyDescent="0.3">
      <c r="A24" s="87">
        <f t="shared" si="3"/>
        <v>18</v>
      </c>
      <c r="B24" s="67" t="s">
        <v>841</v>
      </c>
      <c r="C24" s="66" t="s">
        <v>220</v>
      </c>
      <c r="D24" s="71">
        <v>2</v>
      </c>
      <c r="E24" s="166">
        <v>7231.84</v>
      </c>
      <c r="F24" s="94">
        <f t="shared" si="0"/>
        <v>14463.68</v>
      </c>
      <c r="G24" s="94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842</v>
      </c>
      <c r="C25" s="66" t="s">
        <v>220</v>
      </c>
      <c r="D25" s="71">
        <v>1</v>
      </c>
      <c r="E25" s="166">
        <v>12816.51</v>
      </c>
      <c r="F25" s="94">
        <f t="shared" si="0"/>
        <v>12816.51</v>
      </c>
      <c r="G25" s="94">
        <f t="shared" si="1"/>
        <v>15379.81</v>
      </c>
    </row>
    <row r="26" spans="1:8" ht="15.6" x14ac:dyDescent="0.3">
      <c r="A26" s="87">
        <f t="shared" si="3"/>
        <v>20</v>
      </c>
      <c r="B26" s="67" t="s">
        <v>843</v>
      </c>
      <c r="C26" s="66" t="s">
        <v>220</v>
      </c>
      <c r="D26" s="71">
        <v>1</v>
      </c>
      <c r="E26" s="166">
        <v>3933.74</v>
      </c>
      <c r="F26" s="94">
        <f t="shared" si="0"/>
        <v>3933.74</v>
      </c>
      <c r="G26" s="94">
        <f t="shared" si="1"/>
        <v>4720.49</v>
      </c>
    </row>
    <row r="27" spans="1:8" ht="15.6" x14ac:dyDescent="0.3">
      <c r="A27" s="87">
        <f t="shared" si="3"/>
        <v>21</v>
      </c>
      <c r="B27" s="67" t="s">
        <v>844</v>
      </c>
      <c r="C27" s="66" t="s">
        <v>220</v>
      </c>
      <c r="D27" s="71">
        <v>1</v>
      </c>
      <c r="E27" s="166">
        <v>10242.219999999999</v>
      </c>
      <c r="F27" s="94">
        <f t="shared" si="0"/>
        <v>10242.219999999999</v>
      </c>
      <c r="G27" s="94">
        <f t="shared" si="1"/>
        <v>12290.66</v>
      </c>
    </row>
    <row r="28" spans="1:8" ht="27.6" x14ac:dyDescent="0.3">
      <c r="A28" s="87">
        <f t="shared" si="3"/>
        <v>22</v>
      </c>
      <c r="B28" s="67" t="s">
        <v>845</v>
      </c>
      <c r="C28" s="66" t="s">
        <v>220</v>
      </c>
      <c r="D28" s="71">
        <v>1</v>
      </c>
      <c r="E28" s="166">
        <v>3397.31</v>
      </c>
      <c r="F28" s="94">
        <f t="shared" si="0"/>
        <v>3397.31</v>
      </c>
      <c r="G28" s="94">
        <f t="shared" si="1"/>
        <v>4076.77</v>
      </c>
    </row>
    <row r="29" spans="1:8" ht="27.6" x14ac:dyDescent="0.3">
      <c r="A29" s="87">
        <f t="shared" si="3"/>
        <v>23</v>
      </c>
      <c r="B29" s="67" t="s">
        <v>846</v>
      </c>
      <c r="C29" s="66" t="s">
        <v>920</v>
      </c>
      <c r="D29" s="71">
        <v>1</v>
      </c>
      <c r="E29" s="166">
        <v>35713.949999999997</v>
      </c>
      <c r="F29" s="94">
        <f t="shared" si="0"/>
        <v>35713.949999999997</v>
      </c>
      <c r="G29" s="94">
        <f t="shared" si="1"/>
        <v>42856.74</v>
      </c>
    </row>
    <row r="30" spans="1:8" ht="15.6" x14ac:dyDescent="0.3">
      <c r="A30" s="87"/>
      <c r="B30" s="62" t="s">
        <v>847</v>
      </c>
      <c r="C30" s="66"/>
      <c r="D30" s="71"/>
      <c r="E30" s="166"/>
      <c r="F30" s="94"/>
      <c r="G30" s="94"/>
    </row>
    <row r="31" spans="1:8" ht="15.6" x14ac:dyDescent="0.3">
      <c r="A31" s="87">
        <f>A29+1</f>
        <v>24</v>
      </c>
      <c r="B31" s="67" t="s">
        <v>916</v>
      </c>
      <c r="C31" s="66" t="s">
        <v>193</v>
      </c>
      <c r="D31" s="72">
        <v>0.7</v>
      </c>
      <c r="E31" s="166">
        <v>4259.21</v>
      </c>
      <c r="F31" s="94">
        <f t="shared" si="0"/>
        <v>2981.45</v>
      </c>
      <c r="G31" s="94">
        <f t="shared" si="1"/>
        <v>3577.74</v>
      </c>
    </row>
    <row r="32" spans="1:8" ht="27.6" x14ac:dyDescent="0.3">
      <c r="A32" s="87">
        <f>A31+1</f>
        <v>25</v>
      </c>
      <c r="B32" s="67" t="s">
        <v>848</v>
      </c>
      <c r="C32" s="66" t="s">
        <v>193</v>
      </c>
      <c r="D32" s="76">
        <v>1.7350000000000001</v>
      </c>
      <c r="E32" s="166">
        <v>32605.8</v>
      </c>
      <c r="F32" s="94">
        <f t="shared" si="0"/>
        <v>56571.06</v>
      </c>
      <c r="G32" s="94">
        <f t="shared" si="1"/>
        <v>67885.27</v>
      </c>
      <c r="H32">
        <v>18174</v>
      </c>
    </row>
    <row r="33" spans="1:8" ht="15.6" x14ac:dyDescent="0.3">
      <c r="A33" s="87"/>
      <c r="B33" s="62" t="s">
        <v>849</v>
      </c>
      <c r="C33" s="66"/>
      <c r="D33" s="71"/>
      <c r="E33" s="166"/>
      <c r="F33" s="94"/>
      <c r="G33" s="94"/>
    </row>
    <row r="34" spans="1:8" ht="27.6" x14ac:dyDescent="0.3">
      <c r="A34" s="87">
        <f>A32+1</f>
        <v>26</v>
      </c>
      <c r="B34" s="67" t="s">
        <v>850</v>
      </c>
      <c r="C34" s="66" t="s">
        <v>193</v>
      </c>
      <c r="D34" s="71">
        <v>2</v>
      </c>
      <c r="E34" s="166">
        <v>26084.63</v>
      </c>
      <c r="F34" s="94">
        <f t="shared" si="0"/>
        <v>52169.26</v>
      </c>
      <c r="G34" s="94">
        <f t="shared" ref="G34:G36" si="4">ROUND(F34*1.2,2)</f>
        <v>62603.11</v>
      </c>
    </row>
    <row r="35" spans="1:8" ht="15.6" x14ac:dyDescent="0.3">
      <c r="A35" s="87"/>
      <c r="B35" s="67" t="s">
        <v>917</v>
      </c>
      <c r="C35" s="66" t="s">
        <v>239</v>
      </c>
      <c r="D35" s="72">
        <v>4.4000000000000004</v>
      </c>
      <c r="E35" s="166">
        <v>436.23</v>
      </c>
      <c r="F35" s="94">
        <f t="shared" si="0"/>
        <v>1919.41</v>
      </c>
      <c r="G35" s="94">
        <f t="shared" si="4"/>
        <v>2303.29</v>
      </c>
    </row>
    <row r="36" spans="1:8" ht="27.6" x14ac:dyDescent="0.3">
      <c r="A36" s="87">
        <f>A34+1</f>
        <v>27</v>
      </c>
      <c r="B36" s="67" t="s">
        <v>851</v>
      </c>
      <c r="C36" s="66" t="s">
        <v>239</v>
      </c>
      <c r="D36" s="72">
        <v>4.4000000000000004</v>
      </c>
      <c r="E36" s="166">
        <v>312.27999999999997</v>
      </c>
      <c r="F36" s="94">
        <f t="shared" si="0"/>
        <v>1374.03</v>
      </c>
      <c r="G36" s="94">
        <f t="shared" si="4"/>
        <v>1648.84</v>
      </c>
    </row>
    <row r="37" spans="1:8" ht="15.6" x14ac:dyDescent="0.3">
      <c r="A37" s="87"/>
      <c r="B37" s="62" t="s">
        <v>852</v>
      </c>
      <c r="C37" s="66"/>
      <c r="D37" s="68"/>
      <c r="E37" s="166"/>
      <c r="F37" s="94"/>
      <c r="G37" s="94"/>
    </row>
    <row r="38" spans="1:8" ht="15.6" x14ac:dyDescent="0.3">
      <c r="A38" s="87">
        <f>A36+1</f>
        <v>28</v>
      </c>
      <c r="B38" s="67" t="s">
        <v>853</v>
      </c>
      <c r="C38" s="66" t="s">
        <v>194</v>
      </c>
      <c r="D38" s="71">
        <v>31</v>
      </c>
      <c r="E38" s="166">
        <v>769.25</v>
      </c>
      <c r="F38" s="94">
        <f t="shared" si="0"/>
        <v>23846.75</v>
      </c>
      <c r="G38" s="94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854</v>
      </c>
      <c r="C39" s="66" t="s">
        <v>239</v>
      </c>
      <c r="D39" s="68">
        <v>1.23</v>
      </c>
      <c r="E39" s="166">
        <v>433.62</v>
      </c>
      <c r="F39" s="94">
        <f t="shared" si="0"/>
        <v>533.35</v>
      </c>
      <c r="G39" s="94">
        <f t="shared" si="5"/>
        <v>640.02</v>
      </c>
    </row>
    <row r="40" spans="1:8" ht="27.6" x14ac:dyDescent="0.3">
      <c r="A40" s="87">
        <f>A39+1</f>
        <v>30</v>
      </c>
      <c r="B40" s="67" t="s">
        <v>855</v>
      </c>
      <c r="C40" s="66" t="s">
        <v>239</v>
      </c>
      <c r="D40" s="68">
        <v>1.23</v>
      </c>
      <c r="E40" s="166">
        <v>312.27999999999997</v>
      </c>
      <c r="F40" s="94">
        <f t="shared" si="0"/>
        <v>384.1</v>
      </c>
      <c r="G40" s="94">
        <f t="shared" si="5"/>
        <v>460.92</v>
      </c>
      <c r="H40" s="200"/>
    </row>
    <row r="41" spans="1:8" ht="28.5" customHeight="1" x14ac:dyDescent="0.3">
      <c r="A41" s="149"/>
      <c r="B41" s="955" t="s">
        <v>734</v>
      </c>
      <c r="C41" s="956"/>
      <c r="D41" s="986"/>
      <c r="E41" s="150"/>
      <c r="F41" s="151"/>
      <c r="G41" s="163"/>
    </row>
    <row r="42" spans="1:8" ht="16.5" customHeight="1" x14ac:dyDescent="0.3">
      <c r="A42" s="66"/>
      <c r="B42" s="62" t="s">
        <v>513</v>
      </c>
      <c r="C42" s="66"/>
      <c r="D42" s="165"/>
      <c r="E42" s="160"/>
      <c r="F42" s="156"/>
      <c r="G42" s="164"/>
    </row>
    <row r="43" spans="1:8" ht="27.6" x14ac:dyDescent="0.3">
      <c r="A43" s="66">
        <f>A40+1</f>
        <v>31</v>
      </c>
      <c r="B43" s="67" t="s">
        <v>856</v>
      </c>
      <c r="C43" s="104" t="s">
        <v>193</v>
      </c>
      <c r="D43" s="71">
        <v>759</v>
      </c>
      <c r="E43" s="166">
        <v>90.47</v>
      </c>
      <c r="F43" s="94">
        <f t="shared" ref="F43:F68" si="6">ROUND(E43*D43,2)</f>
        <v>68666.73</v>
      </c>
      <c r="G43" s="94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827</v>
      </c>
      <c r="C44" s="104" t="s">
        <v>193</v>
      </c>
      <c r="D44" s="71">
        <v>23</v>
      </c>
      <c r="E44" s="166">
        <v>1860.11</v>
      </c>
      <c r="F44" s="94">
        <f t="shared" si="6"/>
        <v>42782.53</v>
      </c>
      <c r="G44" s="94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828</v>
      </c>
      <c r="C45" s="104" t="s">
        <v>193</v>
      </c>
      <c r="D45" s="71">
        <v>39</v>
      </c>
      <c r="E45" s="166">
        <v>1155.67</v>
      </c>
      <c r="F45" s="94">
        <f t="shared" si="6"/>
        <v>45071.13</v>
      </c>
      <c r="G45" s="94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4" t="s">
        <v>193</v>
      </c>
      <c r="D46" s="71">
        <v>8</v>
      </c>
      <c r="E46" s="166">
        <v>1456.66</v>
      </c>
      <c r="F46" s="94">
        <f t="shared" si="6"/>
        <v>11653.28</v>
      </c>
      <c r="G46" s="94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829</v>
      </c>
      <c r="C47" s="104" t="s">
        <v>193</v>
      </c>
      <c r="D47" s="71">
        <v>39</v>
      </c>
      <c r="E47" s="166">
        <v>856.54</v>
      </c>
      <c r="F47" s="94">
        <f t="shared" si="6"/>
        <v>33405.06</v>
      </c>
      <c r="G47" s="94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4" t="s">
        <v>193</v>
      </c>
      <c r="D48" s="71">
        <v>694</v>
      </c>
      <c r="E48" s="166">
        <v>9.73</v>
      </c>
      <c r="F48" s="94">
        <f t="shared" si="6"/>
        <v>6752.62</v>
      </c>
      <c r="G48" s="94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4" t="s">
        <v>193</v>
      </c>
      <c r="D49" s="71">
        <v>694</v>
      </c>
      <c r="E49" s="166">
        <v>197.58</v>
      </c>
      <c r="F49" s="94">
        <f t="shared" si="6"/>
        <v>137120.51999999999</v>
      </c>
      <c r="G49" s="94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4" t="s">
        <v>193</v>
      </c>
      <c r="D50" s="71">
        <v>37</v>
      </c>
      <c r="E50" s="166">
        <v>856.54</v>
      </c>
      <c r="F50" s="94">
        <f t="shared" si="6"/>
        <v>31691.98</v>
      </c>
      <c r="G50" s="94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830</v>
      </c>
      <c r="C51" s="104" t="s">
        <v>239</v>
      </c>
      <c r="D51" s="72">
        <v>81.599999999999994</v>
      </c>
      <c r="E51" s="166">
        <v>67.760000000000005</v>
      </c>
      <c r="F51" s="94">
        <f t="shared" si="6"/>
        <v>5529.22</v>
      </c>
      <c r="G51" s="94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831</v>
      </c>
      <c r="C52" s="66" t="s">
        <v>239</v>
      </c>
      <c r="D52" s="72">
        <v>81.599999999999994</v>
      </c>
      <c r="E52" s="166">
        <v>312.27999999999997</v>
      </c>
      <c r="F52" s="94">
        <f t="shared" si="6"/>
        <v>25482.05</v>
      </c>
      <c r="G52" s="94">
        <f t="shared" si="7"/>
        <v>30578.46</v>
      </c>
      <c r="H52">
        <v>3460</v>
      </c>
      <c r="I52" s="202" t="s">
        <v>918</v>
      </c>
    </row>
    <row r="53" spans="1:9" ht="15.6" x14ac:dyDescent="0.3">
      <c r="A53" s="66"/>
      <c r="B53" s="62" t="s">
        <v>523</v>
      </c>
      <c r="C53" s="66"/>
      <c r="D53" s="68"/>
      <c r="E53" s="166"/>
      <c r="F53" s="94"/>
      <c r="G53" s="94"/>
    </row>
    <row r="54" spans="1:9" ht="27.6" x14ac:dyDescent="0.3">
      <c r="A54" s="66">
        <f>A52+1</f>
        <v>41</v>
      </c>
      <c r="B54" s="67" t="s">
        <v>857</v>
      </c>
      <c r="C54" s="66" t="s">
        <v>194</v>
      </c>
      <c r="D54" s="71">
        <v>97</v>
      </c>
      <c r="E54" s="166">
        <v>1045.03</v>
      </c>
      <c r="F54" s="94">
        <f t="shared" si="6"/>
        <v>101367.91</v>
      </c>
      <c r="G54" s="94">
        <f t="shared" si="7"/>
        <v>121641.49</v>
      </c>
    </row>
    <row r="55" spans="1:9" ht="41.4" x14ac:dyDescent="0.3">
      <c r="A55" s="66">
        <f t="shared" si="8"/>
        <v>42</v>
      </c>
      <c r="B55" s="67" t="s">
        <v>858</v>
      </c>
      <c r="C55" s="66" t="s">
        <v>194</v>
      </c>
      <c r="D55" s="71">
        <v>6</v>
      </c>
      <c r="E55" s="166">
        <v>1960.07</v>
      </c>
      <c r="F55" s="94">
        <f t="shared" si="6"/>
        <v>11760.42</v>
      </c>
      <c r="G55" s="94">
        <f t="shared" si="7"/>
        <v>14112.5</v>
      </c>
    </row>
    <row r="56" spans="1:9" ht="27.6" x14ac:dyDescent="0.3">
      <c r="A56" s="66">
        <f t="shared" si="8"/>
        <v>43</v>
      </c>
      <c r="B56" s="67" t="s">
        <v>859</v>
      </c>
      <c r="C56" s="66" t="s">
        <v>220</v>
      </c>
      <c r="D56" s="71">
        <v>1</v>
      </c>
      <c r="E56" s="166">
        <v>8983.23</v>
      </c>
      <c r="F56" s="94">
        <f t="shared" si="6"/>
        <v>8983.23</v>
      </c>
      <c r="G56" s="94">
        <f t="shared" si="7"/>
        <v>10779.88</v>
      </c>
    </row>
    <row r="57" spans="1:9" ht="27.6" x14ac:dyDescent="0.3">
      <c r="A57" s="66">
        <f t="shared" si="8"/>
        <v>44</v>
      </c>
      <c r="B57" s="67" t="s">
        <v>860</v>
      </c>
      <c r="C57" s="66" t="s">
        <v>220</v>
      </c>
      <c r="D57" s="71">
        <v>1</v>
      </c>
      <c r="E57" s="166">
        <v>4477.97</v>
      </c>
      <c r="F57" s="94">
        <f t="shared" si="6"/>
        <v>4477.97</v>
      </c>
      <c r="G57" s="94">
        <f t="shared" si="7"/>
        <v>5373.56</v>
      </c>
    </row>
    <row r="58" spans="1:9" ht="15.6" x14ac:dyDescent="0.3">
      <c r="A58" s="66">
        <f t="shared" si="8"/>
        <v>45</v>
      </c>
      <c r="B58" s="67" t="s">
        <v>861</v>
      </c>
      <c r="C58" s="66" t="s">
        <v>220</v>
      </c>
      <c r="D58" s="71">
        <v>8</v>
      </c>
      <c r="E58" s="166">
        <v>592.5</v>
      </c>
      <c r="F58" s="94">
        <f t="shared" si="6"/>
        <v>4740</v>
      </c>
      <c r="G58" s="94">
        <f t="shared" si="7"/>
        <v>5688</v>
      </c>
    </row>
    <row r="59" spans="1:9" ht="27.6" x14ac:dyDescent="0.3">
      <c r="A59" s="66">
        <f t="shared" si="8"/>
        <v>46</v>
      </c>
      <c r="B59" s="67" t="s">
        <v>839</v>
      </c>
      <c r="C59" s="66" t="s">
        <v>220</v>
      </c>
      <c r="D59" s="71">
        <v>8</v>
      </c>
      <c r="E59" s="166">
        <v>210.41</v>
      </c>
      <c r="F59" s="94">
        <f t="shared" si="6"/>
        <v>1683.28</v>
      </c>
      <c r="G59" s="94">
        <f t="shared" si="7"/>
        <v>2019.94</v>
      </c>
    </row>
    <row r="60" spans="1:9" ht="41.4" x14ac:dyDescent="0.3">
      <c r="A60" s="66">
        <f t="shared" si="8"/>
        <v>47</v>
      </c>
      <c r="B60" s="67" t="s">
        <v>862</v>
      </c>
      <c r="C60" s="66" t="s">
        <v>220</v>
      </c>
      <c r="D60" s="71">
        <v>1</v>
      </c>
      <c r="E60" s="166">
        <v>2066.3000000000002</v>
      </c>
      <c r="F60" s="94">
        <f t="shared" si="6"/>
        <v>2066.3000000000002</v>
      </c>
      <c r="G60" s="94">
        <f t="shared" si="7"/>
        <v>2479.56</v>
      </c>
    </row>
    <row r="61" spans="1:9" ht="41.4" x14ac:dyDescent="0.3">
      <c r="A61" s="66">
        <f t="shared" si="8"/>
        <v>48</v>
      </c>
      <c r="B61" s="67" t="s">
        <v>863</v>
      </c>
      <c r="C61" s="66" t="s">
        <v>220</v>
      </c>
      <c r="D61" s="71">
        <v>1</v>
      </c>
      <c r="E61" s="166">
        <v>3397.31</v>
      </c>
      <c r="F61" s="94">
        <f t="shared" si="6"/>
        <v>3397.31</v>
      </c>
      <c r="G61" s="94">
        <f t="shared" si="7"/>
        <v>4076.77</v>
      </c>
    </row>
    <row r="62" spans="1:9" ht="27.6" x14ac:dyDescent="0.3">
      <c r="A62" s="66">
        <f t="shared" si="8"/>
        <v>49</v>
      </c>
      <c r="B62" s="67" t="s">
        <v>864</v>
      </c>
      <c r="C62" s="66" t="s">
        <v>220</v>
      </c>
      <c r="D62" s="71">
        <v>1</v>
      </c>
      <c r="E62" s="166">
        <v>3317.02</v>
      </c>
      <c r="F62" s="94">
        <f t="shared" si="6"/>
        <v>3317.02</v>
      </c>
      <c r="G62" s="94">
        <f t="shared" si="7"/>
        <v>3980.42</v>
      </c>
    </row>
    <row r="63" spans="1:9" ht="27.6" x14ac:dyDescent="0.3">
      <c r="A63" s="66">
        <f t="shared" si="8"/>
        <v>50</v>
      </c>
      <c r="B63" s="67" t="s">
        <v>865</v>
      </c>
      <c r="C63" s="66" t="s">
        <v>220</v>
      </c>
      <c r="D63" s="71">
        <v>1</v>
      </c>
      <c r="E63" s="166">
        <v>3397.31</v>
      </c>
      <c r="F63" s="94">
        <f t="shared" si="6"/>
        <v>3397.31</v>
      </c>
      <c r="G63" s="94">
        <f t="shared" si="7"/>
        <v>4076.77</v>
      </c>
    </row>
    <row r="64" spans="1:9" ht="27.6" x14ac:dyDescent="0.3">
      <c r="A64" s="66">
        <f t="shared" si="8"/>
        <v>51</v>
      </c>
      <c r="B64" s="67" t="s">
        <v>846</v>
      </c>
      <c r="C64" s="66" t="s">
        <v>920</v>
      </c>
      <c r="D64" s="71">
        <v>1</v>
      </c>
      <c r="E64" s="166">
        <v>30624.26</v>
      </c>
      <c r="F64" s="94">
        <f t="shared" si="6"/>
        <v>30624.26</v>
      </c>
      <c r="G64" s="94">
        <f t="shared" si="7"/>
        <v>36749.11</v>
      </c>
    </row>
    <row r="65" spans="1:9" ht="15.6" x14ac:dyDescent="0.3">
      <c r="A65" s="66"/>
      <c r="B65" s="62" t="s">
        <v>852</v>
      </c>
      <c r="C65" s="66"/>
      <c r="D65" s="71"/>
      <c r="E65" s="166"/>
      <c r="F65" s="94"/>
      <c r="G65" s="94"/>
    </row>
    <row r="66" spans="1:9" ht="15.6" x14ac:dyDescent="0.3">
      <c r="A66" s="66">
        <f>A64+1</f>
        <v>52</v>
      </c>
      <c r="B66" s="67" t="s">
        <v>866</v>
      </c>
      <c r="C66" s="66" t="s">
        <v>194</v>
      </c>
      <c r="D66" s="71">
        <v>97</v>
      </c>
      <c r="E66" s="166">
        <v>728.8</v>
      </c>
      <c r="F66" s="94">
        <f t="shared" si="6"/>
        <v>70693.600000000006</v>
      </c>
      <c r="G66" s="94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854</v>
      </c>
      <c r="C67" s="66" t="s">
        <v>239</v>
      </c>
      <c r="D67" s="71">
        <v>3</v>
      </c>
      <c r="E67" s="166">
        <v>433.62</v>
      </c>
      <c r="F67" s="94">
        <f t="shared" si="6"/>
        <v>1300.8599999999999</v>
      </c>
      <c r="G67" s="94">
        <f t="shared" si="9"/>
        <v>1561.03</v>
      </c>
    </row>
    <row r="68" spans="1:9" ht="27.6" x14ac:dyDescent="0.3">
      <c r="A68" s="66">
        <f>A67+1</f>
        <v>54</v>
      </c>
      <c r="B68" s="67" t="s">
        <v>855</v>
      </c>
      <c r="C68" s="66" t="s">
        <v>239</v>
      </c>
      <c r="D68" s="71">
        <v>3</v>
      </c>
      <c r="E68" s="166">
        <v>312.27999999999997</v>
      </c>
      <c r="F68" s="94">
        <f t="shared" si="6"/>
        <v>936.84</v>
      </c>
      <c r="G68" s="94">
        <f t="shared" si="7"/>
        <v>1124.21</v>
      </c>
    </row>
    <row r="69" spans="1:9" ht="34.5" customHeight="1" x14ac:dyDescent="0.3">
      <c r="A69" s="149"/>
      <c r="B69" s="955" t="s">
        <v>735</v>
      </c>
      <c r="C69" s="956"/>
      <c r="D69" s="986"/>
      <c r="E69" s="150"/>
      <c r="F69" s="151"/>
      <c r="G69" s="163"/>
    </row>
    <row r="70" spans="1:9" x14ac:dyDescent="0.3">
      <c r="A70" s="66"/>
      <c r="B70" s="62" t="s">
        <v>513</v>
      </c>
      <c r="C70" s="66"/>
      <c r="D70" s="165"/>
      <c r="E70" s="160"/>
      <c r="F70" s="156"/>
      <c r="G70" s="164"/>
    </row>
    <row r="71" spans="1:9" ht="27.6" x14ac:dyDescent="0.3">
      <c r="A71" s="66">
        <f>A68+1</f>
        <v>55</v>
      </c>
      <c r="B71" s="67" t="s">
        <v>826</v>
      </c>
      <c r="C71" s="66" t="s">
        <v>193</v>
      </c>
      <c r="D71" s="71">
        <v>1202</v>
      </c>
      <c r="E71" s="166">
        <v>90.47</v>
      </c>
      <c r="F71" s="94">
        <f t="shared" ref="F71:F96" si="10">ROUND(E71*D71,2)</f>
        <v>108744.94</v>
      </c>
      <c r="G71" s="94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827</v>
      </c>
      <c r="C72" s="66" t="s">
        <v>193</v>
      </c>
      <c r="D72" s="71">
        <v>36</v>
      </c>
      <c r="E72" s="166">
        <v>1860.11</v>
      </c>
      <c r="F72" s="94">
        <f t="shared" si="10"/>
        <v>66963.960000000006</v>
      </c>
      <c r="G72" s="94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828</v>
      </c>
      <c r="C73" s="66" t="s">
        <v>193</v>
      </c>
      <c r="D73" s="71">
        <v>46</v>
      </c>
      <c r="E73" s="166">
        <v>1205.9100000000001</v>
      </c>
      <c r="F73" s="94">
        <f t="shared" si="10"/>
        <v>55471.86</v>
      </c>
      <c r="G73" s="94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66">
        <v>1456.66</v>
      </c>
      <c r="F74" s="94">
        <f t="shared" si="10"/>
        <v>11653.28</v>
      </c>
      <c r="G74" s="94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829</v>
      </c>
      <c r="C75" s="66" t="s">
        <v>193</v>
      </c>
      <c r="D75" s="71">
        <v>48</v>
      </c>
      <c r="E75" s="166">
        <v>856.54</v>
      </c>
      <c r="F75" s="94">
        <f t="shared" si="10"/>
        <v>41113.919999999998</v>
      </c>
      <c r="G75" s="94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867</v>
      </c>
      <c r="C76" s="66" t="s">
        <v>193</v>
      </c>
      <c r="D76" s="71">
        <v>1116</v>
      </c>
      <c r="E76" s="166">
        <v>9.73</v>
      </c>
      <c r="F76" s="94">
        <f t="shared" si="10"/>
        <v>10858.68</v>
      </c>
      <c r="G76" s="94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66">
        <v>197.58</v>
      </c>
      <c r="F77" s="94">
        <f t="shared" si="10"/>
        <v>220499.28</v>
      </c>
      <c r="G77" s="94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868</v>
      </c>
      <c r="C78" s="66" t="s">
        <v>193</v>
      </c>
      <c r="D78" s="71">
        <v>59</v>
      </c>
      <c r="E78" s="166">
        <v>856.54</v>
      </c>
      <c r="F78" s="94">
        <f t="shared" si="10"/>
        <v>50535.86</v>
      </c>
      <c r="G78" s="94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869</v>
      </c>
      <c r="C79" s="66" t="s">
        <v>239</v>
      </c>
      <c r="D79" s="72">
        <v>100.8</v>
      </c>
      <c r="E79" s="166">
        <v>67.760000000000005</v>
      </c>
      <c r="F79" s="94">
        <f t="shared" si="10"/>
        <v>6830.21</v>
      </c>
      <c r="G79" s="94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831</v>
      </c>
      <c r="C80" s="66" t="s">
        <v>239</v>
      </c>
      <c r="D80" s="72">
        <v>100.8</v>
      </c>
      <c r="E80" s="166">
        <v>312.27999999999997</v>
      </c>
      <c r="F80" s="94">
        <f t="shared" si="10"/>
        <v>31477.82</v>
      </c>
      <c r="G80" s="94">
        <f t="shared" si="11"/>
        <v>37773.379999999997</v>
      </c>
      <c r="H80">
        <v>3460</v>
      </c>
      <c r="I80" s="202" t="s">
        <v>918</v>
      </c>
    </row>
    <row r="81" spans="1:7" ht="15.6" x14ac:dyDescent="0.3">
      <c r="A81" s="66"/>
      <c r="B81" s="62" t="s">
        <v>523</v>
      </c>
      <c r="C81" s="66"/>
      <c r="D81" s="68"/>
      <c r="E81" s="166"/>
      <c r="F81" s="94"/>
      <c r="G81" s="94"/>
    </row>
    <row r="82" spans="1:7" ht="27.6" x14ac:dyDescent="0.3">
      <c r="A82" s="66">
        <f>A80+1</f>
        <v>65</v>
      </c>
      <c r="B82" s="67" t="s">
        <v>870</v>
      </c>
      <c r="C82" s="66" t="s">
        <v>194</v>
      </c>
      <c r="D82" s="71">
        <v>82</v>
      </c>
      <c r="E82" s="166">
        <v>1494.21</v>
      </c>
      <c r="F82" s="94">
        <f t="shared" si="10"/>
        <v>122525.22</v>
      </c>
      <c r="G82" s="94">
        <f t="shared" si="11"/>
        <v>147030.26</v>
      </c>
    </row>
    <row r="83" spans="1:7" ht="27.6" x14ac:dyDescent="0.3">
      <c r="A83" s="66">
        <f>A82+1</f>
        <v>66</v>
      </c>
      <c r="B83" s="67" t="s">
        <v>871</v>
      </c>
      <c r="C83" s="66" t="s">
        <v>194</v>
      </c>
      <c r="D83" s="71">
        <v>41</v>
      </c>
      <c r="E83" s="166">
        <v>2559.31</v>
      </c>
      <c r="F83" s="94">
        <f t="shared" si="10"/>
        <v>104931.71</v>
      </c>
      <c r="G83" s="94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872</v>
      </c>
      <c r="C84" s="66"/>
      <c r="D84" s="71">
        <v>1</v>
      </c>
      <c r="E84" s="166">
        <v>1504.77</v>
      </c>
      <c r="F84" s="94">
        <f t="shared" si="10"/>
        <v>1504.77</v>
      </c>
      <c r="G84" s="94">
        <f t="shared" si="11"/>
        <v>1805.72</v>
      </c>
    </row>
    <row r="85" spans="1:7" ht="27.6" x14ac:dyDescent="0.3">
      <c r="A85" s="66">
        <f t="shared" si="13"/>
        <v>68</v>
      </c>
      <c r="B85" s="67" t="s">
        <v>873</v>
      </c>
      <c r="C85" s="66" t="s">
        <v>220</v>
      </c>
      <c r="D85" s="71">
        <v>2</v>
      </c>
      <c r="E85" s="166">
        <v>7253.94</v>
      </c>
      <c r="F85" s="94">
        <f t="shared" si="10"/>
        <v>14507.88</v>
      </c>
      <c r="G85" s="94">
        <f t="shared" si="11"/>
        <v>17409.46</v>
      </c>
    </row>
    <row r="86" spans="1:7" ht="27.6" x14ac:dyDescent="0.3">
      <c r="A86" s="66">
        <f t="shared" si="13"/>
        <v>69</v>
      </c>
      <c r="B86" s="67" t="s">
        <v>874</v>
      </c>
      <c r="C86" s="66" t="s">
        <v>220</v>
      </c>
      <c r="D86" s="71">
        <v>2</v>
      </c>
      <c r="E86" s="166">
        <v>6691.94</v>
      </c>
      <c r="F86" s="94">
        <f t="shared" si="10"/>
        <v>13383.88</v>
      </c>
      <c r="G86" s="94">
        <f t="shared" si="11"/>
        <v>16060.66</v>
      </c>
    </row>
    <row r="87" spans="1:7" ht="15.6" x14ac:dyDescent="0.3">
      <c r="A87" s="66">
        <f t="shared" si="13"/>
        <v>70</v>
      </c>
      <c r="B87" s="67" t="s">
        <v>861</v>
      </c>
      <c r="C87" s="66" t="s">
        <v>220</v>
      </c>
      <c r="D87" s="71">
        <v>24</v>
      </c>
      <c r="E87" s="166">
        <v>592.5</v>
      </c>
      <c r="F87" s="94">
        <f t="shared" si="10"/>
        <v>14220</v>
      </c>
      <c r="G87" s="94">
        <f t="shared" si="11"/>
        <v>17064</v>
      </c>
    </row>
    <row r="88" spans="1:7" ht="27.6" x14ac:dyDescent="0.3">
      <c r="A88" s="66">
        <f t="shared" si="13"/>
        <v>71</v>
      </c>
      <c r="B88" s="67" t="s">
        <v>839</v>
      </c>
      <c r="C88" s="66" t="s">
        <v>220</v>
      </c>
      <c r="D88" s="71">
        <v>24</v>
      </c>
      <c r="E88" s="166">
        <v>210.41</v>
      </c>
      <c r="F88" s="94">
        <f t="shared" si="10"/>
        <v>5049.84</v>
      </c>
      <c r="G88" s="94">
        <f t="shared" si="11"/>
        <v>6059.81</v>
      </c>
    </row>
    <row r="89" spans="1:7" ht="41.4" x14ac:dyDescent="0.3">
      <c r="A89" s="66">
        <f t="shared" si="13"/>
        <v>72</v>
      </c>
      <c r="B89" s="67" t="s">
        <v>875</v>
      </c>
      <c r="C89" s="66" t="s">
        <v>220</v>
      </c>
      <c r="D89" s="71">
        <v>2</v>
      </c>
      <c r="E89" s="166">
        <v>2752.92</v>
      </c>
      <c r="F89" s="94">
        <f t="shared" si="10"/>
        <v>5505.84</v>
      </c>
      <c r="G89" s="94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876</v>
      </c>
      <c r="C90" s="66" t="s">
        <v>220</v>
      </c>
      <c r="D90" s="71">
        <v>2</v>
      </c>
      <c r="E90" s="166">
        <v>5356.92</v>
      </c>
      <c r="F90" s="94">
        <f t="shared" si="10"/>
        <v>10713.84</v>
      </c>
      <c r="G90" s="94">
        <f t="shared" si="14"/>
        <v>12856.61</v>
      </c>
    </row>
    <row r="91" spans="1:7" ht="27.6" x14ac:dyDescent="0.3">
      <c r="A91" s="66">
        <f t="shared" si="13"/>
        <v>74</v>
      </c>
      <c r="B91" s="67" t="s">
        <v>877</v>
      </c>
      <c r="C91" s="66" t="s">
        <v>220</v>
      </c>
      <c r="D91" s="71">
        <v>6</v>
      </c>
      <c r="E91" s="166">
        <v>3397.3</v>
      </c>
      <c r="F91" s="94">
        <f t="shared" si="10"/>
        <v>20383.8</v>
      </c>
      <c r="G91" s="94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846</v>
      </c>
      <c r="C92" s="66" t="s">
        <v>920</v>
      </c>
      <c r="D92" s="71">
        <v>1</v>
      </c>
      <c r="E92" s="166">
        <v>42094.04</v>
      </c>
      <c r="F92" s="94">
        <f t="shared" si="10"/>
        <v>42094.04</v>
      </c>
      <c r="G92" s="94">
        <f t="shared" si="14"/>
        <v>50512.85</v>
      </c>
    </row>
    <row r="93" spans="1:7" ht="15.6" x14ac:dyDescent="0.3">
      <c r="A93" s="66"/>
      <c r="B93" s="62" t="s">
        <v>852</v>
      </c>
      <c r="C93" s="66"/>
      <c r="D93" s="71"/>
      <c r="E93" s="166"/>
      <c r="F93" s="94"/>
      <c r="G93" s="94"/>
    </row>
    <row r="94" spans="1:7" ht="23.25" customHeight="1" x14ac:dyDescent="0.3">
      <c r="A94" s="66">
        <f>A92+1</f>
        <v>76</v>
      </c>
      <c r="B94" s="67" t="s">
        <v>878</v>
      </c>
      <c r="C94" s="66" t="s">
        <v>194</v>
      </c>
      <c r="D94" s="71">
        <v>85</v>
      </c>
      <c r="E94" s="166">
        <v>915.99</v>
      </c>
      <c r="F94" s="94">
        <f t="shared" si="10"/>
        <v>77859.149999999994</v>
      </c>
      <c r="G94" s="94">
        <f t="shared" si="14"/>
        <v>93430.98</v>
      </c>
    </row>
    <row r="95" spans="1:7" ht="15.6" x14ac:dyDescent="0.3">
      <c r="A95" s="66">
        <f>A94+1</f>
        <v>77</v>
      </c>
      <c r="B95" s="67" t="s">
        <v>854</v>
      </c>
      <c r="C95" s="66" t="s">
        <v>239</v>
      </c>
      <c r="D95" s="71">
        <v>4</v>
      </c>
      <c r="E95" s="166">
        <v>433.62</v>
      </c>
      <c r="F95" s="94">
        <f t="shared" si="10"/>
        <v>1734.48</v>
      </c>
      <c r="G95" s="94">
        <f t="shared" si="14"/>
        <v>2081.38</v>
      </c>
    </row>
    <row r="96" spans="1:7" ht="15.6" x14ac:dyDescent="0.3">
      <c r="A96" s="66">
        <f>A95+1</f>
        <v>78</v>
      </c>
      <c r="B96" s="67" t="s">
        <v>879</v>
      </c>
      <c r="C96" s="66" t="s">
        <v>239</v>
      </c>
      <c r="D96" s="71">
        <v>4</v>
      </c>
      <c r="E96" s="166">
        <v>312.27999999999997</v>
      </c>
      <c r="F96" s="94">
        <f t="shared" si="10"/>
        <v>1249.1199999999999</v>
      </c>
      <c r="G96" s="94">
        <f t="shared" si="14"/>
        <v>1498.94</v>
      </c>
    </row>
    <row r="97" spans="1:9" ht="32.25" customHeight="1" x14ac:dyDescent="0.3">
      <c r="A97" s="149"/>
      <c r="B97" s="955" t="s">
        <v>736</v>
      </c>
      <c r="C97" s="956"/>
      <c r="D97" s="986"/>
      <c r="E97" s="150"/>
      <c r="F97" s="151"/>
      <c r="G97" s="163"/>
    </row>
    <row r="98" spans="1:9" x14ac:dyDescent="0.3">
      <c r="A98" s="66"/>
      <c r="B98" s="62" t="s">
        <v>513</v>
      </c>
      <c r="C98" s="66"/>
      <c r="D98" s="71"/>
      <c r="E98" s="160"/>
      <c r="F98" s="156"/>
      <c r="G98" s="164"/>
    </row>
    <row r="99" spans="1:9" ht="27.6" x14ac:dyDescent="0.3">
      <c r="A99" s="66">
        <f>A96+1</f>
        <v>79</v>
      </c>
      <c r="B99" s="67" t="s">
        <v>826</v>
      </c>
      <c r="C99" s="66" t="s">
        <v>193</v>
      </c>
      <c r="D99" s="71">
        <v>1328</v>
      </c>
      <c r="E99" s="166">
        <v>90.47</v>
      </c>
      <c r="F99" s="94">
        <f t="shared" ref="F99:F120" si="15">ROUND(E99*D99,2)</f>
        <v>120144.16</v>
      </c>
      <c r="G99" s="94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827</v>
      </c>
      <c r="C100" s="66" t="s">
        <v>193</v>
      </c>
      <c r="D100" s="71">
        <v>40</v>
      </c>
      <c r="E100" s="166">
        <v>1860.11</v>
      </c>
      <c r="F100" s="94">
        <f t="shared" si="15"/>
        <v>74404.399999999994</v>
      </c>
      <c r="G100" s="94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828</v>
      </c>
      <c r="C101" s="66" t="s">
        <v>193</v>
      </c>
      <c r="D101" s="71">
        <v>15</v>
      </c>
      <c r="E101" s="166">
        <v>1155.67</v>
      </c>
      <c r="F101" s="94">
        <f t="shared" si="15"/>
        <v>17335.05</v>
      </c>
      <c r="G101" s="94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66">
        <v>1456.66</v>
      </c>
      <c r="F102" s="94">
        <f t="shared" si="15"/>
        <v>5826.64</v>
      </c>
      <c r="G102" s="94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829</v>
      </c>
      <c r="C103" s="66" t="s">
        <v>193</v>
      </c>
      <c r="D103" s="71">
        <v>15</v>
      </c>
      <c r="E103" s="166">
        <v>856.54</v>
      </c>
      <c r="F103" s="94">
        <f t="shared" si="15"/>
        <v>12848.1</v>
      </c>
      <c r="G103" s="94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867</v>
      </c>
      <c r="C104" s="66" t="s">
        <v>193</v>
      </c>
      <c r="D104" s="71">
        <v>1280</v>
      </c>
      <c r="E104" s="166">
        <v>9.73</v>
      </c>
      <c r="F104" s="94">
        <f t="shared" si="15"/>
        <v>12454.4</v>
      </c>
      <c r="G104" s="94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66">
        <v>197.58</v>
      </c>
      <c r="F105" s="94">
        <f t="shared" si="15"/>
        <v>252902.39999999999</v>
      </c>
      <c r="G105" s="94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868</v>
      </c>
      <c r="C106" s="66" t="s">
        <v>193</v>
      </c>
      <c r="D106" s="71">
        <v>67</v>
      </c>
      <c r="E106" s="166">
        <v>856.54</v>
      </c>
      <c r="F106" s="94">
        <f t="shared" si="15"/>
        <v>57388.18</v>
      </c>
      <c r="G106" s="94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869</v>
      </c>
      <c r="C107" s="66" t="s">
        <v>239</v>
      </c>
      <c r="D107" s="72">
        <v>33.6</v>
      </c>
      <c r="E107" s="166">
        <v>67.760000000000005</v>
      </c>
      <c r="F107" s="94">
        <f t="shared" si="15"/>
        <v>2276.7399999999998</v>
      </c>
      <c r="G107" s="94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831</v>
      </c>
      <c r="C108" s="66" t="s">
        <v>239</v>
      </c>
      <c r="D108" s="72">
        <v>33.6</v>
      </c>
      <c r="E108" s="166">
        <v>312.27999999999997</v>
      </c>
      <c r="F108" s="94">
        <f t="shared" si="15"/>
        <v>10492.61</v>
      </c>
      <c r="G108" s="94">
        <f t="shared" si="16"/>
        <v>12591.13</v>
      </c>
      <c r="H108">
        <v>3460</v>
      </c>
      <c r="I108" s="202" t="s">
        <v>918</v>
      </c>
    </row>
    <row r="109" spans="1:9" ht="27.6" x14ac:dyDescent="0.3">
      <c r="A109" s="66">
        <f t="shared" si="17"/>
        <v>89</v>
      </c>
      <c r="B109" s="67" t="s">
        <v>880</v>
      </c>
      <c r="C109" s="66" t="s">
        <v>431</v>
      </c>
      <c r="D109" s="71">
        <v>127</v>
      </c>
      <c r="E109" s="166">
        <v>306.77</v>
      </c>
      <c r="F109" s="94">
        <f t="shared" si="15"/>
        <v>38959.79</v>
      </c>
      <c r="G109" s="94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66"/>
      <c r="F110" s="94"/>
      <c r="G110" s="94"/>
    </row>
    <row r="111" spans="1:9" ht="27.6" x14ac:dyDescent="0.3">
      <c r="A111" s="66">
        <f>A109+1</f>
        <v>90</v>
      </c>
      <c r="B111" s="67" t="s">
        <v>881</v>
      </c>
      <c r="C111" s="66" t="s">
        <v>194</v>
      </c>
      <c r="D111" s="71">
        <v>42</v>
      </c>
      <c r="E111" s="166">
        <v>1045.03</v>
      </c>
      <c r="F111" s="94">
        <f t="shared" si="15"/>
        <v>43891.26</v>
      </c>
      <c r="G111" s="94">
        <f t="shared" si="16"/>
        <v>52669.51</v>
      </c>
    </row>
    <row r="112" spans="1:9" ht="41.4" x14ac:dyDescent="0.3">
      <c r="A112" s="66">
        <f>A111+1</f>
        <v>91</v>
      </c>
      <c r="B112" s="67" t="s">
        <v>882</v>
      </c>
      <c r="C112" s="66" t="s">
        <v>194</v>
      </c>
      <c r="D112" s="71">
        <v>6</v>
      </c>
      <c r="E112" s="166">
        <v>1960.07</v>
      </c>
      <c r="F112" s="94">
        <f t="shared" si="15"/>
        <v>11760.42</v>
      </c>
      <c r="G112" s="94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883</v>
      </c>
      <c r="C113" s="66" t="s">
        <v>220</v>
      </c>
      <c r="D113" s="71">
        <v>2</v>
      </c>
      <c r="E113" s="166">
        <v>1871.48</v>
      </c>
      <c r="F113" s="94">
        <f t="shared" si="15"/>
        <v>3742.96</v>
      </c>
      <c r="G113" s="94">
        <f t="shared" si="16"/>
        <v>4491.55</v>
      </c>
    </row>
    <row r="114" spans="1:8" ht="41.4" x14ac:dyDescent="0.3">
      <c r="A114" s="66">
        <f t="shared" si="18"/>
        <v>93</v>
      </c>
      <c r="B114" s="67" t="s">
        <v>884</v>
      </c>
      <c r="C114" s="66" t="s">
        <v>220</v>
      </c>
      <c r="D114" s="71">
        <v>2</v>
      </c>
      <c r="E114" s="166">
        <v>6085.16</v>
      </c>
      <c r="F114" s="94">
        <f t="shared" si="15"/>
        <v>12170.32</v>
      </c>
      <c r="G114" s="94">
        <f t="shared" si="16"/>
        <v>14604.38</v>
      </c>
    </row>
    <row r="115" spans="1:8" ht="27.6" x14ac:dyDescent="0.3">
      <c r="A115" s="66">
        <f t="shared" si="18"/>
        <v>94</v>
      </c>
      <c r="B115" s="67" t="s">
        <v>845</v>
      </c>
      <c r="C115" s="66" t="s">
        <v>220</v>
      </c>
      <c r="D115" s="71">
        <v>1</v>
      </c>
      <c r="E115" s="166">
        <v>3397.31</v>
      </c>
      <c r="F115" s="94">
        <f t="shared" si="15"/>
        <v>3397.31</v>
      </c>
      <c r="G115" s="94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846</v>
      </c>
      <c r="C116" s="66" t="s">
        <v>920</v>
      </c>
      <c r="D116" s="71">
        <v>1</v>
      </c>
      <c r="E116" s="166">
        <v>30624.26</v>
      </c>
      <c r="F116" s="94">
        <f t="shared" si="15"/>
        <v>30624.26</v>
      </c>
      <c r="G116" s="94">
        <f t="shared" si="16"/>
        <v>36749.11</v>
      </c>
    </row>
    <row r="117" spans="1:8" ht="22.5" customHeight="1" x14ac:dyDescent="0.3">
      <c r="A117" s="66"/>
      <c r="B117" s="62" t="s">
        <v>852</v>
      </c>
      <c r="C117" s="66"/>
      <c r="D117" s="71"/>
      <c r="E117" s="166"/>
      <c r="F117" s="94"/>
      <c r="G117" s="94"/>
    </row>
    <row r="118" spans="1:8" ht="15.6" x14ac:dyDescent="0.3">
      <c r="A118" s="66">
        <f>A116+1</f>
        <v>96</v>
      </c>
      <c r="B118" s="67" t="s">
        <v>885</v>
      </c>
      <c r="C118" s="66" t="s">
        <v>194</v>
      </c>
      <c r="D118" s="71">
        <v>42</v>
      </c>
      <c r="E118" s="166">
        <v>728.05</v>
      </c>
      <c r="F118" s="94">
        <f t="shared" si="15"/>
        <v>30578.1</v>
      </c>
      <c r="G118" s="94">
        <f t="shared" si="16"/>
        <v>36693.72</v>
      </c>
    </row>
    <row r="119" spans="1:8" ht="15.6" x14ac:dyDescent="0.3">
      <c r="A119" s="66">
        <f>A118+1</f>
        <v>97</v>
      </c>
      <c r="B119" s="67" t="s">
        <v>887</v>
      </c>
      <c r="C119" s="66" t="s">
        <v>239</v>
      </c>
      <c r="D119" s="72">
        <v>0.6</v>
      </c>
      <c r="E119" s="166">
        <v>436.17</v>
      </c>
      <c r="F119" s="94">
        <f t="shared" si="15"/>
        <v>261.7</v>
      </c>
      <c r="G119" s="94">
        <f t="shared" si="16"/>
        <v>314.04000000000002</v>
      </c>
    </row>
    <row r="120" spans="1:8" ht="15.6" x14ac:dyDescent="0.3">
      <c r="A120" s="66">
        <f>A119+1</f>
        <v>98</v>
      </c>
      <c r="B120" s="67" t="s">
        <v>886</v>
      </c>
      <c r="C120" s="66" t="s">
        <v>239</v>
      </c>
      <c r="D120" s="72">
        <v>0.6</v>
      </c>
      <c r="E120" s="166">
        <v>312.27999999999997</v>
      </c>
      <c r="F120" s="94">
        <f t="shared" si="15"/>
        <v>187.37</v>
      </c>
      <c r="G120" s="94">
        <f t="shared" si="16"/>
        <v>224.84</v>
      </c>
    </row>
    <row r="121" spans="1:8" ht="33.75" customHeight="1" x14ac:dyDescent="0.3">
      <c r="A121" s="149"/>
      <c r="B121" s="955" t="s">
        <v>737</v>
      </c>
      <c r="C121" s="956"/>
      <c r="D121" s="986"/>
      <c r="E121" s="150"/>
      <c r="F121" s="151"/>
      <c r="G121" s="163"/>
    </row>
    <row r="122" spans="1:8" x14ac:dyDescent="0.3">
      <c r="A122" s="66"/>
      <c r="B122" s="62" t="s">
        <v>513</v>
      </c>
      <c r="C122" s="66"/>
      <c r="D122" s="71"/>
      <c r="E122" s="160"/>
      <c r="F122" s="156"/>
      <c r="G122" s="164"/>
    </row>
    <row r="123" spans="1:8" ht="27.6" x14ac:dyDescent="0.3">
      <c r="A123" s="66">
        <f>A120+1</f>
        <v>99</v>
      </c>
      <c r="B123" s="67" t="s">
        <v>826</v>
      </c>
      <c r="C123" s="66" t="s">
        <v>193</v>
      </c>
      <c r="D123" s="71">
        <v>835</v>
      </c>
      <c r="E123" s="166">
        <v>90.47</v>
      </c>
      <c r="F123" s="94">
        <f t="shared" ref="F123:F139" si="19">ROUND(E123*D123,2)</f>
        <v>75542.45</v>
      </c>
      <c r="G123" s="94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827</v>
      </c>
      <c r="C124" s="66" t="s">
        <v>193</v>
      </c>
      <c r="D124" s="71">
        <v>25</v>
      </c>
      <c r="E124" s="166">
        <v>1860.11</v>
      </c>
      <c r="F124" s="94">
        <f t="shared" si="19"/>
        <v>46502.75</v>
      </c>
      <c r="G124" s="94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828</v>
      </c>
      <c r="C125" s="66" t="s">
        <v>193</v>
      </c>
      <c r="D125" s="71">
        <v>9</v>
      </c>
      <c r="E125" s="166">
        <v>1155.67</v>
      </c>
      <c r="F125" s="94">
        <f t="shared" si="19"/>
        <v>10401.030000000001</v>
      </c>
      <c r="G125" s="94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66">
        <v>1456.66</v>
      </c>
      <c r="F126" s="94">
        <f t="shared" si="19"/>
        <v>2913.32</v>
      </c>
      <c r="G126" s="94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829</v>
      </c>
      <c r="C127" s="66" t="s">
        <v>193</v>
      </c>
      <c r="D127" s="71">
        <v>9</v>
      </c>
      <c r="E127" s="166">
        <v>856.54</v>
      </c>
      <c r="F127" s="94">
        <f t="shared" si="19"/>
        <v>7708.86</v>
      </c>
      <c r="G127" s="94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867</v>
      </c>
      <c r="C128" s="66" t="s">
        <v>193</v>
      </c>
      <c r="D128" s="71">
        <v>805</v>
      </c>
      <c r="E128" s="166">
        <v>9.73</v>
      </c>
      <c r="F128" s="94">
        <f t="shared" si="19"/>
        <v>7832.65</v>
      </c>
      <c r="G128" s="94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66">
        <v>197.58</v>
      </c>
      <c r="F129" s="94">
        <f t="shared" si="19"/>
        <v>159051.9</v>
      </c>
      <c r="G129" s="94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868</v>
      </c>
      <c r="C130" s="66" t="s">
        <v>193</v>
      </c>
      <c r="D130" s="71">
        <v>42</v>
      </c>
      <c r="E130" s="166">
        <v>856.54</v>
      </c>
      <c r="F130" s="94">
        <f t="shared" si="19"/>
        <v>35974.68</v>
      </c>
      <c r="G130" s="94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869</v>
      </c>
      <c r="C131" s="66" t="s">
        <v>239</v>
      </c>
      <c r="D131" s="72">
        <v>20.8</v>
      </c>
      <c r="E131" s="166">
        <v>67.760000000000005</v>
      </c>
      <c r="F131" s="94">
        <f t="shared" si="19"/>
        <v>1409.41</v>
      </c>
      <c r="G131" s="94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831</v>
      </c>
      <c r="C132" s="66" t="s">
        <v>239</v>
      </c>
      <c r="D132" s="72">
        <v>20.8</v>
      </c>
      <c r="E132" s="166">
        <v>312.27999999999997</v>
      </c>
      <c r="F132" s="94">
        <f t="shared" si="19"/>
        <v>6495.42</v>
      </c>
      <c r="G132" s="94">
        <f t="shared" si="20"/>
        <v>7794.5</v>
      </c>
      <c r="H132">
        <v>3460</v>
      </c>
      <c r="I132" s="202" t="s">
        <v>918</v>
      </c>
    </row>
    <row r="133" spans="1:9" ht="22.5" customHeight="1" x14ac:dyDescent="0.3">
      <c r="A133" s="66"/>
      <c r="B133" s="62" t="s">
        <v>523</v>
      </c>
      <c r="C133" s="66"/>
      <c r="D133" s="72"/>
      <c r="E133" s="166"/>
      <c r="F133" s="94"/>
      <c r="G133" s="94"/>
    </row>
    <row r="134" spans="1:9" ht="27.6" x14ac:dyDescent="0.3">
      <c r="A134" s="66">
        <f>A132+1</f>
        <v>109</v>
      </c>
      <c r="B134" s="67" t="s">
        <v>881</v>
      </c>
      <c r="C134" s="66" t="s">
        <v>194</v>
      </c>
      <c r="D134" s="71">
        <v>23</v>
      </c>
      <c r="E134" s="166">
        <v>1045.03</v>
      </c>
      <c r="F134" s="94">
        <f t="shared" si="19"/>
        <v>24035.69</v>
      </c>
      <c r="G134" s="94">
        <f t="shared" si="20"/>
        <v>28842.83</v>
      </c>
    </row>
    <row r="135" spans="1:9" ht="41.4" x14ac:dyDescent="0.3">
      <c r="A135" s="66">
        <f>A134+1</f>
        <v>110</v>
      </c>
      <c r="B135" s="67" t="s">
        <v>888</v>
      </c>
      <c r="C135" s="66" t="s">
        <v>194</v>
      </c>
      <c r="D135" s="71">
        <v>6</v>
      </c>
      <c r="E135" s="166">
        <v>1960.07</v>
      </c>
      <c r="F135" s="94">
        <f t="shared" si="19"/>
        <v>11760.42</v>
      </c>
      <c r="G135" s="94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883</v>
      </c>
      <c r="C136" s="66" t="s">
        <v>220</v>
      </c>
      <c r="D136" s="71">
        <v>4</v>
      </c>
      <c r="E136" s="166">
        <v>1871.49</v>
      </c>
      <c r="F136" s="94">
        <f t="shared" si="19"/>
        <v>7485.96</v>
      </c>
      <c r="G136" s="94">
        <f t="shared" si="20"/>
        <v>8983.15</v>
      </c>
    </row>
    <row r="137" spans="1:9" ht="41.4" x14ac:dyDescent="0.3">
      <c r="A137" s="66">
        <f t="shared" si="22"/>
        <v>112</v>
      </c>
      <c r="B137" s="67" t="s">
        <v>884</v>
      </c>
      <c r="C137" s="66" t="s">
        <v>220</v>
      </c>
      <c r="D137" s="71">
        <v>4</v>
      </c>
      <c r="E137" s="166">
        <v>6085.15</v>
      </c>
      <c r="F137" s="94">
        <f t="shared" si="19"/>
        <v>24340.6</v>
      </c>
      <c r="G137" s="94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845</v>
      </c>
      <c r="C138" s="66" t="s">
        <v>220</v>
      </c>
      <c r="D138" s="71">
        <v>1</v>
      </c>
      <c r="E138" s="166">
        <v>3397.31</v>
      </c>
      <c r="F138" s="94">
        <f t="shared" si="19"/>
        <v>3397.31</v>
      </c>
      <c r="G138" s="94">
        <f t="shared" si="20"/>
        <v>4076.77</v>
      </c>
    </row>
    <row r="139" spans="1:9" ht="27.6" x14ac:dyDescent="0.3">
      <c r="A139" s="66">
        <f t="shared" si="22"/>
        <v>114</v>
      </c>
      <c r="B139" s="67" t="s">
        <v>846</v>
      </c>
      <c r="C139" s="66" t="s">
        <v>920</v>
      </c>
      <c r="D139" s="71">
        <v>1</v>
      </c>
      <c r="E139" s="166">
        <v>30624.26</v>
      </c>
      <c r="F139" s="94">
        <f t="shared" si="19"/>
        <v>30624.26</v>
      </c>
      <c r="G139" s="94">
        <f t="shared" si="20"/>
        <v>36749.11</v>
      </c>
    </row>
    <row r="140" spans="1:9" ht="34.5" customHeight="1" x14ac:dyDescent="0.3">
      <c r="A140" s="149"/>
      <c r="B140" s="955" t="s">
        <v>738</v>
      </c>
      <c r="C140" s="956"/>
      <c r="D140" s="986"/>
      <c r="E140" s="150"/>
      <c r="F140" s="151"/>
      <c r="G140" s="163"/>
    </row>
    <row r="141" spans="1:9" ht="25.5" customHeight="1" x14ac:dyDescent="0.3">
      <c r="A141" s="66"/>
      <c r="B141" s="62" t="s">
        <v>513</v>
      </c>
      <c r="C141" s="66"/>
      <c r="D141" s="71"/>
      <c r="E141" s="69"/>
      <c r="F141" s="156"/>
      <c r="G141" s="164"/>
    </row>
    <row r="142" spans="1:9" ht="27.6" x14ac:dyDescent="0.3">
      <c r="A142" s="66">
        <f>A139+1</f>
        <v>115</v>
      </c>
      <c r="B142" s="67" t="s">
        <v>826</v>
      </c>
      <c r="C142" s="66" t="s">
        <v>193</v>
      </c>
      <c r="D142" s="71">
        <v>845</v>
      </c>
      <c r="E142" s="166">
        <v>90.47</v>
      </c>
      <c r="F142" s="94">
        <f t="shared" ref="F142:F162" si="23">ROUND(E142*D142,2)</f>
        <v>76447.149999999994</v>
      </c>
      <c r="G142" s="94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827</v>
      </c>
      <c r="C143" s="66" t="s">
        <v>193</v>
      </c>
      <c r="D143" s="71">
        <v>25</v>
      </c>
      <c r="E143" s="166">
        <v>1860.11</v>
      </c>
      <c r="F143" s="94">
        <f t="shared" si="23"/>
        <v>46502.75</v>
      </c>
      <c r="G143" s="94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828</v>
      </c>
      <c r="C144" s="66" t="s">
        <v>193</v>
      </c>
      <c r="D144" s="71">
        <v>37</v>
      </c>
      <c r="E144" s="166">
        <v>1155.67</v>
      </c>
      <c r="F144" s="94">
        <f t="shared" si="23"/>
        <v>42759.79</v>
      </c>
      <c r="G144" s="94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66">
        <v>1456.65</v>
      </c>
      <c r="F145" s="94">
        <f t="shared" si="23"/>
        <v>7283.25</v>
      </c>
      <c r="G145" s="94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829</v>
      </c>
      <c r="C146" s="66" t="s">
        <v>193</v>
      </c>
      <c r="D146" s="71">
        <v>37</v>
      </c>
      <c r="E146" s="166">
        <v>856.54</v>
      </c>
      <c r="F146" s="94">
        <f t="shared" si="23"/>
        <v>31691.98</v>
      </c>
      <c r="G146" s="94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867</v>
      </c>
      <c r="C147" s="66" t="s">
        <v>193</v>
      </c>
      <c r="D147" s="71">
        <v>761</v>
      </c>
      <c r="E147" s="166">
        <v>9.73</v>
      </c>
      <c r="F147" s="94">
        <f t="shared" si="23"/>
        <v>7404.53</v>
      </c>
      <c r="G147" s="94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66">
        <v>197.58</v>
      </c>
      <c r="F148" s="94">
        <f t="shared" si="23"/>
        <v>150358.38</v>
      </c>
      <c r="G148" s="94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868</v>
      </c>
      <c r="C149" s="66" t="s">
        <v>193</v>
      </c>
      <c r="D149" s="71">
        <v>40</v>
      </c>
      <c r="E149" s="166">
        <v>856.54</v>
      </c>
      <c r="F149" s="94">
        <f t="shared" si="23"/>
        <v>34261.599999999999</v>
      </c>
      <c r="G149" s="94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869</v>
      </c>
      <c r="C150" s="66" t="s">
        <v>239</v>
      </c>
      <c r="D150" s="72">
        <v>110.4</v>
      </c>
      <c r="E150" s="166">
        <v>67.760000000000005</v>
      </c>
      <c r="F150" s="94">
        <f t="shared" si="23"/>
        <v>7480.7</v>
      </c>
      <c r="G150" s="94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831</v>
      </c>
      <c r="C151" s="66" t="s">
        <v>239</v>
      </c>
      <c r="D151" s="72">
        <v>110.4</v>
      </c>
      <c r="E151" s="166">
        <v>312.27999999999997</v>
      </c>
      <c r="F151" s="94">
        <f t="shared" si="23"/>
        <v>34475.71</v>
      </c>
      <c r="G151" s="94">
        <f t="shared" si="24"/>
        <v>41370.85</v>
      </c>
      <c r="H151">
        <v>3460</v>
      </c>
      <c r="I151" s="202" t="s">
        <v>918</v>
      </c>
    </row>
    <row r="152" spans="1:9" ht="22.5" customHeight="1" x14ac:dyDescent="0.3">
      <c r="A152" s="66"/>
      <c r="B152" s="62" t="s">
        <v>523</v>
      </c>
      <c r="C152" s="66"/>
      <c r="D152" s="71"/>
      <c r="E152" s="166"/>
      <c r="F152" s="94"/>
      <c r="G152" s="94"/>
    </row>
    <row r="153" spans="1:9" ht="27.6" x14ac:dyDescent="0.3">
      <c r="A153" s="66">
        <f>A151+1</f>
        <v>125</v>
      </c>
      <c r="B153" s="67" t="s">
        <v>889</v>
      </c>
      <c r="C153" s="66" t="s">
        <v>194</v>
      </c>
      <c r="D153" s="71">
        <v>31</v>
      </c>
      <c r="E153" s="166">
        <v>4746.51</v>
      </c>
      <c r="F153" s="94">
        <f t="shared" si="23"/>
        <v>147141.81</v>
      </c>
      <c r="G153" s="94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890</v>
      </c>
      <c r="C154" s="66" t="s">
        <v>194</v>
      </c>
      <c r="D154" s="71">
        <v>6</v>
      </c>
      <c r="E154" s="166">
        <v>8366.0300000000007</v>
      </c>
      <c r="F154" s="94">
        <f t="shared" si="23"/>
        <v>50196.18</v>
      </c>
      <c r="G154" s="94">
        <f t="shared" si="24"/>
        <v>60235.42</v>
      </c>
    </row>
    <row r="155" spans="1:9" ht="41.4" x14ac:dyDescent="0.3">
      <c r="A155" s="66">
        <f t="shared" si="26"/>
        <v>127</v>
      </c>
      <c r="B155" s="67" t="s">
        <v>891</v>
      </c>
      <c r="C155" s="66" t="s">
        <v>220</v>
      </c>
      <c r="D155" s="71">
        <v>2</v>
      </c>
      <c r="E155" s="166">
        <v>8222.4699999999993</v>
      </c>
      <c r="F155" s="94">
        <f t="shared" si="23"/>
        <v>16444.939999999999</v>
      </c>
      <c r="G155" s="94">
        <f t="shared" si="24"/>
        <v>19733.93</v>
      </c>
    </row>
    <row r="156" spans="1:9" ht="41.4" x14ac:dyDescent="0.3">
      <c r="A156" s="66">
        <f t="shared" si="26"/>
        <v>128</v>
      </c>
      <c r="B156" s="67" t="s">
        <v>892</v>
      </c>
      <c r="C156" s="66" t="s">
        <v>220</v>
      </c>
      <c r="D156" s="71">
        <v>2</v>
      </c>
      <c r="E156" s="166">
        <v>19742.93</v>
      </c>
      <c r="F156" s="94">
        <f t="shared" si="23"/>
        <v>39485.86</v>
      </c>
      <c r="G156" s="94">
        <f t="shared" si="24"/>
        <v>47383.03</v>
      </c>
    </row>
    <row r="157" spans="1:9" ht="27.6" x14ac:dyDescent="0.3">
      <c r="A157" s="66">
        <f t="shared" si="26"/>
        <v>129</v>
      </c>
      <c r="B157" s="67" t="s">
        <v>893</v>
      </c>
      <c r="C157" s="66" t="s">
        <v>220</v>
      </c>
      <c r="D157" s="71">
        <v>1</v>
      </c>
      <c r="E157" s="166">
        <v>17698.82</v>
      </c>
      <c r="F157" s="94">
        <f t="shared" si="23"/>
        <v>17698.82</v>
      </c>
      <c r="G157" s="94">
        <f t="shared" si="24"/>
        <v>21238.58</v>
      </c>
    </row>
    <row r="158" spans="1:9" ht="27.6" x14ac:dyDescent="0.3">
      <c r="A158" s="66">
        <f t="shared" si="26"/>
        <v>130</v>
      </c>
      <c r="B158" s="67" t="s">
        <v>846</v>
      </c>
      <c r="C158" s="66" t="s">
        <v>920</v>
      </c>
      <c r="D158" s="71">
        <v>1</v>
      </c>
      <c r="E158" s="166">
        <v>124950.66</v>
      </c>
      <c r="F158" s="94">
        <f t="shared" si="23"/>
        <v>124950.66</v>
      </c>
      <c r="G158" s="94">
        <f t="shared" si="24"/>
        <v>149940.79</v>
      </c>
    </row>
    <row r="159" spans="1:9" ht="23.25" customHeight="1" x14ac:dyDescent="0.3">
      <c r="A159" s="66"/>
      <c r="B159" s="62" t="s">
        <v>852</v>
      </c>
      <c r="C159" s="66"/>
      <c r="D159" s="71"/>
      <c r="E159" s="166"/>
      <c r="F159" s="94"/>
      <c r="G159" s="94"/>
    </row>
    <row r="160" spans="1:9" ht="15.6" x14ac:dyDescent="0.3">
      <c r="A160" s="66">
        <f>A158+1</f>
        <v>131</v>
      </c>
      <c r="B160" s="67" t="s">
        <v>894</v>
      </c>
      <c r="C160" s="66" t="s">
        <v>194</v>
      </c>
      <c r="D160" s="71">
        <v>31</v>
      </c>
      <c r="E160" s="166">
        <v>2354.06</v>
      </c>
      <c r="F160" s="94">
        <f t="shared" si="23"/>
        <v>72975.86</v>
      </c>
      <c r="G160" s="94">
        <f t="shared" si="24"/>
        <v>87571.03</v>
      </c>
    </row>
    <row r="161" spans="1:9" ht="15.6" x14ac:dyDescent="0.3">
      <c r="A161" s="66">
        <f t="shared" si="26"/>
        <v>132</v>
      </c>
      <c r="B161" s="67" t="s">
        <v>895</v>
      </c>
      <c r="C161" s="66" t="s">
        <v>239</v>
      </c>
      <c r="D161" s="71">
        <v>31</v>
      </c>
      <c r="E161" s="166">
        <v>436.17</v>
      </c>
      <c r="F161" s="94">
        <f t="shared" si="23"/>
        <v>13521.27</v>
      </c>
      <c r="G161" s="94">
        <f t="shared" si="24"/>
        <v>16225.52</v>
      </c>
    </row>
    <row r="162" spans="1:9" ht="15.6" x14ac:dyDescent="0.3">
      <c r="A162" s="66">
        <f t="shared" si="26"/>
        <v>133</v>
      </c>
      <c r="B162" s="80" t="s">
        <v>879</v>
      </c>
      <c r="C162" s="66" t="s">
        <v>239</v>
      </c>
      <c r="D162" s="71">
        <v>31</v>
      </c>
      <c r="E162" s="166">
        <v>312.27999999999997</v>
      </c>
      <c r="F162" s="94">
        <f t="shared" si="23"/>
        <v>9680.68</v>
      </c>
      <c r="G162" s="94">
        <f t="shared" si="24"/>
        <v>11616.82</v>
      </c>
    </row>
    <row r="163" spans="1:9" ht="32.25" customHeight="1" x14ac:dyDescent="0.3">
      <c r="A163" s="149"/>
      <c r="B163" s="955" t="s">
        <v>739</v>
      </c>
      <c r="C163" s="956"/>
      <c r="D163" s="986"/>
      <c r="E163" s="150"/>
      <c r="F163" s="151"/>
      <c r="G163" s="163"/>
    </row>
    <row r="164" spans="1:9" x14ac:dyDescent="0.3">
      <c r="A164" s="66"/>
      <c r="B164" s="62" t="s">
        <v>513</v>
      </c>
      <c r="C164" s="66"/>
      <c r="D164" s="71"/>
      <c r="E164" s="160"/>
      <c r="F164" s="156"/>
      <c r="G164" s="164"/>
    </row>
    <row r="165" spans="1:9" ht="27.6" x14ac:dyDescent="0.3">
      <c r="A165" s="66">
        <f>A162+1</f>
        <v>134</v>
      </c>
      <c r="B165" s="67" t="s">
        <v>826</v>
      </c>
      <c r="C165" s="66" t="s">
        <v>193</v>
      </c>
      <c r="D165" s="71">
        <v>177</v>
      </c>
      <c r="E165" s="166">
        <v>90.47</v>
      </c>
      <c r="F165" s="94">
        <f t="shared" ref="F165:F185" si="27">ROUND(E165*D165,2)</f>
        <v>16013.19</v>
      </c>
      <c r="G165" s="94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827</v>
      </c>
      <c r="C166" s="66" t="s">
        <v>193</v>
      </c>
      <c r="D166" s="71">
        <v>5</v>
      </c>
      <c r="E166" s="166">
        <v>1860.11</v>
      </c>
      <c r="F166" s="94">
        <f t="shared" si="27"/>
        <v>9300.5499999999993</v>
      </c>
      <c r="G166" s="94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828</v>
      </c>
      <c r="C167" s="66" t="s">
        <v>193</v>
      </c>
      <c r="D167" s="71">
        <v>23</v>
      </c>
      <c r="E167" s="166">
        <v>1155.67</v>
      </c>
      <c r="F167" s="94">
        <f t="shared" si="27"/>
        <v>26580.41</v>
      </c>
      <c r="G167" s="94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66">
        <v>1456.66</v>
      </c>
      <c r="F168" s="94">
        <f t="shared" si="27"/>
        <v>4369.9799999999996</v>
      </c>
      <c r="G168" s="94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829</v>
      </c>
      <c r="C169" s="66" t="s">
        <v>193</v>
      </c>
      <c r="D169" s="72">
        <v>23</v>
      </c>
      <c r="E169" s="166">
        <v>856.54</v>
      </c>
      <c r="F169" s="94">
        <f t="shared" si="27"/>
        <v>19700.419999999998</v>
      </c>
      <c r="G169" s="94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867</v>
      </c>
      <c r="C170" s="66" t="s">
        <v>193</v>
      </c>
      <c r="D170" s="71">
        <v>138</v>
      </c>
      <c r="E170" s="166">
        <v>9.73</v>
      </c>
      <c r="F170" s="94">
        <f t="shared" si="27"/>
        <v>1342.74</v>
      </c>
      <c r="G170" s="94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66">
        <v>197.58</v>
      </c>
      <c r="F171" s="94">
        <f t="shared" si="27"/>
        <v>27266.04</v>
      </c>
      <c r="G171" s="94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868</v>
      </c>
      <c r="C172" s="66" t="s">
        <v>193</v>
      </c>
      <c r="D172" s="71">
        <v>7</v>
      </c>
      <c r="E172" s="166">
        <v>856.54</v>
      </c>
      <c r="F172" s="94">
        <f t="shared" si="27"/>
        <v>5995.78</v>
      </c>
      <c r="G172" s="94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869</v>
      </c>
      <c r="C173" s="66" t="s">
        <v>239</v>
      </c>
      <c r="D173" s="72">
        <v>59.2</v>
      </c>
      <c r="E173" s="166">
        <v>67.760000000000005</v>
      </c>
      <c r="F173" s="94">
        <f t="shared" si="27"/>
        <v>4011.39</v>
      </c>
      <c r="G173" s="94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831</v>
      </c>
      <c r="C174" s="66" t="s">
        <v>239</v>
      </c>
      <c r="D174" s="72">
        <v>59.2</v>
      </c>
      <c r="E174" s="166">
        <v>312.27999999999997</v>
      </c>
      <c r="F174" s="94">
        <f t="shared" si="27"/>
        <v>18486.98</v>
      </c>
      <c r="G174" s="94">
        <f t="shared" si="28"/>
        <v>22184.38</v>
      </c>
      <c r="H174">
        <v>3460</v>
      </c>
      <c r="I174" s="202" t="s">
        <v>918</v>
      </c>
    </row>
    <row r="175" spans="1:9" ht="26.25" customHeight="1" x14ac:dyDescent="0.3">
      <c r="A175" s="66"/>
      <c r="B175" s="62" t="s">
        <v>523</v>
      </c>
      <c r="C175" s="66"/>
      <c r="D175" s="71"/>
      <c r="E175" s="166"/>
      <c r="F175" s="94"/>
      <c r="G175" s="94"/>
    </row>
    <row r="176" spans="1:9" ht="27.6" x14ac:dyDescent="0.3">
      <c r="A176" s="66">
        <f>A174+1</f>
        <v>144</v>
      </c>
      <c r="B176" s="67" t="s">
        <v>896</v>
      </c>
      <c r="C176" s="66" t="s">
        <v>194</v>
      </c>
      <c r="D176" s="71">
        <v>31</v>
      </c>
      <c r="E176" s="166">
        <v>2864.48</v>
      </c>
      <c r="F176" s="94">
        <f t="shared" si="27"/>
        <v>88798.88</v>
      </c>
      <c r="G176" s="94">
        <f t="shared" si="28"/>
        <v>106558.66</v>
      </c>
    </row>
    <row r="177" spans="1:8" ht="41.4" x14ac:dyDescent="0.3">
      <c r="A177" s="66">
        <f>A176+1</f>
        <v>145</v>
      </c>
      <c r="B177" s="67" t="s">
        <v>897</v>
      </c>
      <c r="C177" s="66" t="s">
        <v>194</v>
      </c>
      <c r="D177" s="71">
        <v>6</v>
      </c>
      <c r="E177" s="166">
        <v>4021.61</v>
      </c>
      <c r="F177" s="94">
        <f t="shared" si="27"/>
        <v>24129.66</v>
      </c>
      <c r="G177" s="94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898</v>
      </c>
      <c r="C178" s="66" t="s">
        <v>220</v>
      </c>
      <c r="D178" s="71">
        <v>2</v>
      </c>
      <c r="E178" s="166">
        <v>5203.95</v>
      </c>
      <c r="F178" s="94">
        <f t="shared" si="27"/>
        <v>10407.9</v>
      </c>
      <c r="G178" s="94">
        <f t="shared" si="28"/>
        <v>12489.48</v>
      </c>
    </row>
    <row r="179" spans="1:8" ht="41.4" x14ac:dyDescent="0.3">
      <c r="A179" s="66">
        <f t="shared" si="30"/>
        <v>147</v>
      </c>
      <c r="B179" s="67" t="s">
        <v>899</v>
      </c>
      <c r="C179" s="66" t="s">
        <v>220</v>
      </c>
      <c r="D179" s="71">
        <v>2</v>
      </c>
      <c r="E179" s="166">
        <v>12511.09</v>
      </c>
      <c r="F179" s="94">
        <f t="shared" si="27"/>
        <v>25022.18</v>
      </c>
      <c r="G179" s="94">
        <f t="shared" si="28"/>
        <v>30026.62</v>
      </c>
    </row>
    <row r="180" spans="1:8" ht="27.6" x14ac:dyDescent="0.3">
      <c r="A180" s="66">
        <f t="shared" si="30"/>
        <v>148</v>
      </c>
      <c r="B180" s="67" t="s">
        <v>845</v>
      </c>
      <c r="C180" s="66" t="s">
        <v>220</v>
      </c>
      <c r="D180" s="72">
        <v>1</v>
      </c>
      <c r="E180" s="166">
        <v>9227.06</v>
      </c>
      <c r="F180" s="94">
        <f t="shared" si="27"/>
        <v>9227.06</v>
      </c>
      <c r="G180" s="94">
        <f t="shared" si="28"/>
        <v>11072.47</v>
      </c>
    </row>
    <row r="181" spans="1:8" ht="27.6" x14ac:dyDescent="0.3">
      <c r="A181" s="66">
        <f t="shared" si="30"/>
        <v>149</v>
      </c>
      <c r="B181" s="67" t="s">
        <v>846</v>
      </c>
      <c r="C181" s="66" t="s">
        <v>920</v>
      </c>
      <c r="D181" s="71">
        <v>1</v>
      </c>
      <c r="E181" s="166">
        <v>70121.429999999993</v>
      </c>
      <c r="F181" s="94">
        <f t="shared" si="27"/>
        <v>70121.429999999993</v>
      </c>
      <c r="G181" s="94">
        <f t="shared" si="28"/>
        <v>84145.72</v>
      </c>
    </row>
    <row r="182" spans="1:8" ht="21.75" customHeight="1" x14ac:dyDescent="0.3">
      <c r="A182" s="66"/>
      <c r="B182" s="62" t="s">
        <v>852</v>
      </c>
      <c r="C182" s="66"/>
      <c r="D182" s="71"/>
      <c r="E182" s="166"/>
      <c r="F182" s="94"/>
      <c r="G182" s="94"/>
    </row>
    <row r="183" spans="1:8" ht="15.6" x14ac:dyDescent="0.3">
      <c r="A183" s="66">
        <f>A181+1</f>
        <v>150</v>
      </c>
      <c r="B183" s="67" t="s">
        <v>900</v>
      </c>
      <c r="C183" s="66" t="s">
        <v>194</v>
      </c>
      <c r="D183" s="71">
        <v>31</v>
      </c>
      <c r="E183" s="166">
        <v>1334.42</v>
      </c>
      <c r="F183" s="94">
        <f t="shared" si="27"/>
        <v>41367.019999999997</v>
      </c>
      <c r="G183" s="94">
        <f t="shared" si="28"/>
        <v>49640.42</v>
      </c>
    </row>
    <row r="184" spans="1:8" ht="15.6" x14ac:dyDescent="0.3">
      <c r="A184" s="66">
        <f>A183+1</f>
        <v>151</v>
      </c>
      <c r="B184" s="67" t="s">
        <v>895</v>
      </c>
      <c r="C184" s="66" t="s">
        <v>239</v>
      </c>
      <c r="D184" s="71">
        <v>14</v>
      </c>
      <c r="E184" s="166">
        <v>436.17</v>
      </c>
      <c r="F184" s="94">
        <f t="shared" si="27"/>
        <v>6106.38</v>
      </c>
      <c r="G184" s="94">
        <f t="shared" si="28"/>
        <v>7327.66</v>
      </c>
    </row>
    <row r="185" spans="1:8" ht="15.6" x14ac:dyDescent="0.3">
      <c r="A185" s="66">
        <f>A184+1</f>
        <v>152</v>
      </c>
      <c r="B185" s="67" t="s">
        <v>886</v>
      </c>
      <c r="C185" s="66" t="s">
        <v>239</v>
      </c>
      <c r="D185" s="71">
        <v>14</v>
      </c>
      <c r="E185" s="166">
        <v>312.27999999999997</v>
      </c>
      <c r="F185" s="94">
        <f t="shared" si="27"/>
        <v>4371.92</v>
      </c>
      <c r="G185" s="94">
        <f t="shared" si="28"/>
        <v>5246.3</v>
      </c>
    </row>
    <row r="186" spans="1:8" ht="29.25" customHeight="1" x14ac:dyDescent="0.3">
      <c r="A186" s="149"/>
      <c r="B186" s="955" t="s">
        <v>740</v>
      </c>
      <c r="C186" s="956"/>
      <c r="D186" s="986"/>
      <c r="E186" s="150"/>
      <c r="F186" s="151"/>
      <c r="G186" s="163"/>
    </row>
    <row r="187" spans="1:8" x14ac:dyDescent="0.3">
      <c r="A187" s="66"/>
      <c r="B187" s="62" t="s">
        <v>513</v>
      </c>
      <c r="C187" s="66"/>
      <c r="D187" s="71"/>
      <c r="E187" s="160"/>
      <c r="F187" s="156"/>
      <c r="G187" s="164"/>
    </row>
    <row r="188" spans="1:8" ht="27.6" x14ac:dyDescent="0.3">
      <c r="A188" s="66">
        <f>A185+1</f>
        <v>153</v>
      </c>
      <c r="B188" s="67" t="s">
        <v>826</v>
      </c>
      <c r="C188" s="66" t="s">
        <v>193</v>
      </c>
      <c r="D188" s="71">
        <v>595</v>
      </c>
      <c r="E188" s="166">
        <v>90.47</v>
      </c>
      <c r="F188" s="94">
        <f t="shared" ref="F188:F208" si="31">ROUND(E188*D188,2)</f>
        <v>53829.65</v>
      </c>
      <c r="G188" s="94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827</v>
      </c>
      <c r="C189" s="66" t="s">
        <v>193</v>
      </c>
      <c r="D189" s="71">
        <v>18</v>
      </c>
      <c r="E189" s="166">
        <v>1860.11</v>
      </c>
      <c r="F189" s="94">
        <f t="shared" si="31"/>
        <v>33481.980000000003</v>
      </c>
      <c r="G189" s="94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828</v>
      </c>
      <c r="C190" s="66" t="s">
        <v>193</v>
      </c>
      <c r="D190" s="71">
        <v>13</v>
      </c>
      <c r="E190" s="166">
        <v>1155.67</v>
      </c>
      <c r="F190" s="94">
        <f t="shared" si="31"/>
        <v>15023.71</v>
      </c>
      <c r="G190" s="94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66">
        <v>1456.66</v>
      </c>
      <c r="F191" s="94">
        <f t="shared" si="31"/>
        <v>2913.32</v>
      </c>
      <c r="G191" s="94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829</v>
      </c>
      <c r="C192" s="66" t="s">
        <v>193</v>
      </c>
      <c r="D192" s="71">
        <v>13</v>
      </c>
      <c r="E192" s="166">
        <v>856.54</v>
      </c>
      <c r="F192" s="94">
        <f t="shared" si="31"/>
        <v>11135.02</v>
      </c>
      <c r="G192" s="94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867</v>
      </c>
      <c r="C193" s="66" t="s">
        <v>193</v>
      </c>
      <c r="D193" s="72">
        <v>560.5</v>
      </c>
      <c r="E193" s="166">
        <v>9.73</v>
      </c>
      <c r="F193" s="94">
        <f t="shared" si="31"/>
        <v>5453.67</v>
      </c>
      <c r="G193" s="94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66">
        <v>197.58</v>
      </c>
      <c r="F194" s="94">
        <f t="shared" si="31"/>
        <v>110743.59</v>
      </c>
      <c r="G194" s="94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868</v>
      </c>
      <c r="C195" s="66" t="s">
        <v>193</v>
      </c>
      <c r="D195" s="72">
        <v>29.5</v>
      </c>
      <c r="E195" s="166">
        <v>856.54</v>
      </c>
      <c r="F195" s="94">
        <f t="shared" si="31"/>
        <v>25267.93</v>
      </c>
      <c r="G195" s="94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869</v>
      </c>
      <c r="C196" s="66" t="s">
        <v>239</v>
      </c>
      <c r="D196" s="72">
        <v>36.799999999999997</v>
      </c>
      <c r="E196" s="166">
        <v>67.760000000000005</v>
      </c>
      <c r="F196" s="94">
        <f t="shared" si="31"/>
        <v>2493.5700000000002</v>
      </c>
      <c r="G196" s="94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831</v>
      </c>
      <c r="C197" s="66" t="s">
        <v>239</v>
      </c>
      <c r="D197" s="72">
        <v>36.799999999999997</v>
      </c>
      <c r="E197" s="166">
        <v>312.27999999999997</v>
      </c>
      <c r="F197" s="94">
        <f t="shared" si="31"/>
        <v>11491.9</v>
      </c>
      <c r="G197" s="94">
        <f t="shared" si="33"/>
        <v>13790.28</v>
      </c>
      <c r="H197">
        <v>3460</v>
      </c>
      <c r="I197" s="202" t="s">
        <v>918</v>
      </c>
    </row>
    <row r="198" spans="1:9" ht="23.25" customHeight="1" x14ac:dyDescent="0.3">
      <c r="A198" s="66"/>
      <c r="B198" s="62" t="s">
        <v>523</v>
      </c>
      <c r="C198" s="66"/>
      <c r="D198" s="68"/>
      <c r="E198" s="166"/>
      <c r="F198" s="94"/>
      <c r="G198" s="94"/>
    </row>
    <row r="199" spans="1:9" ht="27.6" x14ac:dyDescent="0.3">
      <c r="A199" s="66">
        <f>A197+1</f>
        <v>163</v>
      </c>
      <c r="B199" s="67" t="s">
        <v>896</v>
      </c>
      <c r="C199" s="66" t="s">
        <v>194</v>
      </c>
      <c r="D199" s="71">
        <v>21</v>
      </c>
      <c r="E199" s="166">
        <v>2864.48</v>
      </c>
      <c r="F199" s="94">
        <f t="shared" si="31"/>
        <v>60154.080000000002</v>
      </c>
      <c r="G199" s="94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897</v>
      </c>
      <c r="C200" s="66" t="s">
        <v>194</v>
      </c>
      <c r="D200" s="71">
        <v>6</v>
      </c>
      <c r="E200" s="166">
        <v>4021.61</v>
      </c>
      <c r="F200" s="94">
        <f t="shared" si="31"/>
        <v>24129.66</v>
      </c>
      <c r="G200" s="94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898</v>
      </c>
      <c r="C201" s="66" t="s">
        <v>220</v>
      </c>
      <c r="D201" s="71">
        <v>2</v>
      </c>
      <c r="E201" s="166">
        <v>5203.95</v>
      </c>
      <c r="F201" s="94">
        <f t="shared" si="31"/>
        <v>10407.9</v>
      </c>
      <c r="G201" s="94">
        <f t="shared" si="35"/>
        <v>12489.48</v>
      </c>
    </row>
    <row r="202" spans="1:9" ht="41.4" x14ac:dyDescent="0.3">
      <c r="A202" s="66">
        <f t="shared" si="36"/>
        <v>166</v>
      </c>
      <c r="B202" s="67" t="s">
        <v>899</v>
      </c>
      <c r="C202" s="66" t="s">
        <v>220</v>
      </c>
      <c r="D202" s="71">
        <v>2</v>
      </c>
      <c r="E202" s="166">
        <v>12511.09</v>
      </c>
      <c r="F202" s="94">
        <f t="shared" si="31"/>
        <v>25022.18</v>
      </c>
      <c r="G202" s="94">
        <f t="shared" si="35"/>
        <v>30026.62</v>
      </c>
    </row>
    <row r="203" spans="1:9" ht="27.6" x14ac:dyDescent="0.3">
      <c r="A203" s="66">
        <f t="shared" si="36"/>
        <v>167</v>
      </c>
      <c r="B203" s="67" t="s">
        <v>845</v>
      </c>
      <c r="C203" s="66" t="s">
        <v>220</v>
      </c>
      <c r="D203" s="71">
        <v>1</v>
      </c>
      <c r="E203" s="166">
        <v>9227.06</v>
      </c>
      <c r="F203" s="94">
        <f t="shared" si="31"/>
        <v>9227.06</v>
      </c>
      <c r="G203" s="94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846</v>
      </c>
      <c r="C204" s="66" t="s">
        <v>920</v>
      </c>
      <c r="D204" s="71">
        <v>1</v>
      </c>
      <c r="E204" s="166">
        <v>70121.429999999993</v>
      </c>
      <c r="F204" s="94">
        <f t="shared" si="31"/>
        <v>70121.429999999993</v>
      </c>
      <c r="G204" s="94">
        <f t="shared" si="35"/>
        <v>84145.72</v>
      </c>
    </row>
    <row r="205" spans="1:9" ht="23.25" customHeight="1" x14ac:dyDescent="0.3">
      <c r="A205" s="66"/>
      <c r="B205" s="62" t="s">
        <v>852</v>
      </c>
      <c r="C205" s="66"/>
      <c r="D205" s="71"/>
      <c r="E205" s="166"/>
      <c r="F205" s="94"/>
      <c r="G205" s="94"/>
    </row>
    <row r="206" spans="1:9" ht="19.5" customHeight="1" x14ac:dyDescent="0.3">
      <c r="A206" s="66">
        <f>A204+1</f>
        <v>169</v>
      </c>
      <c r="B206" s="67" t="s">
        <v>900</v>
      </c>
      <c r="C206" s="66" t="s">
        <v>194</v>
      </c>
      <c r="D206" s="71">
        <v>21</v>
      </c>
      <c r="E206" s="166">
        <v>1334.42</v>
      </c>
      <c r="F206" s="94">
        <f t="shared" si="31"/>
        <v>28022.82</v>
      </c>
      <c r="G206" s="94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895</v>
      </c>
      <c r="C207" s="66" t="s">
        <v>239</v>
      </c>
      <c r="D207" s="71">
        <v>8</v>
      </c>
      <c r="E207" s="166">
        <v>436.17</v>
      </c>
      <c r="F207" s="94">
        <f t="shared" si="31"/>
        <v>3489.36</v>
      </c>
      <c r="G207" s="94">
        <f t="shared" si="35"/>
        <v>4187.2299999999996</v>
      </c>
    </row>
    <row r="208" spans="1:9" ht="15.6" x14ac:dyDescent="0.3">
      <c r="A208" s="66">
        <f>A207+1</f>
        <v>171</v>
      </c>
      <c r="B208" s="67" t="s">
        <v>886</v>
      </c>
      <c r="C208" s="66" t="s">
        <v>239</v>
      </c>
      <c r="D208" s="71">
        <v>8</v>
      </c>
      <c r="E208" s="166">
        <v>312.27999999999997</v>
      </c>
      <c r="F208" s="94">
        <f t="shared" si="31"/>
        <v>2498.2399999999998</v>
      </c>
      <c r="G208" s="94">
        <f t="shared" si="35"/>
        <v>2997.89</v>
      </c>
    </row>
    <row r="209" spans="1:9" ht="29.25" customHeight="1" x14ac:dyDescent="0.3">
      <c r="A209" s="149"/>
      <c r="B209" s="955" t="s">
        <v>741</v>
      </c>
      <c r="C209" s="956"/>
      <c r="D209" s="986"/>
      <c r="E209" s="150"/>
      <c r="F209" s="151"/>
      <c r="G209" s="163"/>
    </row>
    <row r="210" spans="1:9" x14ac:dyDescent="0.3">
      <c r="A210" s="66"/>
      <c r="B210" s="62" t="s">
        <v>513</v>
      </c>
      <c r="C210" s="66"/>
      <c r="D210" s="68"/>
      <c r="E210" s="160"/>
      <c r="F210" s="156"/>
      <c r="G210" s="164"/>
    </row>
    <row r="211" spans="1:9" ht="27.6" x14ac:dyDescent="0.3">
      <c r="A211" s="66">
        <f>A208+1</f>
        <v>172</v>
      </c>
      <c r="B211" s="67" t="s">
        <v>826</v>
      </c>
      <c r="C211" s="66" t="s">
        <v>193</v>
      </c>
      <c r="D211" s="71">
        <v>1779</v>
      </c>
      <c r="E211" s="166">
        <v>90.47</v>
      </c>
      <c r="F211" s="94">
        <f t="shared" ref="F211:F231" si="37">ROUND(E211*D211,2)</f>
        <v>160946.13</v>
      </c>
      <c r="G211" s="94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827</v>
      </c>
      <c r="C212" s="66" t="s">
        <v>193</v>
      </c>
      <c r="D212" s="71">
        <v>53</v>
      </c>
      <c r="E212" s="166">
        <v>1860.11</v>
      </c>
      <c r="F212" s="94">
        <f t="shared" si="37"/>
        <v>98585.83</v>
      </c>
      <c r="G212" s="94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828</v>
      </c>
      <c r="C213" s="66" t="s">
        <v>193</v>
      </c>
      <c r="D213" s="71">
        <v>40</v>
      </c>
      <c r="E213" s="166">
        <v>1155.67</v>
      </c>
      <c r="F213" s="94">
        <f t="shared" si="37"/>
        <v>46226.8</v>
      </c>
      <c r="G213" s="94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66">
        <v>1456.65</v>
      </c>
      <c r="F214" s="94">
        <f t="shared" si="37"/>
        <v>8739.9</v>
      </c>
      <c r="G214" s="94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829</v>
      </c>
      <c r="C215" s="66" t="s">
        <v>193</v>
      </c>
      <c r="D215" s="71">
        <v>40</v>
      </c>
      <c r="E215" s="166">
        <v>856.54</v>
      </c>
      <c r="F215" s="94">
        <f t="shared" si="37"/>
        <v>34261.599999999999</v>
      </c>
      <c r="G215" s="94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867</v>
      </c>
      <c r="C216" s="66" t="s">
        <v>193</v>
      </c>
      <c r="D216" s="72">
        <v>1681.5</v>
      </c>
      <c r="E216" s="166">
        <v>9.73</v>
      </c>
      <c r="F216" s="94">
        <f t="shared" si="37"/>
        <v>16361</v>
      </c>
      <c r="G216" s="94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66">
        <v>197.58</v>
      </c>
      <c r="F217" s="94">
        <f t="shared" si="37"/>
        <v>332230.77</v>
      </c>
      <c r="G217" s="94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868</v>
      </c>
      <c r="C218" s="66" t="s">
        <v>193</v>
      </c>
      <c r="D218" s="68">
        <v>88.5</v>
      </c>
      <c r="E218" s="166">
        <v>856.54</v>
      </c>
      <c r="F218" s="94">
        <f t="shared" si="37"/>
        <v>75803.789999999994</v>
      </c>
      <c r="G218" s="94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869</v>
      </c>
      <c r="C219" s="66" t="s">
        <v>239</v>
      </c>
      <c r="D219" s="72">
        <v>99.2</v>
      </c>
      <c r="E219" s="166">
        <v>67.760000000000005</v>
      </c>
      <c r="F219" s="94">
        <f t="shared" si="37"/>
        <v>6721.79</v>
      </c>
      <c r="G219" s="94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831</v>
      </c>
      <c r="C220" s="66" t="s">
        <v>239</v>
      </c>
      <c r="D220" s="72">
        <v>99.2</v>
      </c>
      <c r="E220" s="166">
        <v>312.27999999999997</v>
      </c>
      <c r="F220" s="94">
        <f t="shared" si="37"/>
        <v>30978.18</v>
      </c>
      <c r="G220" s="94">
        <f t="shared" si="38"/>
        <v>37173.82</v>
      </c>
      <c r="H220">
        <v>3460</v>
      </c>
      <c r="I220" s="202" t="s">
        <v>918</v>
      </c>
    </row>
    <row r="221" spans="1:9" ht="15.6" x14ac:dyDescent="0.3">
      <c r="A221" s="66"/>
      <c r="B221" s="62" t="s">
        <v>523</v>
      </c>
      <c r="C221" s="66"/>
      <c r="D221" s="68"/>
      <c r="E221" s="166"/>
      <c r="F221" s="94"/>
      <c r="G221" s="94"/>
    </row>
    <row r="222" spans="1:9" ht="27.6" x14ac:dyDescent="0.3">
      <c r="A222" s="66">
        <f>A220+1</f>
        <v>182</v>
      </c>
      <c r="B222" s="67" t="s">
        <v>896</v>
      </c>
      <c r="C222" s="66" t="s">
        <v>194</v>
      </c>
      <c r="D222" s="71">
        <v>49</v>
      </c>
      <c r="E222" s="166">
        <v>2864.48</v>
      </c>
      <c r="F222" s="94">
        <f t="shared" si="37"/>
        <v>140359.51999999999</v>
      </c>
      <c r="G222" s="94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897</v>
      </c>
      <c r="C223" s="66" t="s">
        <v>194</v>
      </c>
      <c r="D223" s="71">
        <v>6</v>
      </c>
      <c r="E223" s="166">
        <v>4021.61</v>
      </c>
      <c r="F223" s="94">
        <f t="shared" si="37"/>
        <v>24129.66</v>
      </c>
      <c r="G223" s="94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898</v>
      </c>
      <c r="C224" s="66" t="s">
        <v>220</v>
      </c>
      <c r="D224" s="71">
        <v>2</v>
      </c>
      <c r="E224" s="166">
        <v>5203.95</v>
      </c>
      <c r="F224" s="94">
        <f t="shared" si="37"/>
        <v>10407.9</v>
      </c>
      <c r="G224" s="94">
        <f t="shared" si="41"/>
        <v>12489.48</v>
      </c>
    </row>
    <row r="225" spans="1:9" ht="41.4" x14ac:dyDescent="0.3">
      <c r="A225" s="66">
        <f t="shared" si="42"/>
        <v>185</v>
      </c>
      <c r="B225" s="67" t="s">
        <v>899</v>
      </c>
      <c r="C225" s="66" t="s">
        <v>220</v>
      </c>
      <c r="D225" s="71">
        <v>2</v>
      </c>
      <c r="E225" s="166">
        <v>12511.09</v>
      </c>
      <c r="F225" s="94">
        <f t="shared" si="37"/>
        <v>25022.18</v>
      </c>
      <c r="G225" s="94">
        <f t="shared" si="41"/>
        <v>30026.62</v>
      </c>
    </row>
    <row r="226" spans="1:9" ht="27.6" x14ac:dyDescent="0.3">
      <c r="A226" s="66">
        <f t="shared" si="42"/>
        <v>186</v>
      </c>
      <c r="B226" s="67" t="s">
        <v>845</v>
      </c>
      <c r="C226" s="66" t="s">
        <v>220</v>
      </c>
      <c r="D226" s="71">
        <v>1</v>
      </c>
      <c r="E226" s="166">
        <v>9227.06</v>
      </c>
      <c r="F226" s="94">
        <f t="shared" si="37"/>
        <v>9227.06</v>
      </c>
      <c r="G226" s="94">
        <f t="shared" si="41"/>
        <v>11072.47</v>
      </c>
    </row>
    <row r="227" spans="1:9" ht="27.6" x14ac:dyDescent="0.3">
      <c r="A227" s="66">
        <f t="shared" si="42"/>
        <v>187</v>
      </c>
      <c r="B227" s="67" t="s">
        <v>846</v>
      </c>
      <c r="C227" s="66" t="s">
        <v>920</v>
      </c>
      <c r="D227" s="71">
        <v>1</v>
      </c>
      <c r="E227" s="166">
        <v>70121.429999999993</v>
      </c>
      <c r="F227" s="94">
        <f t="shared" si="37"/>
        <v>70121.429999999993</v>
      </c>
      <c r="G227" s="94">
        <f t="shared" si="41"/>
        <v>84145.72</v>
      </c>
    </row>
    <row r="228" spans="1:9" ht="15.6" x14ac:dyDescent="0.3">
      <c r="A228" s="66"/>
      <c r="B228" s="62" t="s">
        <v>852</v>
      </c>
      <c r="C228" s="66"/>
      <c r="D228" s="68"/>
      <c r="E228" s="166"/>
      <c r="F228" s="94"/>
      <c r="G228" s="94"/>
    </row>
    <row r="229" spans="1:9" ht="15.6" x14ac:dyDescent="0.3">
      <c r="A229" s="66">
        <f>A227+1</f>
        <v>188</v>
      </c>
      <c r="B229" s="67" t="s">
        <v>900</v>
      </c>
      <c r="C229" s="66" t="s">
        <v>194</v>
      </c>
      <c r="D229" s="71">
        <v>49</v>
      </c>
      <c r="E229" s="166">
        <v>1334.42</v>
      </c>
      <c r="F229" s="94">
        <f t="shared" si="37"/>
        <v>65386.58</v>
      </c>
      <c r="G229" s="94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895</v>
      </c>
      <c r="C230" s="66" t="s">
        <v>239</v>
      </c>
      <c r="D230" s="72">
        <v>18.7</v>
      </c>
      <c r="E230" s="166">
        <v>412.84</v>
      </c>
      <c r="F230" s="94">
        <f t="shared" si="37"/>
        <v>7720.11</v>
      </c>
      <c r="G230" s="94">
        <f t="shared" si="43"/>
        <v>9264.1299999999992</v>
      </c>
    </row>
    <row r="231" spans="1:9" ht="15.6" x14ac:dyDescent="0.3">
      <c r="A231" s="66">
        <f>A230+1</f>
        <v>190</v>
      </c>
      <c r="B231" s="67" t="s">
        <v>886</v>
      </c>
      <c r="C231" s="66" t="s">
        <v>239</v>
      </c>
      <c r="D231" s="72">
        <v>18.7</v>
      </c>
      <c r="E231" s="166">
        <v>312.27999999999997</v>
      </c>
      <c r="F231" s="94">
        <f t="shared" si="37"/>
        <v>5839.64</v>
      </c>
      <c r="G231" s="94">
        <f t="shared" si="43"/>
        <v>7007.57</v>
      </c>
    </row>
    <row r="232" spans="1:9" ht="23.25" customHeight="1" x14ac:dyDescent="0.3">
      <c r="A232" s="149"/>
      <c r="B232" s="955" t="s">
        <v>742</v>
      </c>
      <c r="C232" s="956"/>
      <c r="D232" s="986"/>
      <c r="E232" s="150"/>
      <c r="F232" s="151"/>
      <c r="G232" s="163"/>
    </row>
    <row r="233" spans="1:9" ht="22.5" customHeight="1" x14ac:dyDescent="0.3">
      <c r="A233" s="66"/>
      <c r="B233" s="62" t="s">
        <v>513</v>
      </c>
      <c r="C233" s="66"/>
      <c r="D233" s="68"/>
      <c r="E233" s="160"/>
      <c r="F233" s="156"/>
      <c r="G233" s="164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66">
        <v>1550.1</v>
      </c>
      <c r="F234" s="94">
        <f t="shared" ref="F234:F237" si="44">ROUND(E234*D234,2)</f>
        <v>16741.080000000002</v>
      </c>
      <c r="G234" s="94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901</v>
      </c>
      <c r="C235" s="66" t="s">
        <v>193</v>
      </c>
      <c r="D235" s="72">
        <v>6.7</v>
      </c>
      <c r="E235" s="166">
        <v>856.54</v>
      </c>
      <c r="F235" s="94">
        <f t="shared" si="44"/>
        <v>5738.82</v>
      </c>
      <c r="G235" s="94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902</v>
      </c>
      <c r="C236" s="66" t="s">
        <v>193</v>
      </c>
      <c r="D236" s="72">
        <v>4.0999999999999996</v>
      </c>
      <c r="E236" s="166">
        <v>518.38</v>
      </c>
      <c r="F236" s="94">
        <f t="shared" si="44"/>
        <v>2125.36</v>
      </c>
      <c r="G236" s="94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903</v>
      </c>
      <c r="C237" s="66" t="s">
        <v>239</v>
      </c>
      <c r="D237" s="68">
        <v>7.18</v>
      </c>
      <c r="E237" s="166">
        <v>312.27999999999997</v>
      </c>
      <c r="F237" s="94">
        <f t="shared" si="44"/>
        <v>2242.17</v>
      </c>
      <c r="G237" s="94">
        <f t="shared" si="45"/>
        <v>2690.6</v>
      </c>
      <c r="H237">
        <v>3460</v>
      </c>
      <c r="I237" s="202" t="s">
        <v>918</v>
      </c>
    </row>
    <row r="238" spans="1:9" ht="18.75" customHeight="1" x14ac:dyDescent="0.3">
      <c r="A238" s="66"/>
      <c r="B238" s="62" t="s">
        <v>904</v>
      </c>
      <c r="C238" s="66"/>
      <c r="D238" s="71"/>
      <c r="E238" s="166"/>
      <c r="F238" s="94"/>
      <c r="G238" s="94"/>
    </row>
    <row r="239" spans="1:9" ht="15.6" x14ac:dyDescent="0.3">
      <c r="A239" s="66">
        <f>A237+1</f>
        <v>195</v>
      </c>
      <c r="B239" s="67" t="s">
        <v>631</v>
      </c>
      <c r="C239" s="66" t="s">
        <v>194</v>
      </c>
      <c r="D239" s="71">
        <v>40</v>
      </c>
      <c r="E239" s="166">
        <v>162.32</v>
      </c>
      <c r="F239" s="94">
        <f t="shared" ref="F239:F245" si="47">ROUND(E239*D239,2)</f>
        <v>6492.8</v>
      </c>
      <c r="G239" s="94">
        <f t="shared" si="45"/>
        <v>7791.36</v>
      </c>
    </row>
    <row r="240" spans="1:9" ht="15.6" x14ac:dyDescent="0.3">
      <c r="A240" s="66">
        <f>A239+1</f>
        <v>196</v>
      </c>
      <c r="B240" s="67" t="s">
        <v>905</v>
      </c>
      <c r="C240" s="66" t="s">
        <v>220</v>
      </c>
      <c r="D240" s="71">
        <v>2</v>
      </c>
      <c r="E240" s="166">
        <v>1976.06</v>
      </c>
      <c r="F240" s="94">
        <f t="shared" si="47"/>
        <v>3952.12</v>
      </c>
      <c r="G240" s="94">
        <f t="shared" si="45"/>
        <v>4742.54</v>
      </c>
    </row>
    <row r="241" spans="1:8" ht="15.6" x14ac:dyDescent="0.3">
      <c r="A241" s="66">
        <f>A240+1</f>
        <v>197</v>
      </c>
      <c r="B241" s="67" t="s">
        <v>906</v>
      </c>
      <c r="C241" s="66" t="s">
        <v>194</v>
      </c>
      <c r="D241" s="71">
        <f>60+180</f>
        <v>240</v>
      </c>
      <c r="E241" s="166">
        <v>64.27</v>
      </c>
      <c r="F241" s="94">
        <f t="shared" si="47"/>
        <v>15424.8</v>
      </c>
      <c r="G241" s="94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907</v>
      </c>
      <c r="C242" s="66" t="s">
        <v>194</v>
      </c>
      <c r="D242" s="71">
        <v>240</v>
      </c>
      <c r="E242" s="166">
        <v>151.6</v>
      </c>
      <c r="F242" s="94">
        <f t="shared" si="47"/>
        <v>36384</v>
      </c>
      <c r="G242" s="94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908</v>
      </c>
      <c r="C243" s="66" t="s">
        <v>194</v>
      </c>
      <c r="D243" s="71">
        <v>40</v>
      </c>
      <c r="E243" s="166">
        <v>327.23</v>
      </c>
      <c r="F243" s="94">
        <f t="shared" si="47"/>
        <v>13089.2</v>
      </c>
      <c r="G243" s="94">
        <f t="shared" si="45"/>
        <v>15707.04</v>
      </c>
    </row>
    <row r="244" spans="1:8" ht="15.6" x14ac:dyDescent="0.3">
      <c r="A244" s="66">
        <f t="shared" si="48"/>
        <v>200</v>
      </c>
      <c r="B244" s="67" t="s">
        <v>909</v>
      </c>
      <c r="C244" s="66" t="s">
        <v>220</v>
      </c>
      <c r="D244" s="71">
        <v>4</v>
      </c>
      <c r="E244" s="166">
        <v>8752.73</v>
      </c>
      <c r="F244" s="94">
        <f t="shared" si="47"/>
        <v>35010.92</v>
      </c>
      <c r="G244" s="94">
        <f t="shared" si="45"/>
        <v>42013.1</v>
      </c>
    </row>
    <row r="245" spans="1:8" ht="15.6" x14ac:dyDescent="0.3">
      <c r="A245" s="66">
        <f t="shared" si="48"/>
        <v>201</v>
      </c>
      <c r="B245" s="67" t="s">
        <v>910</v>
      </c>
      <c r="C245" s="66" t="s">
        <v>194</v>
      </c>
      <c r="D245" s="71">
        <v>40</v>
      </c>
      <c r="E245" s="166">
        <v>18.45</v>
      </c>
      <c r="F245" s="94">
        <f t="shared" si="47"/>
        <v>738</v>
      </c>
      <c r="G245" s="94">
        <f t="shared" si="45"/>
        <v>885.6</v>
      </c>
    </row>
    <row r="246" spans="1:8" ht="21.75" customHeight="1" x14ac:dyDescent="0.3">
      <c r="A246" s="66"/>
      <c r="B246" s="62" t="s">
        <v>911</v>
      </c>
      <c r="C246" s="66"/>
      <c r="D246" s="68"/>
      <c r="E246" s="166"/>
      <c r="F246" s="94"/>
      <c r="G246" s="94"/>
    </row>
    <row r="247" spans="1:8" ht="27.6" x14ac:dyDescent="0.3">
      <c r="A247" s="66">
        <f>A245+1</f>
        <v>202</v>
      </c>
      <c r="B247" s="67" t="s">
        <v>912</v>
      </c>
      <c r="C247" s="66" t="s">
        <v>921</v>
      </c>
      <c r="D247" s="71">
        <v>4</v>
      </c>
      <c r="E247" s="166">
        <v>6257.28</v>
      </c>
      <c r="F247" s="94">
        <f t="shared" ref="F247:F250" si="49">ROUND(E247*D247,2)</f>
        <v>25029.119999999999</v>
      </c>
      <c r="G247" s="94">
        <f t="shared" si="45"/>
        <v>30034.94</v>
      </c>
    </row>
    <row r="248" spans="1:8" ht="27.6" x14ac:dyDescent="0.3">
      <c r="A248" s="66">
        <f>A247+1</f>
        <v>203</v>
      </c>
      <c r="B248" s="67" t="s">
        <v>913</v>
      </c>
      <c r="C248" s="66" t="s">
        <v>921</v>
      </c>
      <c r="D248" s="71">
        <v>4</v>
      </c>
      <c r="E248" s="166">
        <v>6257.28</v>
      </c>
      <c r="F248" s="94">
        <f t="shared" si="49"/>
        <v>25029.119999999999</v>
      </c>
      <c r="G248" s="94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914</v>
      </c>
      <c r="C249" s="66" t="s">
        <v>921</v>
      </c>
      <c r="D249" s="71">
        <v>4</v>
      </c>
      <c r="E249" s="166">
        <v>6257.28</v>
      </c>
      <c r="F249" s="94">
        <f t="shared" si="49"/>
        <v>25029.119999999999</v>
      </c>
      <c r="G249" s="94">
        <f t="shared" si="45"/>
        <v>30034.94</v>
      </c>
    </row>
    <row r="250" spans="1:8" ht="27.6" x14ac:dyDescent="0.3">
      <c r="A250" s="66">
        <f t="shared" si="50"/>
        <v>205</v>
      </c>
      <c r="B250" s="67" t="s">
        <v>915</v>
      </c>
      <c r="C250" s="66" t="s">
        <v>922</v>
      </c>
      <c r="D250" s="71">
        <v>3</v>
      </c>
      <c r="E250" s="166">
        <v>2329.08</v>
      </c>
      <c r="F250" s="94">
        <f t="shared" si="49"/>
        <v>6987.24</v>
      </c>
      <c r="G250" s="94">
        <f t="shared" si="45"/>
        <v>8384.69</v>
      </c>
    </row>
    <row r="251" spans="1:8" x14ac:dyDescent="0.3">
      <c r="A251" s="162"/>
      <c r="B251" s="951" t="s">
        <v>721</v>
      </c>
      <c r="C251" s="952"/>
      <c r="D251" s="952"/>
      <c r="E251" s="953"/>
      <c r="F251" s="153">
        <f>SUM(F6:F250)</f>
        <v>6681041.8199999994</v>
      </c>
      <c r="G251" s="153">
        <f>SUM(G6:G250)</f>
        <v>8017250.1500000004</v>
      </c>
    </row>
    <row r="252" spans="1:8" x14ac:dyDescent="0.3">
      <c r="A252" s="974" t="s">
        <v>722</v>
      </c>
      <c r="B252" s="975"/>
      <c r="C252" s="975"/>
      <c r="D252" s="975"/>
      <c r="E252" s="976"/>
      <c r="F252" s="204">
        <f>ROUND(F251*0.03,2)</f>
        <v>200431.25</v>
      </c>
      <c r="G252" s="204">
        <f>ROUND(G251*0.03,2)</f>
        <v>240517.5</v>
      </c>
      <c r="H252" s="52"/>
    </row>
    <row r="253" spans="1:8" x14ac:dyDescent="0.3">
      <c r="A253" s="974" t="s">
        <v>723</v>
      </c>
      <c r="B253" s="975"/>
      <c r="C253" s="975"/>
      <c r="D253" s="975"/>
      <c r="E253" s="976"/>
      <c r="F253" s="204">
        <f>F251+F252</f>
        <v>6881473.0699999994</v>
      </c>
      <c r="G253" s="204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884" t="s">
        <v>226</v>
      </c>
      <c r="B1" s="963" t="s">
        <v>201</v>
      </c>
      <c r="C1" s="884" t="s">
        <v>705</v>
      </c>
      <c r="D1" s="884" t="s">
        <v>202</v>
      </c>
      <c r="E1" s="985" t="s">
        <v>703</v>
      </c>
      <c r="F1" s="985"/>
      <c r="G1" s="985"/>
    </row>
    <row r="2" spans="1:7" s="54" customFormat="1" ht="27.6" x14ac:dyDescent="0.3">
      <c r="A2" s="884"/>
      <c r="B2" s="963"/>
      <c r="C2" s="884"/>
      <c r="D2" s="884"/>
      <c r="E2" s="89" t="s">
        <v>704</v>
      </c>
      <c r="F2" s="100" t="s">
        <v>197</v>
      </c>
      <c r="G2" s="100" t="s">
        <v>198</v>
      </c>
    </row>
    <row r="3" spans="1:7" ht="13.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</row>
    <row r="4" spans="1:7" ht="19.5" customHeight="1" x14ac:dyDescent="0.3">
      <c r="A4" s="149"/>
      <c r="B4" s="957" t="s">
        <v>733</v>
      </c>
      <c r="C4" s="958"/>
      <c r="D4" s="959"/>
      <c r="E4" s="151"/>
      <c r="F4" s="152"/>
      <c r="G4" s="121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4">
        <v>1320</v>
      </c>
      <c r="F5" s="94">
        <f>ROUND(E5*D5,2)</f>
        <v>18876</v>
      </c>
      <c r="G5" s="94">
        <f>ROUND(F5*1.2,2)</f>
        <v>22651.200000000001</v>
      </c>
    </row>
    <row r="6" spans="1:7" x14ac:dyDescent="0.3">
      <c r="A6" s="87">
        <f>A5+1</f>
        <v>2</v>
      </c>
      <c r="B6" s="67" t="s">
        <v>743</v>
      </c>
      <c r="C6" s="66" t="s">
        <v>194</v>
      </c>
      <c r="D6" s="71">
        <v>31</v>
      </c>
      <c r="E6" s="94">
        <v>2640</v>
      </c>
      <c r="F6" s="94">
        <f t="shared" ref="F6:F31" si="0">ROUND(E6*D6,2)</f>
        <v>81840</v>
      </c>
      <c r="G6" s="94">
        <f t="shared" ref="G6:G31" si="1">ROUND(F6*1.2,2)</f>
        <v>98208</v>
      </c>
    </row>
    <row r="7" spans="1:7" x14ac:dyDescent="0.3">
      <c r="A7" s="87">
        <f>A6+1</f>
        <v>3</v>
      </c>
      <c r="B7" s="67" t="s">
        <v>744</v>
      </c>
      <c r="C7" s="66" t="s">
        <v>194</v>
      </c>
      <c r="D7" s="71">
        <v>6</v>
      </c>
      <c r="E7" s="94">
        <v>9680</v>
      </c>
      <c r="F7" s="94">
        <f t="shared" si="0"/>
        <v>58080</v>
      </c>
      <c r="G7" s="94">
        <f t="shared" si="1"/>
        <v>69696</v>
      </c>
    </row>
    <row r="8" spans="1:7" x14ac:dyDescent="0.3">
      <c r="A8" s="87">
        <f t="shared" ref="A8:A31" si="2">A7+1</f>
        <v>4</v>
      </c>
      <c r="B8" s="67" t="s">
        <v>745</v>
      </c>
      <c r="C8" s="66" t="s">
        <v>220</v>
      </c>
      <c r="D8" s="71">
        <v>2</v>
      </c>
      <c r="E8" s="94">
        <v>3300</v>
      </c>
      <c r="F8" s="94">
        <f t="shared" si="0"/>
        <v>6600</v>
      </c>
      <c r="G8" s="94">
        <f t="shared" si="1"/>
        <v>7920</v>
      </c>
    </row>
    <row r="9" spans="1:7" x14ac:dyDescent="0.3">
      <c r="A9" s="87">
        <f t="shared" si="2"/>
        <v>5</v>
      </c>
      <c r="B9" s="67" t="s">
        <v>746</v>
      </c>
      <c r="C9" s="66" t="s">
        <v>220</v>
      </c>
      <c r="D9" s="71">
        <v>2</v>
      </c>
      <c r="E9" s="94">
        <v>3410</v>
      </c>
      <c r="F9" s="94">
        <f t="shared" si="0"/>
        <v>6820</v>
      </c>
      <c r="G9" s="94">
        <f t="shared" si="1"/>
        <v>8184</v>
      </c>
    </row>
    <row r="10" spans="1:7" ht="27.6" x14ac:dyDescent="0.3">
      <c r="A10" s="87">
        <f t="shared" si="2"/>
        <v>6</v>
      </c>
      <c r="B10" s="67" t="s">
        <v>747</v>
      </c>
      <c r="C10" s="66" t="s">
        <v>220</v>
      </c>
      <c r="D10" s="71">
        <v>2</v>
      </c>
      <c r="E10" s="94">
        <v>3740</v>
      </c>
      <c r="F10" s="94">
        <f t="shared" si="0"/>
        <v>7480</v>
      </c>
      <c r="G10" s="94">
        <f t="shared" si="1"/>
        <v>8976</v>
      </c>
    </row>
    <row r="11" spans="1:7" x14ac:dyDescent="0.3">
      <c r="A11" s="87">
        <f t="shared" si="2"/>
        <v>7</v>
      </c>
      <c r="B11" s="67" t="s">
        <v>748</v>
      </c>
      <c r="C11" s="66" t="s">
        <v>254</v>
      </c>
      <c r="D11" s="76">
        <v>8.7479999999999993</v>
      </c>
      <c r="E11" s="94">
        <v>127</v>
      </c>
      <c r="F11" s="94">
        <f t="shared" si="0"/>
        <v>1111</v>
      </c>
      <c r="G11" s="94">
        <f t="shared" si="1"/>
        <v>1333.2</v>
      </c>
    </row>
    <row r="12" spans="1:7" x14ac:dyDescent="0.3">
      <c r="A12" s="87">
        <f t="shared" si="2"/>
        <v>8</v>
      </c>
      <c r="B12" s="67" t="s">
        <v>749</v>
      </c>
      <c r="C12" s="66" t="s">
        <v>254</v>
      </c>
      <c r="D12" s="76">
        <v>2.556</v>
      </c>
      <c r="E12" s="94">
        <v>147</v>
      </c>
      <c r="F12" s="94">
        <f t="shared" si="0"/>
        <v>375.73</v>
      </c>
      <c r="G12" s="94">
        <f t="shared" si="1"/>
        <v>450.88</v>
      </c>
    </row>
    <row r="13" spans="1:7" x14ac:dyDescent="0.3">
      <c r="A13" s="87">
        <f t="shared" si="2"/>
        <v>9</v>
      </c>
      <c r="B13" s="67" t="s">
        <v>750</v>
      </c>
      <c r="C13" s="66" t="s">
        <v>254</v>
      </c>
      <c r="D13" s="77">
        <v>1.2347999999999999</v>
      </c>
      <c r="E13" s="94">
        <v>197</v>
      </c>
      <c r="F13" s="94">
        <f t="shared" si="0"/>
        <v>243.26</v>
      </c>
      <c r="G13" s="94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751</v>
      </c>
      <c r="C14" s="66" t="s">
        <v>220</v>
      </c>
      <c r="D14" s="71">
        <v>2</v>
      </c>
      <c r="E14" s="94">
        <v>3699</v>
      </c>
      <c r="F14" s="94">
        <f t="shared" si="0"/>
        <v>7398</v>
      </c>
      <c r="G14" s="94">
        <f t="shared" si="1"/>
        <v>8877.6</v>
      </c>
    </row>
    <row r="15" spans="1:7" x14ac:dyDescent="0.3">
      <c r="A15" s="87">
        <f t="shared" si="2"/>
        <v>11</v>
      </c>
      <c r="B15" s="67" t="s">
        <v>752</v>
      </c>
      <c r="C15" s="66" t="s">
        <v>220</v>
      </c>
      <c r="D15" s="71">
        <v>1</v>
      </c>
      <c r="E15" s="94">
        <v>18150</v>
      </c>
      <c r="F15" s="94">
        <f t="shared" si="0"/>
        <v>18150</v>
      </c>
      <c r="G15" s="94">
        <f t="shared" si="1"/>
        <v>21780</v>
      </c>
    </row>
    <row r="16" spans="1:7" ht="27.6" x14ac:dyDescent="0.3">
      <c r="A16" s="87">
        <f t="shared" si="2"/>
        <v>12</v>
      </c>
      <c r="B16" s="67" t="s">
        <v>753</v>
      </c>
      <c r="C16" s="66" t="s">
        <v>220</v>
      </c>
      <c r="D16" s="71">
        <v>3</v>
      </c>
      <c r="E16" s="94">
        <v>61</v>
      </c>
      <c r="F16" s="94">
        <f t="shared" si="0"/>
        <v>183</v>
      </c>
      <c r="G16" s="94">
        <f t="shared" si="1"/>
        <v>219.6</v>
      </c>
    </row>
    <row r="17" spans="1:8" x14ac:dyDescent="0.3">
      <c r="A17" s="87">
        <f t="shared" si="2"/>
        <v>13</v>
      </c>
      <c r="B17" s="67" t="s">
        <v>754</v>
      </c>
      <c r="C17" s="66" t="s">
        <v>220</v>
      </c>
      <c r="D17" s="71">
        <v>1</v>
      </c>
      <c r="E17" s="94">
        <v>10450</v>
      </c>
      <c r="F17" s="94">
        <f t="shared" si="0"/>
        <v>10450</v>
      </c>
      <c r="G17" s="94">
        <f t="shared" si="1"/>
        <v>12540</v>
      </c>
    </row>
    <row r="18" spans="1:8" x14ac:dyDescent="0.3">
      <c r="A18" s="87">
        <f t="shared" si="2"/>
        <v>14</v>
      </c>
      <c r="B18" s="67" t="s">
        <v>755</v>
      </c>
      <c r="C18" s="66" t="s">
        <v>220</v>
      </c>
      <c r="D18" s="71">
        <v>1</v>
      </c>
      <c r="E18" s="94">
        <v>3410</v>
      </c>
      <c r="F18" s="94">
        <f t="shared" si="0"/>
        <v>3410</v>
      </c>
      <c r="G18" s="94">
        <f t="shared" si="1"/>
        <v>4092</v>
      </c>
    </row>
    <row r="19" spans="1:8" x14ac:dyDescent="0.3">
      <c r="A19" s="87">
        <f t="shared" si="2"/>
        <v>15</v>
      </c>
      <c r="B19" s="67" t="s">
        <v>756</v>
      </c>
      <c r="C19" s="74" t="s">
        <v>193</v>
      </c>
      <c r="D19" s="71">
        <v>1</v>
      </c>
      <c r="E19" s="94">
        <v>3850</v>
      </c>
      <c r="F19" s="94">
        <f t="shared" si="0"/>
        <v>3850</v>
      </c>
      <c r="G19" s="94">
        <f t="shared" si="1"/>
        <v>4620</v>
      </c>
    </row>
    <row r="20" spans="1:8" x14ac:dyDescent="0.3">
      <c r="A20" s="87">
        <f t="shared" si="2"/>
        <v>16</v>
      </c>
      <c r="B20" s="67" t="s">
        <v>757</v>
      </c>
      <c r="C20" s="74" t="s">
        <v>220</v>
      </c>
      <c r="D20" s="82" t="s">
        <v>758</v>
      </c>
      <c r="E20" s="94">
        <v>4565</v>
      </c>
      <c r="F20" s="94">
        <f t="shared" si="0"/>
        <v>4565</v>
      </c>
      <c r="G20" s="94">
        <f t="shared" si="1"/>
        <v>5478</v>
      </c>
    </row>
    <row r="21" spans="1:8" x14ac:dyDescent="0.3">
      <c r="A21" s="87">
        <f t="shared" si="2"/>
        <v>17</v>
      </c>
      <c r="B21" s="67" t="s">
        <v>759</v>
      </c>
      <c r="C21" s="74" t="s">
        <v>220</v>
      </c>
      <c r="D21" s="82" t="s">
        <v>758</v>
      </c>
      <c r="E21" s="94">
        <v>4290</v>
      </c>
      <c r="F21" s="94">
        <f t="shared" si="0"/>
        <v>4290</v>
      </c>
      <c r="G21" s="94">
        <f t="shared" si="1"/>
        <v>5148</v>
      </c>
    </row>
    <row r="22" spans="1:8" x14ac:dyDescent="0.3">
      <c r="A22" s="87">
        <f t="shared" si="2"/>
        <v>18</v>
      </c>
      <c r="B22" s="67" t="s">
        <v>760</v>
      </c>
      <c r="C22" s="74" t="s">
        <v>220</v>
      </c>
      <c r="D22" s="82" t="s">
        <v>761</v>
      </c>
      <c r="E22" s="94">
        <v>5060</v>
      </c>
      <c r="F22" s="94">
        <f t="shared" si="0"/>
        <v>10120</v>
      </c>
      <c r="G22" s="94">
        <f t="shared" si="1"/>
        <v>12144</v>
      </c>
    </row>
    <row r="23" spans="1:8" x14ac:dyDescent="0.3">
      <c r="A23" s="87">
        <f t="shared" si="2"/>
        <v>19</v>
      </c>
      <c r="B23" s="67" t="s">
        <v>762</v>
      </c>
      <c r="C23" s="74" t="s">
        <v>220</v>
      </c>
      <c r="D23" s="82" t="s">
        <v>758</v>
      </c>
      <c r="E23" s="94">
        <v>4070.0000000000005</v>
      </c>
      <c r="F23" s="94">
        <f t="shared" si="0"/>
        <v>4070</v>
      </c>
      <c r="G23" s="94">
        <f t="shared" si="1"/>
        <v>4884</v>
      </c>
    </row>
    <row r="24" spans="1:8" x14ac:dyDescent="0.3">
      <c r="A24" s="87">
        <f t="shared" si="2"/>
        <v>20</v>
      </c>
      <c r="B24" s="67" t="s">
        <v>763</v>
      </c>
      <c r="C24" s="74" t="s">
        <v>220</v>
      </c>
      <c r="D24" s="82" t="s">
        <v>758</v>
      </c>
      <c r="E24" s="94">
        <v>6199</v>
      </c>
      <c r="F24" s="94">
        <f t="shared" si="0"/>
        <v>6199</v>
      </c>
      <c r="G24" s="94">
        <f t="shared" si="1"/>
        <v>7438.8</v>
      </c>
    </row>
    <row r="25" spans="1:8" x14ac:dyDescent="0.3">
      <c r="A25" s="87">
        <f t="shared" si="2"/>
        <v>21</v>
      </c>
      <c r="B25" s="67" t="s">
        <v>764</v>
      </c>
      <c r="C25" s="74" t="s">
        <v>220</v>
      </c>
      <c r="D25" s="82" t="s">
        <v>758</v>
      </c>
      <c r="E25" s="94">
        <v>15180</v>
      </c>
      <c r="F25" s="94">
        <f t="shared" si="0"/>
        <v>15180</v>
      </c>
      <c r="G25" s="94">
        <f t="shared" si="1"/>
        <v>18216</v>
      </c>
    </row>
    <row r="26" spans="1:8" x14ac:dyDescent="0.3">
      <c r="A26" s="87">
        <f t="shared" si="2"/>
        <v>22</v>
      </c>
      <c r="B26" s="67" t="s">
        <v>765</v>
      </c>
      <c r="C26" s="74" t="s">
        <v>254</v>
      </c>
      <c r="D26" s="82" t="s">
        <v>766</v>
      </c>
      <c r="E26" s="94">
        <v>702</v>
      </c>
      <c r="F26" s="94">
        <f t="shared" si="0"/>
        <v>16146</v>
      </c>
      <c r="G26" s="94">
        <f t="shared" si="1"/>
        <v>19375.2</v>
      </c>
    </row>
    <row r="27" spans="1:8" x14ac:dyDescent="0.3">
      <c r="A27" s="87">
        <f t="shared" si="2"/>
        <v>23</v>
      </c>
      <c r="B27" s="67" t="s">
        <v>767</v>
      </c>
      <c r="C27" s="74" t="s">
        <v>194</v>
      </c>
      <c r="D27" s="196">
        <f>6*0.245</f>
        <v>1.47</v>
      </c>
      <c r="E27" s="94">
        <v>319</v>
      </c>
      <c r="F27" s="94">
        <f t="shared" si="0"/>
        <v>468.93</v>
      </c>
      <c r="G27" s="94">
        <f t="shared" si="1"/>
        <v>562.72</v>
      </c>
    </row>
    <row r="28" spans="1:8" x14ac:dyDescent="0.3">
      <c r="A28" s="87">
        <f t="shared" si="2"/>
        <v>24</v>
      </c>
      <c r="B28" s="67" t="s">
        <v>768</v>
      </c>
      <c r="C28" s="74" t="s">
        <v>254</v>
      </c>
      <c r="D28" s="196">
        <f>0.3*6*3.1</f>
        <v>5.5799999999999992</v>
      </c>
      <c r="E28" s="94">
        <v>95</v>
      </c>
      <c r="F28" s="94">
        <f t="shared" si="0"/>
        <v>530.1</v>
      </c>
      <c r="G28" s="94">
        <f t="shared" si="1"/>
        <v>636.12</v>
      </c>
    </row>
    <row r="29" spans="1:8" x14ac:dyDescent="0.3">
      <c r="A29" s="87">
        <f t="shared" si="2"/>
        <v>25</v>
      </c>
      <c r="B29" s="67" t="s">
        <v>769</v>
      </c>
      <c r="C29" s="74" t="s">
        <v>254</v>
      </c>
      <c r="D29" s="82" t="s">
        <v>770</v>
      </c>
      <c r="E29" s="94">
        <v>250</v>
      </c>
      <c r="F29" s="94">
        <f t="shared" si="0"/>
        <v>1250</v>
      </c>
      <c r="G29" s="94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771</v>
      </c>
      <c r="E30" s="94">
        <v>312</v>
      </c>
      <c r="F30" s="94">
        <f t="shared" si="0"/>
        <v>10608</v>
      </c>
      <c r="G30" s="94">
        <f t="shared" si="1"/>
        <v>12729.6</v>
      </c>
    </row>
    <row r="31" spans="1:8" x14ac:dyDescent="0.3">
      <c r="A31" s="87">
        <f t="shared" si="2"/>
        <v>27</v>
      </c>
      <c r="B31" s="67" t="s">
        <v>772</v>
      </c>
      <c r="C31" s="74" t="s">
        <v>193</v>
      </c>
      <c r="D31" s="82" t="s">
        <v>773</v>
      </c>
      <c r="E31" s="94">
        <v>1368</v>
      </c>
      <c r="F31" s="94">
        <f t="shared" si="0"/>
        <v>957.6</v>
      </c>
      <c r="G31" s="94">
        <f t="shared" si="1"/>
        <v>1149.1199999999999</v>
      </c>
      <c r="H31" s="200"/>
    </row>
    <row r="32" spans="1:8" ht="21.75" customHeight="1" x14ac:dyDescent="0.3">
      <c r="A32" s="149"/>
      <c r="B32" s="955" t="s">
        <v>734</v>
      </c>
      <c r="C32" s="956"/>
      <c r="D32" s="956"/>
      <c r="E32" s="151"/>
      <c r="F32" s="152"/>
      <c r="G32" s="121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4">
        <v>1320</v>
      </c>
      <c r="F33" s="94">
        <f t="shared" ref="F33:F45" si="3">ROUND(E33*D33,2)</f>
        <v>62040</v>
      </c>
      <c r="G33" s="94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774</v>
      </c>
      <c r="C34" s="74" t="s">
        <v>194</v>
      </c>
      <c r="D34" s="82" t="s">
        <v>775</v>
      </c>
      <c r="E34" s="94">
        <v>1430</v>
      </c>
      <c r="F34" s="94">
        <f t="shared" si="3"/>
        <v>138710</v>
      </c>
      <c r="G34" s="94">
        <f t="shared" si="4"/>
        <v>166452</v>
      </c>
    </row>
    <row r="35" spans="1:8" x14ac:dyDescent="0.3">
      <c r="A35" s="66">
        <f t="shared" si="5"/>
        <v>30</v>
      </c>
      <c r="B35" s="67" t="s">
        <v>776</v>
      </c>
      <c r="C35" s="74" t="s">
        <v>194</v>
      </c>
      <c r="D35" s="82" t="s">
        <v>777</v>
      </c>
      <c r="E35" s="94">
        <v>8140</v>
      </c>
      <c r="F35" s="94">
        <f t="shared" si="3"/>
        <v>48840</v>
      </c>
      <c r="G35" s="94">
        <f t="shared" si="4"/>
        <v>58608</v>
      </c>
    </row>
    <row r="36" spans="1:8" x14ac:dyDescent="0.3">
      <c r="A36" s="66">
        <f t="shared" si="5"/>
        <v>31</v>
      </c>
      <c r="B36" s="67" t="s">
        <v>778</v>
      </c>
      <c r="C36" s="74" t="s">
        <v>178</v>
      </c>
      <c r="D36" s="82" t="s">
        <v>761</v>
      </c>
      <c r="E36" s="94">
        <v>2090</v>
      </c>
      <c r="F36" s="94">
        <f t="shared" si="3"/>
        <v>4180</v>
      </c>
      <c r="G36" s="94">
        <f t="shared" si="4"/>
        <v>5016</v>
      </c>
    </row>
    <row r="37" spans="1:8" x14ac:dyDescent="0.3">
      <c r="A37" s="66">
        <f t="shared" si="5"/>
        <v>32</v>
      </c>
      <c r="B37" s="67" t="s">
        <v>779</v>
      </c>
      <c r="C37" s="74" t="s">
        <v>178</v>
      </c>
      <c r="D37" s="82">
        <v>1</v>
      </c>
      <c r="E37" s="94">
        <v>4840</v>
      </c>
      <c r="F37" s="94">
        <f t="shared" si="3"/>
        <v>4840</v>
      </c>
      <c r="G37" s="94">
        <f t="shared" si="4"/>
        <v>5808</v>
      </c>
    </row>
    <row r="38" spans="1:8" ht="27.6" x14ac:dyDescent="0.3">
      <c r="A38" s="66">
        <f t="shared" si="5"/>
        <v>33</v>
      </c>
      <c r="B38" s="67" t="s">
        <v>780</v>
      </c>
      <c r="C38" s="74" t="s">
        <v>178</v>
      </c>
      <c r="D38" s="82">
        <v>1</v>
      </c>
      <c r="E38" s="94">
        <v>50</v>
      </c>
      <c r="F38" s="94">
        <f t="shared" si="3"/>
        <v>50</v>
      </c>
      <c r="G38" s="94">
        <f t="shared" si="4"/>
        <v>60</v>
      </c>
    </row>
    <row r="39" spans="1:8" x14ac:dyDescent="0.3">
      <c r="A39" s="66">
        <f t="shared" si="5"/>
        <v>34</v>
      </c>
      <c r="B39" s="67" t="s">
        <v>799</v>
      </c>
      <c r="C39" s="74" t="s">
        <v>178</v>
      </c>
      <c r="D39" s="82">
        <v>1</v>
      </c>
      <c r="E39" s="94">
        <v>5720</v>
      </c>
      <c r="F39" s="94">
        <f t="shared" si="3"/>
        <v>5720</v>
      </c>
      <c r="G39" s="94">
        <f t="shared" si="4"/>
        <v>6864</v>
      </c>
    </row>
    <row r="40" spans="1:8" x14ac:dyDescent="0.3">
      <c r="A40" s="66">
        <f t="shared" si="5"/>
        <v>35</v>
      </c>
      <c r="B40" s="67" t="s">
        <v>782</v>
      </c>
      <c r="C40" s="74" t="s">
        <v>254</v>
      </c>
      <c r="D40" s="197">
        <f>8*0.243</f>
        <v>1.944</v>
      </c>
      <c r="E40" s="94">
        <v>127</v>
      </c>
      <c r="F40" s="94">
        <f t="shared" si="3"/>
        <v>246.89</v>
      </c>
      <c r="G40" s="94">
        <f t="shared" si="4"/>
        <v>296.27</v>
      </c>
    </row>
    <row r="41" spans="1:8" x14ac:dyDescent="0.3">
      <c r="A41" s="66">
        <f t="shared" si="5"/>
        <v>36</v>
      </c>
      <c r="B41" s="67" t="s">
        <v>783</v>
      </c>
      <c r="C41" s="74" t="s">
        <v>254</v>
      </c>
      <c r="D41" s="197">
        <f>8*0.071</f>
        <v>0.56799999999999995</v>
      </c>
      <c r="E41" s="94">
        <v>147</v>
      </c>
      <c r="F41" s="94">
        <f t="shared" si="3"/>
        <v>83.5</v>
      </c>
      <c r="G41" s="94">
        <f t="shared" si="4"/>
        <v>100.2</v>
      </c>
    </row>
    <row r="42" spans="1:8" x14ac:dyDescent="0.3">
      <c r="A42" s="66">
        <f t="shared" si="5"/>
        <v>37</v>
      </c>
      <c r="B42" s="67" t="s">
        <v>784</v>
      </c>
      <c r="C42" s="74" t="s">
        <v>254</v>
      </c>
      <c r="D42" s="197">
        <f>16*0.0172</f>
        <v>0.2752</v>
      </c>
      <c r="E42" s="94">
        <v>197</v>
      </c>
      <c r="F42" s="94">
        <f t="shared" si="3"/>
        <v>54.21</v>
      </c>
      <c r="G42" s="94">
        <f t="shared" si="4"/>
        <v>65.05</v>
      </c>
    </row>
    <row r="43" spans="1:8" ht="27.6" x14ac:dyDescent="0.3">
      <c r="A43" s="66">
        <f t="shared" si="5"/>
        <v>38</v>
      </c>
      <c r="B43" s="67" t="s">
        <v>785</v>
      </c>
      <c r="C43" s="74" t="s">
        <v>178</v>
      </c>
      <c r="D43" s="82">
        <v>1</v>
      </c>
      <c r="E43" s="94">
        <v>2200</v>
      </c>
      <c r="F43" s="94">
        <f t="shared" si="3"/>
        <v>2200</v>
      </c>
      <c r="G43" s="94">
        <f t="shared" si="4"/>
        <v>2640</v>
      </c>
    </row>
    <row r="44" spans="1:8" x14ac:dyDescent="0.3">
      <c r="A44" s="66">
        <f t="shared" si="5"/>
        <v>39</v>
      </c>
      <c r="B44" s="67" t="s">
        <v>786</v>
      </c>
      <c r="C44" s="74" t="s">
        <v>178</v>
      </c>
      <c r="D44" s="82">
        <v>1</v>
      </c>
      <c r="E44" s="94">
        <v>6380</v>
      </c>
      <c r="F44" s="94">
        <f t="shared" si="3"/>
        <v>6380</v>
      </c>
      <c r="G44" s="94">
        <f t="shared" si="4"/>
        <v>7656</v>
      </c>
    </row>
    <row r="45" spans="1:8" x14ac:dyDescent="0.3">
      <c r="A45" s="66">
        <f t="shared" si="5"/>
        <v>40</v>
      </c>
      <c r="B45" s="67" t="s">
        <v>756</v>
      </c>
      <c r="C45" s="74" t="s">
        <v>193</v>
      </c>
      <c r="D45" s="82" t="s">
        <v>787</v>
      </c>
      <c r="E45" s="94">
        <v>3850</v>
      </c>
      <c r="F45" s="94">
        <f t="shared" si="3"/>
        <v>2348.5</v>
      </c>
      <c r="G45" s="94">
        <f t="shared" si="4"/>
        <v>2818.2</v>
      </c>
      <c r="H45" s="200"/>
    </row>
    <row r="46" spans="1:8" ht="21" customHeight="1" x14ac:dyDescent="0.3">
      <c r="A46" s="149"/>
      <c r="B46" s="957" t="s">
        <v>735</v>
      </c>
      <c r="C46" s="958"/>
      <c r="D46" s="958"/>
      <c r="E46" s="151"/>
      <c r="F46" s="152"/>
      <c r="G46" s="121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4">
        <v>1320</v>
      </c>
      <c r="F47" s="94">
        <f t="shared" ref="F47:F55" si="6">ROUND(E47*D47,2)</f>
        <v>73920</v>
      </c>
      <c r="G47" s="94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788</v>
      </c>
      <c r="C48" s="66" t="s">
        <v>194</v>
      </c>
      <c r="D48" s="82" t="s">
        <v>789</v>
      </c>
      <c r="E48" s="94">
        <v>2750</v>
      </c>
      <c r="F48" s="94">
        <f t="shared" si="6"/>
        <v>225500</v>
      </c>
      <c r="G48" s="94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744</v>
      </c>
      <c r="C49" s="66" t="s">
        <v>194</v>
      </c>
      <c r="D49" s="82" t="s">
        <v>790</v>
      </c>
      <c r="E49" s="94">
        <v>9680</v>
      </c>
      <c r="F49" s="94">
        <f t="shared" si="6"/>
        <v>396880</v>
      </c>
      <c r="G49" s="94">
        <f t="shared" si="7"/>
        <v>476256</v>
      </c>
    </row>
    <row r="50" spans="1:8" x14ac:dyDescent="0.3">
      <c r="A50" s="66">
        <f t="shared" si="8"/>
        <v>44</v>
      </c>
      <c r="B50" s="67" t="s">
        <v>791</v>
      </c>
      <c r="C50" s="66" t="s">
        <v>220</v>
      </c>
      <c r="D50" s="82" t="s">
        <v>792</v>
      </c>
      <c r="E50" s="94">
        <v>3740</v>
      </c>
      <c r="F50" s="94">
        <f t="shared" si="6"/>
        <v>44880</v>
      </c>
      <c r="G50" s="94">
        <f t="shared" si="7"/>
        <v>53856</v>
      </c>
    </row>
    <row r="51" spans="1:8" x14ac:dyDescent="0.3">
      <c r="A51" s="66">
        <f t="shared" si="8"/>
        <v>45</v>
      </c>
      <c r="B51" s="67" t="s">
        <v>793</v>
      </c>
      <c r="C51" s="66" t="s">
        <v>178</v>
      </c>
      <c r="D51" s="71">
        <v>1</v>
      </c>
      <c r="E51" s="94">
        <v>7480</v>
      </c>
      <c r="F51" s="94">
        <f t="shared" si="6"/>
        <v>7480</v>
      </c>
      <c r="G51" s="94">
        <f t="shared" si="7"/>
        <v>8976</v>
      </c>
    </row>
    <row r="52" spans="1:8" x14ac:dyDescent="0.3">
      <c r="A52" s="66">
        <f t="shared" si="8"/>
        <v>46</v>
      </c>
      <c r="B52" s="67" t="s">
        <v>779</v>
      </c>
      <c r="C52" s="66" t="s">
        <v>220</v>
      </c>
      <c r="D52" s="71">
        <v>2</v>
      </c>
      <c r="E52" s="94">
        <v>4840</v>
      </c>
      <c r="F52" s="94">
        <f t="shared" si="6"/>
        <v>9680</v>
      </c>
      <c r="G52" s="94">
        <f t="shared" si="7"/>
        <v>11616</v>
      </c>
    </row>
    <row r="53" spans="1:8" ht="27.6" x14ac:dyDescent="0.3">
      <c r="A53" s="66">
        <f t="shared" si="8"/>
        <v>47</v>
      </c>
      <c r="B53" s="67" t="s">
        <v>794</v>
      </c>
      <c r="C53" s="66" t="s">
        <v>220</v>
      </c>
      <c r="D53" s="71">
        <v>2</v>
      </c>
      <c r="E53" s="94">
        <v>88</v>
      </c>
      <c r="F53" s="94">
        <f t="shared" si="6"/>
        <v>176</v>
      </c>
      <c r="G53" s="94">
        <f t="shared" si="7"/>
        <v>211.2</v>
      </c>
    </row>
    <row r="54" spans="1:8" x14ac:dyDescent="0.3">
      <c r="A54" s="66">
        <f t="shared" si="8"/>
        <v>48</v>
      </c>
      <c r="B54" s="67" t="s">
        <v>781</v>
      </c>
      <c r="C54" s="66" t="s">
        <v>220</v>
      </c>
      <c r="D54" s="71">
        <v>2</v>
      </c>
      <c r="E54" s="94">
        <v>5720</v>
      </c>
      <c r="F54" s="94">
        <f t="shared" si="6"/>
        <v>11440</v>
      </c>
      <c r="G54" s="94">
        <f t="shared" si="7"/>
        <v>13728</v>
      </c>
    </row>
    <row r="55" spans="1:8" x14ac:dyDescent="0.3">
      <c r="A55" s="66">
        <f t="shared" si="8"/>
        <v>49</v>
      </c>
      <c r="B55" s="67" t="s">
        <v>795</v>
      </c>
      <c r="C55" s="74" t="s">
        <v>254</v>
      </c>
      <c r="D55" s="197">
        <f>24*0.243</f>
        <v>5.8319999999999999</v>
      </c>
      <c r="E55" s="94">
        <v>127</v>
      </c>
      <c r="F55" s="94">
        <f t="shared" si="6"/>
        <v>740.66</v>
      </c>
      <c r="G55" s="94">
        <f t="shared" si="7"/>
        <v>888.79</v>
      </c>
    </row>
    <row r="56" spans="1:8" x14ac:dyDescent="0.3">
      <c r="A56" s="66">
        <f t="shared" si="8"/>
        <v>50</v>
      </c>
      <c r="B56" s="67" t="s">
        <v>796</v>
      </c>
      <c r="C56" s="74" t="s">
        <v>254</v>
      </c>
      <c r="D56" s="197">
        <f>24*0.071</f>
        <v>1.7039999999999997</v>
      </c>
      <c r="E56" s="94">
        <v>147</v>
      </c>
      <c r="F56" s="94">
        <f t="shared" ref="F56:F59" si="9">ROUND(E56*D56,2)</f>
        <v>250.49</v>
      </c>
      <c r="G56" s="94">
        <f t="shared" si="7"/>
        <v>300.58999999999997</v>
      </c>
    </row>
    <row r="57" spans="1:8" x14ac:dyDescent="0.3">
      <c r="A57" s="66">
        <f t="shared" si="8"/>
        <v>51</v>
      </c>
      <c r="B57" s="67" t="s">
        <v>797</v>
      </c>
      <c r="C57" s="74" t="s">
        <v>254</v>
      </c>
      <c r="D57" s="197">
        <f>48*0.0172</f>
        <v>0.8256</v>
      </c>
      <c r="E57" s="94">
        <v>197</v>
      </c>
      <c r="F57" s="94">
        <f t="shared" si="9"/>
        <v>162.63999999999999</v>
      </c>
      <c r="G57" s="94">
        <f t="shared" si="7"/>
        <v>195.17</v>
      </c>
    </row>
    <row r="58" spans="1:8" ht="27.6" x14ac:dyDescent="0.3">
      <c r="A58" s="66">
        <f t="shared" si="8"/>
        <v>52</v>
      </c>
      <c r="B58" s="67" t="s">
        <v>798</v>
      </c>
      <c r="C58" s="66" t="s">
        <v>220</v>
      </c>
      <c r="D58" s="82">
        <v>2</v>
      </c>
      <c r="E58" s="94">
        <v>4730</v>
      </c>
      <c r="F58" s="94">
        <f t="shared" si="9"/>
        <v>9460</v>
      </c>
      <c r="G58" s="94">
        <f t="shared" si="7"/>
        <v>11352</v>
      </c>
    </row>
    <row r="59" spans="1:8" x14ac:dyDescent="0.3">
      <c r="A59" s="66">
        <f t="shared" si="8"/>
        <v>53</v>
      </c>
      <c r="B59" s="67" t="s">
        <v>756</v>
      </c>
      <c r="C59" s="66" t="s">
        <v>193</v>
      </c>
      <c r="D59" s="82" t="s">
        <v>777</v>
      </c>
      <c r="E59" s="94">
        <v>3850</v>
      </c>
      <c r="F59" s="94">
        <f t="shared" si="9"/>
        <v>23100</v>
      </c>
      <c r="G59" s="94">
        <f t="shared" si="7"/>
        <v>27720</v>
      </c>
      <c r="H59" s="200"/>
    </row>
    <row r="60" spans="1:8" ht="22.5" customHeight="1" x14ac:dyDescent="0.3">
      <c r="A60" s="149"/>
      <c r="B60" s="957" t="s">
        <v>736</v>
      </c>
      <c r="C60" s="958"/>
      <c r="D60" s="958"/>
      <c r="E60" s="151"/>
      <c r="F60" s="152"/>
      <c r="G60" s="121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4">
        <v>1320</v>
      </c>
      <c r="F61" s="94">
        <f t="shared" ref="F61:F66" si="10">ROUND(E61*D61,2)</f>
        <v>25080</v>
      </c>
      <c r="G61" s="94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800</v>
      </c>
      <c r="C62" s="66" t="s">
        <v>194</v>
      </c>
      <c r="D62" s="82" t="s">
        <v>801</v>
      </c>
      <c r="E62" s="94">
        <v>1430</v>
      </c>
      <c r="F62" s="94">
        <f t="shared" si="10"/>
        <v>60060</v>
      </c>
      <c r="G62" s="94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802</v>
      </c>
      <c r="C63" s="66" t="s">
        <v>194</v>
      </c>
      <c r="D63" s="82" t="s">
        <v>777</v>
      </c>
      <c r="E63" s="94">
        <v>8140</v>
      </c>
      <c r="F63" s="94">
        <f t="shared" si="10"/>
        <v>48840</v>
      </c>
      <c r="G63" s="94">
        <f t="shared" si="11"/>
        <v>58608</v>
      </c>
    </row>
    <row r="64" spans="1:8" x14ac:dyDescent="0.3">
      <c r="A64" s="66">
        <f t="shared" si="12"/>
        <v>57</v>
      </c>
      <c r="B64" s="67" t="s">
        <v>803</v>
      </c>
      <c r="C64" s="66" t="s">
        <v>220</v>
      </c>
      <c r="D64" s="82">
        <v>2</v>
      </c>
      <c r="E64" s="94">
        <v>2090</v>
      </c>
      <c r="F64" s="94">
        <f t="shared" si="10"/>
        <v>4180</v>
      </c>
      <c r="G64" s="94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804</v>
      </c>
      <c r="C65" s="66" t="s">
        <v>220</v>
      </c>
      <c r="D65" s="82">
        <v>2</v>
      </c>
      <c r="E65" s="94">
        <v>2420</v>
      </c>
      <c r="F65" s="94">
        <f t="shared" si="10"/>
        <v>4840</v>
      </c>
      <c r="G65" s="94">
        <f t="shared" si="11"/>
        <v>5808</v>
      </c>
    </row>
    <row r="66" spans="1:8" x14ac:dyDescent="0.3">
      <c r="A66" s="66">
        <f t="shared" si="12"/>
        <v>59</v>
      </c>
      <c r="B66" s="67" t="s">
        <v>756</v>
      </c>
      <c r="C66" s="66" t="s">
        <v>193</v>
      </c>
      <c r="D66" s="82" t="s">
        <v>758</v>
      </c>
      <c r="E66" s="94">
        <v>3850</v>
      </c>
      <c r="F66" s="94">
        <f t="shared" si="10"/>
        <v>3850</v>
      </c>
      <c r="G66" s="94">
        <f t="shared" si="11"/>
        <v>4620</v>
      </c>
      <c r="H66" s="200"/>
    </row>
    <row r="67" spans="1:8" ht="23.25" customHeight="1" x14ac:dyDescent="0.3">
      <c r="A67" s="149"/>
      <c r="B67" s="957" t="s">
        <v>737</v>
      </c>
      <c r="C67" s="958"/>
      <c r="D67" s="958"/>
      <c r="E67" s="151"/>
      <c r="F67" s="152"/>
      <c r="G67" s="121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4">
        <v>1320</v>
      </c>
      <c r="F68" s="94">
        <f t="shared" ref="F68:F73" si="13">ROUND(E68*D68,2)</f>
        <v>14520</v>
      </c>
      <c r="G68" s="94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805</v>
      </c>
      <c r="C69" s="66" t="s">
        <v>194</v>
      </c>
      <c r="D69" s="82" t="s">
        <v>766</v>
      </c>
      <c r="E69" s="94">
        <v>1430</v>
      </c>
      <c r="F69" s="94">
        <f t="shared" si="13"/>
        <v>32890</v>
      </c>
      <c r="G69" s="94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802</v>
      </c>
      <c r="C70" s="66" t="s">
        <v>194</v>
      </c>
      <c r="D70" s="82" t="s">
        <v>777</v>
      </c>
      <c r="E70" s="94">
        <v>8140</v>
      </c>
      <c r="F70" s="94">
        <f t="shared" si="13"/>
        <v>48840</v>
      </c>
      <c r="G70" s="94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803</v>
      </c>
      <c r="C71" s="66" t="s">
        <v>220</v>
      </c>
      <c r="D71" s="82" t="s">
        <v>761</v>
      </c>
      <c r="E71" s="94">
        <v>2090</v>
      </c>
      <c r="F71" s="94">
        <f t="shared" si="13"/>
        <v>4180</v>
      </c>
      <c r="G71" s="94">
        <f t="shared" si="14"/>
        <v>5016</v>
      </c>
    </row>
    <row r="72" spans="1:8" ht="27.6" x14ac:dyDescent="0.3">
      <c r="A72" s="66">
        <f t="shared" si="15"/>
        <v>64</v>
      </c>
      <c r="B72" s="67" t="s">
        <v>806</v>
      </c>
      <c r="C72" s="66" t="s">
        <v>220</v>
      </c>
      <c r="D72" s="82">
        <v>4</v>
      </c>
      <c r="E72" s="94">
        <v>2420</v>
      </c>
      <c r="F72" s="94">
        <f t="shared" si="13"/>
        <v>9680</v>
      </c>
      <c r="G72" s="94">
        <f t="shared" si="14"/>
        <v>11616</v>
      </c>
    </row>
    <row r="73" spans="1:8" x14ac:dyDescent="0.3">
      <c r="A73" s="66">
        <f t="shared" si="15"/>
        <v>65</v>
      </c>
      <c r="B73" s="67" t="s">
        <v>756</v>
      </c>
      <c r="C73" s="66" t="s">
        <v>193</v>
      </c>
      <c r="D73" s="82" t="s">
        <v>758</v>
      </c>
      <c r="E73" s="94">
        <v>3850</v>
      </c>
      <c r="F73" s="94">
        <f t="shared" si="13"/>
        <v>3850</v>
      </c>
      <c r="G73" s="94">
        <f t="shared" si="14"/>
        <v>4620</v>
      </c>
      <c r="H73" s="200"/>
    </row>
    <row r="74" spans="1:8" ht="21.75" customHeight="1" x14ac:dyDescent="0.3">
      <c r="A74" s="149"/>
      <c r="B74" s="957" t="s">
        <v>738</v>
      </c>
      <c r="C74" s="958"/>
      <c r="D74" s="958"/>
      <c r="E74" s="151"/>
      <c r="F74" s="152"/>
      <c r="G74" s="121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4">
        <v>1320</v>
      </c>
      <c r="F75" s="94">
        <f t="shared" ref="F75:F80" si="16">ROUND(E75*D75,2)</f>
        <v>55440</v>
      </c>
      <c r="G75" s="94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807</v>
      </c>
      <c r="C76" s="66" t="s">
        <v>194</v>
      </c>
      <c r="D76" s="82" t="s">
        <v>808</v>
      </c>
      <c r="E76" s="94">
        <v>16500</v>
      </c>
      <c r="F76" s="94">
        <f t="shared" si="16"/>
        <v>511500</v>
      </c>
      <c r="G76" s="94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809</v>
      </c>
      <c r="C77" s="66" t="s">
        <v>194</v>
      </c>
      <c r="D77" s="82" t="s">
        <v>777</v>
      </c>
      <c r="E77" s="94">
        <v>19800</v>
      </c>
      <c r="F77" s="94">
        <f t="shared" si="16"/>
        <v>118800</v>
      </c>
      <c r="G77" s="94">
        <f t="shared" si="17"/>
        <v>142560</v>
      </c>
    </row>
    <row r="78" spans="1:8" x14ac:dyDescent="0.3">
      <c r="A78" s="66">
        <f t="shared" si="18"/>
        <v>69</v>
      </c>
      <c r="B78" s="67" t="s">
        <v>810</v>
      </c>
      <c r="C78" s="66" t="s">
        <v>220</v>
      </c>
      <c r="D78" s="82">
        <v>2</v>
      </c>
      <c r="E78" s="94">
        <v>10340</v>
      </c>
      <c r="F78" s="94">
        <f t="shared" si="16"/>
        <v>20680</v>
      </c>
      <c r="G78" s="94">
        <f t="shared" si="17"/>
        <v>24816</v>
      </c>
    </row>
    <row r="79" spans="1:8" ht="27.6" x14ac:dyDescent="0.3">
      <c r="A79" s="66">
        <f t="shared" si="18"/>
        <v>70</v>
      </c>
      <c r="B79" s="67" t="s">
        <v>811</v>
      </c>
      <c r="C79" s="66" t="s">
        <v>220</v>
      </c>
      <c r="D79" s="82">
        <v>2</v>
      </c>
      <c r="E79" s="94">
        <v>70923</v>
      </c>
      <c r="F79" s="94">
        <f t="shared" si="16"/>
        <v>141846</v>
      </c>
      <c r="G79" s="94">
        <f t="shared" si="17"/>
        <v>170215.2</v>
      </c>
    </row>
    <row r="80" spans="1:8" x14ac:dyDescent="0.3">
      <c r="A80" s="66">
        <f t="shared" si="18"/>
        <v>71</v>
      </c>
      <c r="B80" s="67" t="s">
        <v>756</v>
      </c>
      <c r="C80" s="66" t="s">
        <v>193</v>
      </c>
      <c r="D80" s="82" t="s">
        <v>761</v>
      </c>
      <c r="E80" s="94">
        <v>3850</v>
      </c>
      <c r="F80" s="94">
        <f t="shared" si="16"/>
        <v>7700</v>
      </c>
      <c r="G80" s="94">
        <f t="shared" si="17"/>
        <v>9240</v>
      </c>
      <c r="H80" s="200"/>
    </row>
    <row r="81" spans="1:8" ht="21" customHeight="1" x14ac:dyDescent="0.3">
      <c r="A81" s="149"/>
      <c r="B81" s="957" t="s">
        <v>739</v>
      </c>
      <c r="C81" s="958"/>
      <c r="D81" s="958"/>
      <c r="E81" s="151"/>
      <c r="F81" s="152"/>
      <c r="G81" s="121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4">
        <v>1320</v>
      </c>
      <c r="F82" s="94">
        <f t="shared" ref="F82:F87" si="19">ROUND(E82*D82,2)</f>
        <v>34320</v>
      </c>
      <c r="G82" s="94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812</v>
      </c>
      <c r="C83" s="66" t="s">
        <v>194</v>
      </c>
      <c r="D83" s="82" t="s">
        <v>808</v>
      </c>
      <c r="E83" s="94">
        <v>7480</v>
      </c>
      <c r="F83" s="94">
        <f t="shared" si="19"/>
        <v>231880</v>
      </c>
      <c r="G83" s="94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813</v>
      </c>
      <c r="C84" s="66" t="s">
        <v>194</v>
      </c>
      <c r="D84" s="82" t="s">
        <v>777</v>
      </c>
      <c r="E84" s="94">
        <v>11110</v>
      </c>
      <c r="F84" s="94">
        <f t="shared" si="19"/>
        <v>66660</v>
      </c>
      <c r="G84" s="94">
        <f t="shared" si="20"/>
        <v>79992</v>
      </c>
    </row>
    <row r="85" spans="1:8" x14ac:dyDescent="0.3">
      <c r="A85" s="66">
        <f t="shared" si="21"/>
        <v>75</v>
      </c>
      <c r="B85" s="67" t="s">
        <v>814</v>
      </c>
      <c r="C85" s="66" t="s">
        <v>220</v>
      </c>
      <c r="D85" s="82">
        <v>2</v>
      </c>
      <c r="E85" s="94">
        <v>7260</v>
      </c>
      <c r="F85" s="94">
        <f t="shared" si="19"/>
        <v>14520</v>
      </c>
      <c r="G85" s="94">
        <f t="shared" si="20"/>
        <v>17424</v>
      </c>
    </row>
    <row r="86" spans="1:8" ht="27.6" x14ac:dyDescent="0.3">
      <c r="A86" s="66">
        <f t="shared" si="21"/>
        <v>76</v>
      </c>
      <c r="B86" s="67" t="s">
        <v>815</v>
      </c>
      <c r="C86" s="66" t="s">
        <v>220</v>
      </c>
      <c r="D86" s="82">
        <v>2</v>
      </c>
      <c r="E86" s="94">
        <v>14014</v>
      </c>
      <c r="F86" s="94">
        <f t="shared" si="19"/>
        <v>28028</v>
      </c>
      <c r="G86" s="94">
        <f t="shared" si="20"/>
        <v>33633.599999999999</v>
      </c>
    </row>
    <row r="87" spans="1:8" x14ac:dyDescent="0.3">
      <c r="A87" s="66">
        <f t="shared" si="21"/>
        <v>77</v>
      </c>
      <c r="B87" s="67" t="s">
        <v>756</v>
      </c>
      <c r="C87" s="66" t="s">
        <v>193</v>
      </c>
      <c r="D87" s="82" t="s">
        <v>758</v>
      </c>
      <c r="E87" s="94">
        <v>3850</v>
      </c>
      <c r="F87" s="94">
        <f t="shared" si="19"/>
        <v>3850</v>
      </c>
      <c r="G87" s="94">
        <f t="shared" si="20"/>
        <v>4620</v>
      </c>
      <c r="H87" s="200"/>
    </row>
    <row r="88" spans="1:8" ht="24.75" customHeight="1" x14ac:dyDescent="0.3">
      <c r="A88" s="149"/>
      <c r="B88" s="957" t="s">
        <v>740</v>
      </c>
      <c r="C88" s="958"/>
      <c r="D88" s="958"/>
      <c r="E88" s="151"/>
      <c r="F88" s="152"/>
      <c r="G88" s="121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4">
        <v>1320</v>
      </c>
      <c r="F89" s="94">
        <f t="shared" ref="F89" si="22">ROUND(E89*D89,2)</f>
        <v>19800</v>
      </c>
      <c r="G89" s="94">
        <f t="shared" ref="G89" si="23">ROUND(F89*1.2,2)</f>
        <v>23760</v>
      </c>
    </row>
    <row r="90" spans="1:8" x14ac:dyDescent="0.3">
      <c r="A90" s="66">
        <f>A89+1</f>
        <v>79</v>
      </c>
      <c r="B90" s="67" t="s">
        <v>812</v>
      </c>
      <c r="C90" s="66" t="s">
        <v>194</v>
      </c>
      <c r="D90" s="82" t="s">
        <v>816</v>
      </c>
      <c r="E90" s="94">
        <v>7480</v>
      </c>
      <c r="F90" s="94">
        <f t="shared" ref="F90:F93" si="24">ROUND(E90*D90,2)</f>
        <v>157080</v>
      </c>
      <c r="G90" s="94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813</v>
      </c>
      <c r="C91" s="66" t="s">
        <v>194</v>
      </c>
      <c r="D91" s="82" t="s">
        <v>777</v>
      </c>
      <c r="E91" s="94">
        <v>11110</v>
      </c>
      <c r="F91" s="94">
        <f t="shared" si="24"/>
        <v>66660</v>
      </c>
      <c r="G91" s="94">
        <f t="shared" si="25"/>
        <v>79992</v>
      </c>
    </row>
    <row r="92" spans="1:8" x14ac:dyDescent="0.3">
      <c r="A92" s="66">
        <f t="shared" si="26"/>
        <v>81</v>
      </c>
      <c r="B92" s="67" t="s">
        <v>814</v>
      </c>
      <c r="C92" s="66" t="s">
        <v>220</v>
      </c>
      <c r="D92" s="82">
        <v>2</v>
      </c>
      <c r="E92" s="94">
        <v>7260</v>
      </c>
      <c r="F92" s="94">
        <f t="shared" si="24"/>
        <v>14520</v>
      </c>
      <c r="G92" s="94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815</v>
      </c>
      <c r="C93" s="66" t="s">
        <v>220</v>
      </c>
      <c r="D93" s="82">
        <v>2</v>
      </c>
      <c r="E93" s="94">
        <v>14014</v>
      </c>
      <c r="F93" s="94">
        <f t="shared" si="24"/>
        <v>28028</v>
      </c>
      <c r="G93" s="94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756</v>
      </c>
      <c r="C94" s="66" t="s">
        <v>193</v>
      </c>
      <c r="D94" s="82" t="s">
        <v>758</v>
      </c>
      <c r="E94" s="94">
        <v>3850</v>
      </c>
      <c r="F94" s="94">
        <f t="shared" ref="F94" si="27">ROUND(E94*D94,2)</f>
        <v>3850</v>
      </c>
      <c r="G94" s="94">
        <f t="shared" ref="G94" si="28">ROUND(F94*1.2,2)</f>
        <v>4620</v>
      </c>
      <c r="H94" s="200"/>
    </row>
    <row r="95" spans="1:8" ht="23.25" customHeight="1" x14ac:dyDescent="0.3">
      <c r="A95" s="149"/>
      <c r="B95" s="957" t="s">
        <v>741</v>
      </c>
      <c r="C95" s="958"/>
      <c r="D95" s="958"/>
      <c r="E95" s="151"/>
      <c r="F95" s="152"/>
      <c r="G95" s="121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4">
        <v>1320</v>
      </c>
      <c r="F96" s="94">
        <f t="shared" ref="F96" si="29">ROUND(E96*D96,2)</f>
        <v>60720</v>
      </c>
      <c r="G96" s="94">
        <f t="shared" ref="G96" si="30">ROUND(F96*1.2,2)</f>
        <v>72864</v>
      </c>
    </row>
    <row r="97" spans="1:8" x14ac:dyDescent="0.3">
      <c r="A97" s="66">
        <f>A96+1</f>
        <v>85</v>
      </c>
      <c r="B97" s="67" t="s">
        <v>812</v>
      </c>
      <c r="C97" s="66" t="s">
        <v>194</v>
      </c>
      <c r="D97" s="82" t="s">
        <v>817</v>
      </c>
      <c r="E97" s="94">
        <v>7480</v>
      </c>
      <c r="F97" s="94">
        <f t="shared" ref="F97:F100" si="31">ROUND(E97*D97,2)</f>
        <v>366520</v>
      </c>
      <c r="G97" s="94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813</v>
      </c>
      <c r="C98" s="66" t="s">
        <v>194</v>
      </c>
      <c r="D98" s="82" t="s">
        <v>777</v>
      </c>
      <c r="E98" s="94">
        <v>11110</v>
      </c>
      <c r="F98" s="94">
        <f t="shared" si="31"/>
        <v>66660</v>
      </c>
      <c r="G98" s="94">
        <f t="shared" si="32"/>
        <v>79992</v>
      </c>
    </row>
    <row r="99" spans="1:8" x14ac:dyDescent="0.3">
      <c r="A99" s="66">
        <f t="shared" si="33"/>
        <v>87</v>
      </c>
      <c r="B99" s="67" t="s">
        <v>814</v>
      </c>
      <c r="C99" s="66" t="s">
        <v>220</v>
      </c>
      <c r="D99" s="82">
        <v>2</v>
      </c>
      <c r="E99" s="94">
        <v>7260</v>
      </c>
      <c r="F99" s="94">
        <f t="shared" si="31"/>
        <v>14520</v>
      </c>
      <c r="G99" s="94">
        <f t="shared" si="32"/>
        <v>17424</v>
      </c>
    </row>
    <row r="100" spans="1:8" ht="27.6" x14ac:dyDescent="0.3">
      <c r="A100" s="66">
        <f t="shared" si="33"/>
        <v>88</v>
      </c>
      <c r="B100" s="67" t="s">
        <v>815</v>
      </c>
      <c r="C100" s="66" t="s">
        <v>220</v>
      </c>
      <c r="D100" s="82">
        <v>2</v>
      </c>
      <c r="E100" s="94">
        <v>14014</v>
      </c>
      <c r="F100" s="94">
        <f t="shared" si="31"/>
        <v>28028</v>
      </c>
      <c r="G100" s="94">
        <f t="shared" si="32"/>
        <v>33633.599999999999</v>
      </c>
    </row>
    <row r="101" spans="1:8" x14ac:dyDescent="0.3">
      <c r="A101" s="66">
        <f t="shared" si="33"/>
        <v>89</v>
      </c>
      <c r="B101" s="67" t="s">
        <v>756</v>
      </c>
      <c r="C101" s="66" t="s">
        <v>193</v>
      </c>
      <c r="D101" s="82" t="s">
        <v>758</v>
      </c>
      <c r="E101" s="94">
        <v>3850</v>
      </c>
      <c r="F101" s="94">
        <f t="shared" ref="F101" si="34">ROUND(E101*D101,2)</f>
        <v>3850</v>
      </c>
      <c r="G101" s="94">
        <f t="shared" ref="G101" si="35">ROUND(F101*1.2,2)</f>
        <v>4620</v>
      </c>
      <c r="H101" s="200"/>
    </row>
    <row r="102" spans="1:8" ht="19.5" customHeight="1" x14ac:dyDescent="0.3">
      <c r="A102" s="149"/>
      <c r="B102" s="957" t="s">
        <v>742</v>
      </c>
      <c r="C102" s="958"/>
      <c r="D102" s="958"/>
      <c r="E102" s="151"/>
      <c r="F102" s="152"/>
      <c r="G102" s="121"/>
    </row>
    <row r="103" spans="1:8" x14ac:dyDescent="0.3">
      <c r="A103" s="66">
        <f>A101+1</f>
        <v>90</v>
      </c>
      <c r="B103" s="67" t="s">
        <v>818</v>
      </c>
      <c r="C103" s="66" t="s">
        <v>194</v>
      </c>
      <c r="D103" s="82" t="s">
        <v>819</v>
      </c>
      <c r="E103" s="94">
        <v>396</v>
      </c>
      <c r="F103" s="94">
        <f t="shared" ref="F103" si="36">ROUND(E103*D103,2)</f>
        <v>15840</v>
      </c>
      <c r="G103" s="94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820</v>
      </c>
      <c r="C104" s="66" t="s">
        <v>220</v>
      </c>
      <c r="D104" s="82" t="s">
        <v>758</v>
      </c>
      <c r="E104" s="94">
        <v>8030</v>
      </c>
      <c r="F104" s="94">
        <f t="shared" ref="F104:F107" si="38">ROUND(E104*D104,2)</f>
        <v>8030</v>
      </c>
      <c r="G104" s="94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821</v>
      </c>
      <c r="E105" s="94">
        <v>1320</v>
      </c>
      <c r="F105" s="94">
        <f t="shared" si="38"/>
        <v>22044</v>
      </c>
      <c r="G105" s="94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822</v>
      </c>
      <c r="C106" s="66" t="s">
        <v>194</v>
      </c>
      <c r="D106" s="82" t="s">
        <v>823</v>
      </c>
      <c r="E106" s="195">
        <v>1091</v>
      </c>
      <c r="F106" s="94">
        <f t="shared" si="38"/>
        <v>327300</v>
      </c>
      <c r="G106" s="94">
        <f t="shared" si="39"/>
        <v>392760</v>
      </c>
      <c r="H106" s="203"/>
    </row>
    <row r="107" spans="1:8" x14ac:dyDescent="0.3">
      <c r="A107" s="66">
        <f t="shared" si="40"/>
        <v>94</v>
      </c>
      <c r="B107" s="67" t="s">
        <v>824</v>
      </c>
      <c r="C107" s="66" t="s">
        <v>220</v>
      </c>
      <c r="D107" s="82">
        <v>4</v>
      </c>
      <c r="E107" s="94">
        <v>7480</v>
      </c>
      <c r="F107" s="94">
        <f t="shared" si="38"/>
        <v>29920</v>
      </c>
      <c r="G107" s="94">
        <f t="shared" si="39"/>
        <v>35904</v>
      </c>
    </row>
    <row r="108" spans="1:8" x14ac:dyDescent="0.3">
      <c r="A108" s="66">
        <f t="shared" si="40"/>
        <v>95</v>
      </c>
      <c r="B108" s="67" t="s">
        <v>825</v>
      </c>
      <c r="C108" s="66" t="s">
        <v>194</v>
      </c>
      <c r="D108" s="82" t="s">
        <v>819</v>
      </c>
      <c r="E108" s="94">
        <v>26</v>
      </c>
      <c r="F108" s="94">
        <f>ROUND(E108*D108,2)</f>
        <v>1040</v>
      </c>
      <c r="G108" s="94">
        <f>ROUND(F108*1.2,2)</f>
        <v>1248</v>
      </c>
    </row>
    <row r="109" spans="1:8" x14ac:dyDescent="0.3">
      <c r="A109" s="154"/>
      <c r="B109" s="960" t="s">
        <v>721</v>
      </c>
      <c r="C109" s="961"/>
      <c r="D109" s="961"/>
      <c r="E109" s="962"/>
      <c r="F109" s="153">
        <f>SUM(F5:F108)</f>
        <v>4109058.51</v>
      </c>
      <c r="G109" s="153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875" t="s">
        <v>5</v>
      </c>
      <c r="B2" s="876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878">
        <f>H33/2</f>
        <v>7942400</v>
      </c>
      <c r="H33" s="878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879"/>
      <c r="H34" s="87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877" t="s">
        <v>117</v>
      </c>
      <c r="B59" s="877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993" t="s">
        <v>226</v>
      </c>
      <c r="B1" s="888" t="s">
        <v>227</v>
      </c>
      <c r="C1" s="888" t="s">
        <v>228</v>
      </c>
      <c r="D1" s="888" t="s">
        <v>229</v>
      </c>
      <c r="E1" s="987" t="s">
        <v>703</v>
      </c>
      <c r="F1" s="988"/>
      <c r="G1" s="988"/>
    </row>
    <row r="2" spans="1:7" x14ac:dyDescent="0.3">
      <c r="A2" s="993"/>
      <c r="B2" s="888"/>
      <c r="C2" s="888"/>
      <c r="D2" s="888"/>
      <c r="E2" s="888" t="s">
        <v>440</v>
      </c>
      <c r="F2" s="888" t="s">
        <v>433</v>
      </c>
      <c r="G2" s="990" t="s">
        <v>409</v>
      </c>
    </row>
    <row r="3" spans="1:7" ht="31.2" customHeight="1" x14ac:dyDescent="0.3">
      <c r="A3" s="993"/>
      <c r="B3" s="888"/>
      <c r="C3" s="888"/>
      <c r="D3" s="888"/>
      <c r="E3" s="888"/>
      <c r="F3" s="888"/>
      <c r="G3" s="990"/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x14ac:dyDescent="0.3">
      <c r="A5" s="992" t="s">
        <v>206</v>
      </c>
      <c r="B5" s="992"/>
      <c r="C5" s="992"/>
      <c r="D5" s="992"/>
      <c r="E5" s="135"/>
      <c r="F5" s="135"/>
      <c r="G5" s="127"/>
    </row>
    <row r="6" spans="1:7" x14ac:dyDescent="0.3">
      <c r="A6" s="991" t="s">
        <v>207</v>
      </c>
      <c r="B6" s="991"/>
      <c r="C6" s="991"/>
      <c r="D6" s="991"/>
      <c r="E6" s="136"/>
      <c r="F6" s="136"/>
      <c r="G6" s="125"/>
    </row>
    <row r="7" spans="1:7" x14ac:dyDescent="0.3">
      <c r="A7" s="114">
        <v>1</v>
      </c>
      <c r="B7" s="126" t="s">
        <v>208</v>
      </c>
      <c r="C7" s="119" t="s">
        <v>193</v>
      </c>
      <c r="D7" s="142">
        <f>79.62</f>
        <v>79.62</v>
      </c>
      <c r="E7" s="138">
        <v>8650</v>
      </c>
      <c r="F7" s="94">
        <f>ROUND(E7*D7,2)</f>
        <v>688713</v>
      </c>
      <c r="G7" s="94">
        <f>ROUND(F7*1.2,2)</f>
        <v>826455.6</v>
      </c>
    </row>
    <row r="8" spans="1:7" x14ac:dyDescent="0.3">
      <c r="A8" s="114">
        <f>A7+1</f>
        <v>2</v>
      </c>
      <c r="B8" s="126" t="s">
        <v>209</v>
      </c>
      <c r="C8" s="119" t="s">
        <v>193</v>
      </c>
      <c r="D8" s="142">
        <v>308.73</v>
      </c>
      <c r="E8" s="138">
        <v>12450</v>
      </c>
      <c r="F8" s="94">
        <f>ROUND(E8*D8,2)</f>
        <v>3843688.5</v>
      </c>
      <c r="G8" s="94">
        <f>ROUND(F8*1.2,2)</f>
        <v>4612426.2</v>
      </c>
    </row>
    <row r="9" spans="1:7" ht="21.75" customHeight="1" x14ac:dyDescent="0.3">
      <c r="A9" s="114">
        <f t="shared" ref="A9:A10" si="0">A8+1</f>
        <v>3</v>
      </c>
      <c r="B9" s="126" t="s">
        <v>210</v>
      </c>
      <c r="C9" s="119" t="s">
        <v>193</v>
      </c>
      <c r="D9" s="142">
        <f>196.74</f>
        <v>196.74</v>
      </c>
      <c r="E9" s="138">
        <v>5165</v>
      </c>
      <c r="F9" s="94">
        <f>ROUND(E9*D9,2)</f>
        <v>1016162.1</v>
      </c>
      <c r="G9" s="94">
        <f>ROUND(F9*1.2,2)</f>
        <v>1219394.52</v>
      </c>
    </row>
    <row r="10" spans="1:7" ht="27.6" x14ac:dyDescent="0.3">
      <c r="A10" s="114">
        <f t="shared" si="0"/>
        <v>4</v>
      </c>
      <c r="B10" s="128" t="s">
        <v>211</v>
      </c>
      <c r="C10" s="119"/>
      <c r="D10" s="122"/>
      <c r="E10" s="137"/>
      <c r="F10" s="138"/>
      <c r="G10" s="123"/>
    </row>
    <row r="11" spans="1:7" x14ac:dyDescent="0.3">
      <c r="A11" s="129">
        <v>4.0999999999999996</v>
      </c>
      <c r="B11" s="126" t="s">
        <v>212</v>
      </c>
      <c r="C11" s="119" t="s">
        <v>193</v>
      </c>
      <c r="D11" s="122">
        <v>151</v>
      </c>
      <c r="E11" s="138">
        <v>1611</v>
      </c>
      <c r="F11" s="94">
        <f>ROUND(E11*D11,2)</f>
        <v>243261</v>
      </c>
      <c r="G11" s="94">
        <f>ROUND(F11*1.2,2)</f>
        <v>291913.2</v>
      </c>
    </row>
    <row r="12" spans="1:7" x14ac:dyDescent="0.3">
      <c r="A12" s="129">
        <v>4.2</v>
      </c>
      <c r="B12" s="126" t="s">
        <v>213</v>
      </c>
      <c r="C12" s="119" t="s">
        <v>193</v>
      </c>
      <c r="D12" s="122">
        <v>163</v>
      </c>
      <c r="E12" s="138">
        <v>1496</v>
      </c>
      <c r="F12" s="94">
        <f>ROUND(E12*D12,2)</f>
        <v>243848</v>
      </c>
      <c r="G12" s="94">
        <f>ROUND(F12*1.2,2)</f>
        <v>292617.59999999998</v>
      </c>
    </row>
    <row r="13" spans="1:7" x14ac:dyDescent="0.3">
      <c r="A13" s="129">
        <v>4.3</v>
      </c>
      <c r="B13" s="126" t="s">
        <v>214</v>
      </c>
      <c r="C13" s="119" t="s">
        <v>194</v>
      </c>
      <c r="D13" s="124">
        <v>226.24</v>
      </c>
      <c r="E13" s="138">
        <v>30</v>
      </c>
      <c r="F13" s="94">
        <f>ROUND(E13*D13,2)</f>
        <v>6787.2</v>
      </c>
      <c r="G13" s="94">
        <f>ROUND(F13*1.2,2)</f>
        <v>8144.64</v>
      </c>
    </row>
    <row r="14" spans="1:7" x14ac:dyDescent="0.3">
      <c r="A14" s="991" t="s">
        <v>215</v>
      </c>
      <c r="B14" s="991"/>
      <c r="C14" s="991"/>
      <c r="D14" s="991"/>
      <c r="E14" s="136"/>
      <c r="F14" s="136"/>
      <c r="G14" s="125"/>
    </row>
    <row r="15" spans="1:7" ht="68.25" customHeight="1" x14ac:dyDescent="0.3">
      <c r="A15" s="114">
        <f>A10+1</f>
        <v>5</v>
      </c>
      <c r="B15" s="126" t="s">
        <v>216</v>
      </c>
      <c r="C15" s="119" t="s">
        <v>194</v>
      </c>
      <c r="D15" s="124">
        <v>226.24</v>
      </c>
      <c r="E15" s="138">
        <v>1587</v>
      </c>
      <c r="F15" s="94">
        <f t="shared" ref="F15:F17" si="1">ROUND(E15*D15,2)</f>
        <v>359042.88</v>
      </c>
      <c r="G15" s="94">
        <f t="shared" ref="G15:G17" si="2">ROUND(F15*1.2,2)</f>
        <v>430851.46</v>
      </c>
    </row>
    <row r="16" spans="1:7" ht="21" customHeight="1" x14ac:dyDescent="0.3">
      <c r="A16" s="114">
        <f>A15+1</f>
        <v>6</v>
      </c>
      <c r="B16" s="126" t="s">
        <v>218</v>
      </c>
      <c r="C16" s="119" t="s">
        <v>194</v>
      </c>
      <c r="D16" s="124">
        <v>226.24</v>
      </c>
      <c r="E16" s="138">
        <v>4200</v>
      </c>
      <c r="F16" s="94">
        <f t="shared" si="1"/>
        <v>950208</v>
      </c>
      <c r="G16" s="94">
        <f t="shared" si="2"/>
        <v>1140249.6000000001</v>
      </c>
    </row>
    <row r="17" spans="1:7" ht="22.5" customHeight="1" x14ac:dyDescent="0.3">
      <c r="A17" s="114">
        <f>A16+1</f>
        <v>7</v>
      </c>
      <c r="B17" s="126" t="s">
        <v>219</v>
      </c>
      <c r="C17" s="119" t="s">
        <v>220</v>
      </c>
      <c r="D17" s="122">
        <v>1</v>
      </c>
      <c r="E17" s="137">
        <v>80000</v>
      </c>
      <c r="F17" s="94">
        <f t="shared" si="1"/>
        <v>80000</v>
      </c>
      <c r="G17" s="94">
        <f t="shared" si="2"/>
        <v>96000</v>
      </c>
    </row>
    <row r="18" spans="1:7" x14ac:dyDescent="0.3">
      <c r="A18" s="992" t="s">
        <v>221</v>
      </c>
      <c r="B18" s="992"/>
      <c r="C18" s="992"/>
      <c r="D18" s="992"/>
      <c r="E18" s="135"/>
      <c r="F18" s="135"/>
      <c r="G18" s="127"/>
    </row>
    <row r="19" spans="1:7" x14ac:dyDescent="0.3">
      <c r="A19" s="991" t="s">
        <v>207</v>
      </c>
      <c r="B19" s="991"/>
      <c r="C19" s="991"/>
      <c r="D19" s="991"/>
      <c r="E19" s="136"/>
      <c r="F19" s="136"/>
      <c r="G19" s="125"/>
    </row>
    <row r="20" spans="1:7" x14ac:dyDescent="0.3">
      <c r="A20" s="114">
        <f>A17+1</f>
        <v>8</v>
      </c>
      <c r="B20" s="126" t="s">
        <v>208</v>
      </c>
      <c r="C20" s="119" t="s">
        <v>193</v>
      </c>
      <c r="D20" s="142">
        <f>79.62</f>
        <v>79.62</v>
      </c>
      <c r="E20" s="138">
        <v>8650</v>
      </c>
      <c r="F20" s="94">
        <f>ROUND(E20*D20,2)</f>
        <v>688713</v>
      </c>
      <c r="G20" s="94">
        <f>ROUND(F20*1.2,2)</f>
        <v>826455.6</v>
      </c>
    </row>
    <row r="21" spans="1:7" x14ac:dyDescent="0.3">
      <c r="A21" s="114">
        <f>A20+1</f>
        <v>9</v>
      </c>
      <c r="B21" s="126" t="s">
        <v>209</v>
      </c>
      <c r="C21" s="119" t="s">
        <v>193</v>
      </c>
      <c r="D21" s="142">
        <v>308.73</v>
      </c>
      <c r="E21" s="138">
        <v>12450</v>
      </c>
      <c r="F21" s="94">
        <f>ROUND(E21*D21,2)</f>
        <v>3843688.5</v>
      </c>
      <c r="G21" s="94">
        <f>ROUND(F21*1.2,2)</f>
        <v>4612426.2</v>
      </c>
    </row>
    <row r="22" spans="1:7" ht="24" customHeight="1" x14ac:dyDescent="0.3">
      <c r="A22" s="114">
        <f t="shared" ref="A22:A23" si="3">A21+1</f>
        <v>10</v>
      </c>
      <c r="B22" s="126" t="s">
        <v>210</v>
      </c>
      <c r="C22" s="119" t="s">
        <v>193</v>
      </c>
      <c r="D22" s="142">
        <f>196.74</f>
        <v>196.74</v>
      </c>
      <c r="E22" s="138">
        <v>5165</v>
      </c>
      <c r="F22" s="94">
        <f>ROUND(E22*D22,2)</f>
        <v>1016162.1</v>
      </c>
      <c r="G22" s="94">
        <f>ROUND(F22*1.2,2)</f>
        <v>1219394.52</v>
      </c>
    </row>
    <row r="23" spans="1:7" ht="29.25" customHeight="1" x14ac:dyDescent="0.3">
      <c r="A23" s="114">
        <f t="shared" si="3"/>
        <v>11</v>
      </c>
      <c r="B23" s="128" t="s">
        <v>211</v>
      </c>
      <c r="C23" s="119"/>
      <c r="D23" s="122"/>
      <c r="E23" s="137"/>
      <c r="F23" s="138"/>
      <c r="G23" s="123"/>
    </row>
    <row r="24" spans="1:7" x14ac:dyDescent="0.3">
      <c r="A24" s="129">
        <v>11.1</v>
      </c>
      <c r="B24" s="126" t="s">
        <v>212</v>
      </c>
      <c r="C24" s="119" t="s">
        <v>193</v>
      </c>
      <c r="D24" s="122">
        <v>151</v>
      </c>
      <c r="E24" s="138">
        <v>1611</v>
      </c>
      <c r="F24" s="94">
        <f>ROUND(E24*D24,2)</f>
        <v>243261</v>
      </c>
      <c r="G24" s="94">
        <f>ROUND(F24*1.2,2)</f>
        <v>291913.2</v>
      </c>
    </row>
    <row r="25" spans="1:7" x14ac:dyDescent="0.3">
      <c r="A25" s="129">
        <v>11.2</v>
      </c>
      <c r="B25" s="126" t="s">
        <v>213</v>
      </c>
      <c r="C25" s="119" t="s">
        <v>193</v>
      </c>
      <c r="D25" s="122">
        <v>163</v>
      </c>
      <c r="E25" s="138">
        <v>1496</v>
      </c>
      <c r="F25" s="94">
        <f>ROUND(E25*D25,2)</f>
        <v>243848</v>
      </c>
      <c r="G25" s="94">
        <f>ROUND(F25*1.2,2)</f>
        <v>292617.59999999998</v>
      </c>
    </row>
    <row r="26" spans="1:7" x14ac:dyDescent="0.3">
      <c r="A26" s="129">
        <v>11.3</v>
      </c>
      <c r="B26" s="126" t="s">
        <v>214</v>
      </c>
      <c r="C26" s="119" t="s">
        <v>194</v>
      </c>
      <c r="D26" s="124">
        <v>226.24</v>
      </c>
      <c r="E26" s="138">
        <v>30</v>
      </c>
      <c r="F26" s="94">
        <f>ROUND(E26*D26,2)</f>
        <v>6787.2</v>
      </c>
      <c r="G26" s="94">
        <f>ROUND(F26*1.2,2)</f>
        <v>8144.64</v>
      </c>
    </row>
    <row r="27" spans="1:7" x14ac:dyDescent="0.3">
      <c r="A27" s="991" t="s">
        <v>222</v>
      </c>
      <c r="B27" s="991"/>
      <c r="C27" s="991"/>
      <c r="D27" s="991"/>
      <c r="E27" s="136"/>
      <c r="F27" s="136"/>
      <c r="G27" s="125"/>
    </row>
    <row r="28" spans="1:7" ht="66.75" customHeight="1" x14ac:dyDescent="0.3">
      <c r="A28" s="114">
        <f>A23+1</f>
        <v>12</v>
      </c>
      <c r="B28" s="126" t="s">
        <v>216</v>
      </c>
      <c r="C28" s="119" t="s">
        <v>194</v>
      </c>
      <c r="D28" s="124">
        <v>226.24</v>
      </c>
      <c r="E28" s="138">
        <v>1587</v>
      </c>
      <c r="F28" s="94">
        <f t="shared" ref="F28:F30" si="4">ROUND(E28*D28,2)</f>
        <v>359042.88</v>
      </c>
      <c r="G28" s="94">
        <f t="shared" ref="G28:G30" si="5">ROUND(F28*1.2,2)</f>
        <v>430851.46</v>
      </c>
    </row>
    <row r="29" spans="1:7" ht="24" customHeight="1" x14ac:dyDescent="0.3">
      <c r="A29" s="114">
        <f>A28+1</f>
        <v>13</v>
      </c>
      <c r="B29" s="126" t="s">
        <v>218</v>
      </c>
      <c r="C29" s="119" t="s">
        <v>194</v>
      </c>
      <c r="D29" s="124">
        <v>226.24</v>
      </c>
      <c r="E29" s="138">
        <v>4200</v>
      </c>
      <c r="F29" s="94">
        <f t="shared" si="4"/>
        <v>950208</v>
      </c>
      <c r="G29" s="94">
        <f t="shared" si="5"/>
        <v>1140249.6000000001</v>
      </c>
    </row>
    <row r="30" spans="1:7" ht="22.5" customHeight="1" x14ac:dyDescent="0.3">
      <c r="A30" s="114">
        <f>A29+1</f>
        <v>14</v>
      </c>
      <c r="B30" s="126" t="s">
        <v>219</v>
      </c>
      <c r="C30" s="119" t="s">
        <v>220</v>
      </c>
      <c r="D30" s="122">
        <v>1</v>
      </c>
      <c r="E30" s="137">
        <v>80000</v>
      </c>
      <c r="F30" s="94">
        <f t="shared" si="4"/>
        <v>80000</v>
      </c>
      <c r="G30" s="94">
        <f t="shared" si="5"/>
        <v>96000</v>
      </c>
    </row>
    <row r="31" spans="1:7" x14ac:dyDescent="0.3">
      <c r="A31" s="992" t="s">
        <v>223</v>
      </c>
      <c r="B31" s="992"/>
      <c r="C31" s="992"/>
      <c r="D31" s="992"/>
      <c r="E31" s="135"/>
      <c r="F31" s="135"/>
      <c r="G31" s="127"/>
    </row>
    <row r="32" spans="1:7" x14ac:dyDescent="0.3">
      <c r="A32" s="991" t="s">
        <v>207</v>
      </c>
      <c r="B32" s="991"/>
      <c r="C32" s="991"/>
      <c r="D32" s="991"/>
      <c r="E32" s="136"/>
      <c r="F32" s="136"/>
      <c r="G32" s="123"/>
    </row>
    <row r="33" spans="1:7" x14ac:dyDescent="0.3">
      <c r="A33" s="114">
        <f>A30+1</f>
        <v>15</v>
      </c>
      <c r="B33" s="126" t="s">
        <v>208</v>
      </c>
      <c r="C33" s="119" t="s">
        <v>193</v>
      </c>
      <c r="D33" s="142">
        <v>55.04</v>
      </c>
      <c r="E33" s="138">
        <v>8650</v>
      </c>
      <c r="F33" s="94">
        <f>ROUND(E33*D33,2)</f>
        <v>476096</v>
      </c>
      <c r="G33" s="94">
        <f>ROUND(F33*1.2,2)</f>
        <v>571315.19999999995</v>
      </c>
    </row>
    <row r="34" spans="1:7" x14ac:dyDescent="0.3">
      <c r="A34" s="114">
        <f>A33+1</f>
        <v>16</v>
      </c>
      <c r="B34" s="126" t="s">
        <v>209</v>
      </c>
      <c r="C34" s="119" t="s">
        <v>193</v>
      </c>
      <c r="D34" s="142">
        <v>213.41</v>
      </c>
      <c r="E34" s="138">
        <v>12450</v>
      </c>
      <c r="F34" s="94">
        <f>ROUND(E34*D34,2)</f>
        <v>2656954.5</v>
      </c>
      <c r="G34" s="94">
        <f>ROUND(F34*1.2,2)</f>
        <v>3188345.4</v>
      </c>
    </row>
    <row r="35" spans="1:7" ht="23.25" customHeight="1" x14ac:dyDescent="0.3">
      <c r="A35" s="114">
        <f>A34+1</f>
        <v>17</v>
      </c>
      <c r="B35" s="126" t="s">
        <v>210</v>
      </c>
      <c r="C35" s="119" t="s">
        <v>193</v>
      </c>
      <c r="D35" s="142">
        <f>136</f>
        <v>136</v>
      </c>
      <c r="E35" s="138">
        <v>5165</v>
      </c>
      <c r="F35" s="94">
        <f>ROUND(E35*D35,2)</f>
        <v>702440</v>
      </c>
      <c r="G35" s="94">
        <f>ROUND(F35*1.2,2)</f>
        <v>842928</v>
      </c>
    </row>
    <row r="36" spans="1:7" ht="27.6" x14ac:dyDescent="0.3">
      <c r="A36" s="114">
        <f>A35+1</f>
        <v>18</v>
      </c>
      <c r="B36" s="128" t="s">
        <v>211</v>
      </c>
      <c r="C36" s="119"/>
      <c r="D36" s="122"/>
      <c r="E36" s="137"/>
      <c r="F36" s="138"/>
      <c r="G36" s="123"/>
    </row>
    <row r="37" spans="1:7" x14ac:dyDescent="0.3">
      <c r="A37" s="129">
        <v>18.100000000000001</v>
      </c>
      <c r="B37" s="126" t="s">
        <v>212</v>
      </c>
      <c r="C37" s="119" t="s">
        <v>193</v>
      </c>
      <c r="D37" s="122">
        <v>105</v>
      </c>
      <c r="E37" s="138">
        <v>1611</v>
      </c>
      <c r="F37" s="94">
        <f>ROUND(E37*D37,2)</f>
        <v>169155</v>
      </c>
      <c r="G37" s="94">
        <f>ROUND(F37*1.2,2)</f>
        <v>202986</v>
      </c>
    </row>
    <row r="38" spans="1:7" x14ac:dyDescent="0.3">
      <c r="A38" s="129">
        <v>18.2</v>
      </c>
      <c r="B38" s="126" t="s">
        <v>213</v>
      </c>
      <c r="C38" s="119" t="s">
        <v>193</v>
      </c>
      <c r="D38" s="133">
        <v>112.6</v>
      </c>
      <c r="E38" s="138">
        <v>1496</v>
      </c>
      <c r="F38" s="94">
        <f>ROUND(E38*D38,2)</f>
        <v>168449.6</v>
      </c>
      <c r="G38" s="94">
        <f>ROUND(F38*1.2,2)</f>
        <v>202139.51999999999</v>
      </c>
    </row>
    <row r="39" spans="1:7" x14ac:dyDescent="0.3">
      <c r="A39" s="129">
        <v>18.3</v>
      </c>
      <c r="B39" s="126" t="s">
        <v>214</v>
      </c>
      <c r="C39" s="119" t="s">
        <v>194</v>
      </c>
      <c r="D39" s="124">
        <v>156.38999999999999</v>
      </c>
      <c r="E39" s="138">
        <v>30</v>
      </c>
      <c r="F39" s="94">
        <f>ROUND(E39*D39,2)</f>
        <v>4691.7</v>
      </c>
      <c r="G39" s="94">
        <f>ROUND(F39*1.2,2)</f>
        <v>5630.04</v>
      </c>
    </row>
    <row r="40" spans="1:7" x14ac:dyDescent="0.3">
      <c r="A40" s="991" t="s">
        <v>720</v>
      </c>
      <c r="B40" s="991"/>
      <c r="C40" s="991"/>
      <c r="D40" s="991"/>
      <c r="E40" s="136"/>
      <c r="F40" s="136"/>
      <c r="G40" s="125"/>
    </row>
    <row r="41" spans="1:7" ht="66.75" customHeight="1" x14ac:dyDescent="0.3">
      <c r="A41" s="114">
        <f>A36+1</f>
        <v>19</v>
      </c>
      <c r="B41" s="126" t="s">
        <v>216</v>
      </c>
      <c r="C41" s="119" t="s">
        <v>194</v>
      </c>
      <c r="D41" s="124">
        <v>156.38999999999999</v>
      </c>
      <c r="E41" s="138">
        <v>1587</v>
      </c>
      <c r="F41" s="94">
        <f t="shared" ref="F41:F43" si="6">ROUND(E41*D41,2)</f>
        <v>248190.93</v>
      </c>
      <c r="G41" s="94">
        <f t="shared" ref="G41:G43" si="7">ROUND(F41*1.2,2)</f>
        <v>297829.12</v>
      </c>
    </row>
    <row r="42" spans="1:7" ht="23.25" customHeight="1" x14ac:dyDescent="0.3">
      <c r="A42" s="114">
        <f>A41+1</f>
        <v>20</v>
      </c>
      <c r="B42" s="126" t="s">
        <v>218</v>
      </c>
      <c r="C42" s="119" t="s">
        <v>194</v>
      </c>
      <c r="D42" s="124">
        <v>156.38999999999999</v>
      </c>
      <c r="E42" s="138">
        <v>4200</v>
      </c>
      <c r="F42" s="94">
        <f t="shared" si="6"/>
        <v>656838</v>
      </c>
      <c r="G42" s="94">
        <f t="shared" si="7"/>
        <v>788205.6</v>
      </c>
    </row>
    <row r="43" spans="1:7" ht="22.5" customHeight="1" x14ac:dyDescent="0.3">
      <c r="A43" s="114">
        <f>A42+1</f>
        <v>21</v>
      </c>
      <c r="B43" s="126" t="s">
        <v>219</v>
      </c>
      <c r="C43" s="119" t="s">
        <v>220</v>
      </c>
      <c r="D43" s="122">
        <v>1</v>
      </c>
      <c r="E43" s="137">
        <v>80000</v>
      </c>
      <c r="F43" s="94">
        <f t="shared" si="6"/>
        <v>80000</v>
      </c>
      <c r="G43" s="94">
        <f t="shared" si="7"/>
        <v>96000</v>
      </c>
    </row>
    <row r="44" spans="1:7" x14ac:dyDescent="0.3">
      <c r="A44" s="992" t="s">
        <v>224</v>
      </c>
      <c r="B44" s="992"/>
      <c r="C44" s="992"/>
      <c r="D44" s="992"/>
      <c r="E44" s="135"/>
      <c r="F44" s="135"/>
      <c r="G44" s="127"/>
    </row>
    <row r="45" spans="1:7" x14ac:dyDescent="0.3">
      <c r="A45" s="991" t="s">
        <v>207</v>
      </c>
      <c r="B45" s="991"/>
      <c r="C45" s="991"/>
      <c r="D45" s="991"/>
      <c r="E45" s="136"/>
      <c r="F45" s="136"/>
      <c r="G45" s="125"/>
    </row>
    <row r="46" spans="1:7" x14ac:dyDescent="0.3">
      <c r="A46" s="114">
        <f>A43+1</f>
        <v>22</v>
      </c>
      <c r="B46" s="126" t="s">
        <v>208</v>
      </c>
      <c r="C46" s="119" t="s">
        <v>193</v>
      </c>
      <c r="D46" s="142">
        <v>34.22</v>
      </c>
      <c r="E46" s="138">
        <v>8650</v>
      </c>
      <c r="F46" s="94">
        <f>ROUND(E46*D46,2)</f>
        <v>296003</v>
      </c>
      <c r="G46" s="94">
        <f>ROUND(F46*1.2,2)</f>
        <v>355203.6</v>
      </c>
    </row>
    <row r="47" spans="1:7" x14ac:dyDescent="0.3">
      <c r="A47" s="114">
        <f>A46+1</f>
        <v>23</v>
      </c>
      <c r="B47" s="126" t="s">
        <v>209</v>
      </c>
      <c r="C47" s="119" t="s">
        <v>193</v>
      </c>
      <c r="D47" s="142">
        <v>132.63</v>
      </c>
      <c r="E47" s="138">
        <v>12450</v>
      </c>
      <c r="F47" s="94">
        <f>ROUND(E47*D47,2)</f>
        <v>1651243.5</v>
      </c>
      <c r="G47" s="94">
        <f>ROUND(F47*1.2,2)</f>
        <v>1981492.2</v>
      </c>
    </row>
    <row r="48" spans="1:7" ht="24" customHeight="1" x14ac:dyDescent="0.3">
      <c r="A48" s="114">
        <f t="shared" ref="A48:A49" si="8">A47+1</f>
        <v>24</v>
      </c>
      <c r="B48" s="126" t="s">
        <v>210</v>
      </c>
      <c r="C48" s="119" t="s">
        <v>193</v>
      </c>
      <c r="D48" s="142">
        <f>84.52</f>
        <v>84.52</v>
      </c>
      <c r="E48" s="138">
        <v>5165</v>
      </c>
      <c r="F48" s="94">
        <f>ROUND(E48*D48,2)</f>
        <v>436545.8</v>
      </c>
      <c r="G48" s="94">
        <f>ROUND(F48*1.2,2)</f>
        <v>523854.96</v>
      </c>
    </row>
    <row r="49" spans="1:8" ht="27.6" x14ac:dyDescent="0.3">
      <c r="A49" s="114">
        <f t="shared" si="8"/>
        <v>25</v>
      </c>
      <c r="B49" s="128" t="s">
        <v>211</v>
      </c>
      <c r="C49" s="119"/>
      <c r="D49" s="122"/>
      <c r="E49" s="137"/>
      <c r="F49" s="138"/>
      <c r="G49" s="123"/>
    </row>
    <row r="50" spans="1:8" x14ac:dyDescent="0.3">
      <c r="A50" s="129">
        <v>25.1</v>
      </c>
      <c r="B50" s="126" t="s">
        <v>212</v>
      </c>
      <c r="C50" s="119" t="s">
        <v>193</v>
      </c>
      <c r="D50" s="122">
        <v>65</v>
      </c>
      <c r="E50" s="138">
        <v>1611</v>
      </c>
      <c r="F50" s="94">
        <f>ROUND(E50*D50,2)</f>
        <v>104715</v>
      </c>
      <c r="G50" s="94">
        <f>ROUND(F50*1.2,2)</f>
        <v>125658</v>
      </c>
    </row>
    <row r="51" spans="1:8" x14ac:dyDescent="0.3">
      <c r="A51" s="129">
        <v>25.2</v>
      </c>
      <c r="B51" s="126" t="s">
        <v>213</v>
      </c>
      <c r="C51" s="119" t="s">
        <v>193</v>
      </c>
      <c r="D51" s="133">
        <v>70</v>
      </c>
      <c r="E51" s="138">
        <v>1496</v>
      </c>
      <c r="F51" s="94">
        <f>ROUND(E51*D51,2)</f>
        <v>104720</v>
      </c>
      <c r="G51" s="94">
        <f>ROUND(F51*1.2,2)</f>
        <v>125664</v>
      </c>
    </row>
    <row r="52" spans="1:8" x14ac:dyDescent="0.3">
      <c r="A52" s="129">
        <v>25.3</v>
      </c>
      <c r="B52" s="126" t="s">
        <v>214</v>
      </c>
      <c r="C52" s="119" t="s">
        <v>194</v>
      </c>
      <c r="D52" s="133">
        <v>97.2</v>
      </c>
      <c r="E52" s="138">
        <v>30</v>
      </c>
      <c r="F52" s="94">
        <f>ROUND(E52*D52,2)</f>
        <v>2916</v>
      </c>
      <c r="G52" s="94">
        <f>ROUND(F52*1.2,2)</f>
        <v>3499.2</v>
      </c>
    </row>
    <row r="53" spans="1:8" x14ac:dyDescent="0.3">
      <c r="A53" s="991" t="s">
        <v>225</v>
      </c>
      <c r="B53" s="991"/>
      <c r="C53" s="991"/>
      <c r="D53" s="991"/>
      <c r="E53" s="136"/>
      <c r="F53" s="136"/>
      <c r="G53" s="125"/>
    </row>
    <row r="54" spans="1:8" ht="62.25" customHeight="1" x14ac:dyDescent="0.3">
      <c r="A54" s="114">
        <f>A49+1</f>
        <v>26</v>
      </c>
      <c r="B54" s="126" t="s">
        <v>216</v>
      </c>
      <c r="C54" s="119" t="s">
        <v>194</v>
      </c>
      <c r="D54" s="124">
        <v>97.2</v>
      </c>
      <c r="E54" s="138">
        <v>1587</v>
      </c>
      <c r="F54" s="94">
        <f t="shared" ref="F54:F56" si="9">ROUND(E54*D54,2)</f>
        <v>154256.4</v>
      </c>
      <c r="G54" s="94">
        <f t="shared" ref="G54:G56" si="10">ROUND(F54*1.2,2)</f>
        <v>185107.68</v>
      </c>
    </row>
    <row r="55" spans="1:8" ht="24" customHeight="1" x14ac:dyDescent="0.3">
      <c r="A55" s="114">
        <f>A54+1</f>
        <v>27</v>
      </c>
      <c r="B55" s="126" t="s">
        <v>218</v>
      </c>
      <c r="C55" s="119" t="s">
        <v>194</v>
      </c>
      <c r="D55" s="124">
        <v>97.2</v>
      </c>
      <c r="E55" s="138">
        <v>4200</v>
      </c>
      <c r="F55" s="94">
        <f t="shared" si="9"/>
        <v>408240</v>
      </c>
      <c r="G55" s="94">
        <f t="shared" si="10"/>
        <v>489888</v>
      </c>
    </row>
    <row r="56" spans="1:8" ht="24" customHeight="1" x14ac:dyDescent="0.3">
      <c r="A56" s="114">
        <f>A55+1</f>
        <v>28</v>
      </c>
      <c r="B56" s="126" t="s">
        <v>219</v>
      </c>
      <c r="C56" s="119" t="s">
        <v>220</v>
      </c>
      <c r="D56" s="122">
        <v>1</v>
      </c>
      <c r="E56" s="137">
        <v>80000</v>
      </c>
      <c r="F56" s="94">
        <f t="shared" si="9"/>
        <v>80000</v>
      </c>
      <c r="G56" s="94">
        <f t="shared" si="10"/>
        <v>96000</v>
      </c>
    </row>
    <row r="57" spans="1:8" s="1" customFormat="1" x14ac:dyDescent="0.3">
      <c r="A57" s="139"/>
      <c r="B57" s="989" t="s">
        <v>439</v>
      </c>
      <c r="C57" s="989"/>
      <c r="D57" s="989"/>
      <c r="E57" s="989"/>
      <c r="F57" s="140">
        <f>SUM(F5:F56)</f>
        <v>23264876.789999999</v>
      </c>
      <c r="G57" s="141">
        <f>SUM(G5:G56)</f>
        <v>27917852.16</v>
      </c>
    </row>
    <row r="58" spans="1:8" x14ac:dyDescent="0.3">
      <c r="A58" s="974" t="s">
        <v>722</v>
      </c>
      <c r="B58" s="975"/>
      <c r="C58" s="975"/>
      <c r="D58" s="975"/>
      <c r="E58" s="976"/>
      <c r="F58" s="204">
        <f>ROUND(F57*0.03,2)</f>
        <v>697946.3</v>
      </c>
      <c r="G58" s="204">
        <f>ROUND(G57*0.03,2)</f>
        <v>837535.56</v>
      </c>
      <c r="H58" s="52"/>
    </row>
    <row r="59" spans="1:8" x14ac:dyDescent="0.3">
      <c r="A59" s="974" t="s">
        <v>723</v>
      </c>
      <c r="B59" s="975"/>
      <c r="C59" s="975"/>
      <c r="D59" s="975"/>
      <c r="E59" s="976"/>
      <c r="F59" s="204">
        <f>F57+F58</f>
        <v>23962823.09</v>
      </c>
      <c r="G59" s="204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993" t="s">
        <v>226</v>
      </c>
      <c r="B1" s="888" t="s">
        <v>227</v>
      </c>
      <c r="C1" s="888" t="s">
        <v>228</v>
      </c>
      <c r="D1" s="888" t="s">
        <v>229</v>
      </c>
      <c r="E1" s="994" t="s">
        <v>703</v>
      </c>
      <c r="F1" s="995"/>
      <c r="G1" s="996"/>
    </row>
    <row r="2" spans="1:7" x14ac:dyDescent="0.3">
      <c r="A2" s="993"/>
      <c r="B2" s="888"/>
      <c r="C2" s="888"/>
      <c r="D2" s="888"/>
      <c r="E2" s="997"/>
      <c r="F2" s="998"/>
      <c r="G2" s="999"/>
    </row>
    <row r="3" spans="1:7" ht="27.6" x14ac:dyDescent="0.3">
      <c r="A3" s="993"/>
      <c r="B3" s="888"/>
      <c r="C3" s="888"/>
      <c r="D3" s="888"/>
      <c r="E3" s="89" t="s">
        <v>196</v>
      </c>
      <c r="F3" s="90" t="s">
        <v>197</v>
      </c>
      <c r="G3" s="90" t="s">
        <v>199</v>
      </c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x14ac:dyDescent="0.3">
      <c r="A5" s="992" t="s">
        <v>206</v>
      </c>
      <c r="B5" s="992"/>
      <c r="C5" s="992"/>
      <c r="D5" s="992"/>
      <c r="E5" s="130"/>
      <c r="F5" s="130"/>
      <c r="G5" s="130"/>
    </row>
    <row r="6" spans="1:7" x14ac:dyDescent="0.3">
      <c r="A6" s="114">
        <v>1</v>
      </c>
      <c r="B6" s="67" t="s">
        <v>717</v>
      </c>
      <c r="C6" s="119" t="s">
        <v>193</v>
      </c>
      <c r="D6" s="122">
        <v>151</v>
      </c>
      <c r="E6" s="94">
        <v>5500</v>
      </c>
      <c r="F6" s="94">
        <f>ROUND(E6*D6,2)</f>
        <v>830500</v>
      </c>
      <c r="G6" s="94">
        <f>ROUND(F6*1.2,2)</f>
        <v>996600</v>
      </c>
    </row>
    <row r="7" spans="1:7" x14ac:dyDescent="0.3">
      <c r="A7" s="114">
        <f>A6+1</f>
        <v>2</v>
      </c>
      <c r="B7" s="67" t="s">
        <v>718</v>
      </c>
      <c r="C7" s="119" t="s">
        <v>193</v>
      </c>
      <c r="D7" s="122">
        <v>163</v>
      </c>
      <c r="E7" s="94">
        <v>1375</v>
      </c>
      <c r="F7" s="94">
        <f>ROUND(E7*D7,2)</f>
        <v>224125</v>
      </c>
      <c r="G7" s="94">
        <f>ROUND(F7*1.2,2)</f>
        <v>268950</v>
      </c>
    </row>
    <row r="8" spans="1:7" x14ac:dyDescent="0.3">
      <c r="A8" s="114">
        <f>A7+1</f>
        <v>3</v>
      </c>
      <c r="B8" s="67" t="s">
        <v>203</v>
      </c>
      <c r="C8" s="119" t="s">
        <v>194</v>
      </c>
      <c r="D8" s="124">
        <v>226.24</v>
      </c>
      <c r="E8" s="94">
        <v>168</v>
      </c>
      <c r="F8" s="94">
        <f>ROUND(E8*D8,2)</f>
        <v>38008.32</v>
      </c>
      <c r="G8" s="94">
        <f>ROUND(F8*1.2,2)</f>
        <v>45609.98</v>
      </c>
    </row>
    <row r="9" spans="1:7" ht="27.6" x14ac:dyDescent="0.3">
      <c r="A9" s="114">
        <f>A8+1</f>
        <v>4</v>
      </c>
      <c r="B9" s="126" t="s">
        <v>183</v>
      </c>
      <c r="C9" s="119" t="s">
        <v>194</v>
      </c>
      <c r="D9" s="124">
        <v>226.24</v>
      </c>
      <c r="E9" s="94">
        <f>ROUND(38500/1.2,2)</f>
        <v>32083.33</v>
      </c>
      <c r="F9" s="94">
        <f>ROUND(E9*D9,2)</f>
        <v>7258532.5800000001</v>
      </c>
      <c r="G9" s="94">
        <f>ROUND(F9*1.2,2)</f>
        <v>8710239.0999999996</v>
      </c>
    </row>
    <row r="10" spans="1:7" x14ac:dyDescent="0.3">
      <c r="A10" s="114">
        <f>A9+1</f>
        <v>5</v>
      </c>
      <c r="B10" s="134" t="s">
        <v>706</v>
      </c>
      <c r="C10" s="119" t="s">
        <v>178</v>
      </c>
      <c r="D10" s="95">
        <v>219</v>
      </c>
      <c r="E10" s="94">
        <f>ROUND(200/1.2,2)</f>
        <v>166.67</v>
      </c>
      <c r="F10" s="94">
        <f t="shared" ref="F10:F11" si="0">ROUND(E10*D10,2)</f>
        <v>36500.730000000003</v>
      </c>
      <c r="G10" s="94">
        <f t="shared" ref="G10:G11" si="1">ROUND(F10*1.2,2)</f>
        <v>43800.88</v>
      </c>
    </row>
    <row r="11" spans="1:7" x14ac:dyDescent="0.3">
      <c r="A11" s="114">
        <f t="shared" ref="A11:A13" si="2">A10+1</f>
        <v>6</v>
      </c>
      <c r="B11" s="134" t="s">
        <v>707</v>
      </c>
      <c r="C11" s="119" t="s">
        <v>178</v>
      </c>
      <c r="D11" s="95">
        <v>73</v>
      </c>
      <c r="E11" s="94">
        <f>ROUND(5841/1.2,2)</f>
        <v>4867.5</v>
      </c>
      <c r="F11" s="94">
        <f t="shared" si="0"/>
        <v>355327.5</v>
      </c>
      <c r="G11" s="94">
        <f t="shared" si="1"/>
        <v>426393</v>
      </c>
    </row>
    <row r="12" spans="1:7" x14ac:dyDescent="0.3">
      <c r="A12" s="114">
        <f t="shared" si="2"/>
        <v>7</v>
      </c>
      <c r="B12" s="126" t="s">
        <v>719</v>
      </c>
      <c r="C12" s="119" t="s">
        <v>217</v>
      </c>
      <c r="D12" s="122">
        <v>1</v>
      </c>
      <c r="E12" s="94">
        <v>110000</v>
      </c>
      <c r="F12" s="94">
        <f>ROUND(E12*D12,2)</f>
        <v>110000</v>
      </c>
      <c r="G12" s="94">
        <f>ROUND(F12*1.2,2)</f>
        <v>132000</v>
      </c>
    </row>
    <row r="13" spans="1:7" x14ac:dyDescent="0.3">
      <c r="A13" s="114">
        <f t="shared" si="2"/>
        <v>8</v>
      </c>
      <c r="B13" s="126" t="s">
        <v>191</v>
      </c>
      <c r="C13" s="119" t="s">
        <v>220</v>
      </c>
      <c r="D13" s="122">
        <v>1</v>
      </c>
      <c r="E13" s="94">
        <f>ROUND(154000/1.2,2)</f>
        <v>128333.33</v>
      </c>
      <c r="F13" s="94">
        <f>ROUND(E13*D13,2)</f>
        <v>128333.33</v>
      </c>
      <c r="G13" s="94">
        <f>ROUND(F13*1.2,2)</f>
        <v>154000</v>
      </c>
    </row>
    <row r="14" spans="1:7" x14ac:dyDescent="0.3">
      <c r="A14" s="992" t="s">
        <v>221</v>
      </c>
      <c r="B14" s="992"/>
      <c r="C14" s="992"/>
      <c r="D14" s="992"/>
      <c r="E14" s="131"/>
      <c r="F14" s="132"/>
      <c r="G14" s="132"/>
    </row>
    <row r="15" spans="1:7" x14ac:dyDescent="0.3">
      <c r="A15" s="114">
        <f>A13+1</f>
        <v>9</v>
      </c>
      <c r="B15" s="67" t="s">
        <v>717</v>
      </c>
      <c r="C15" s="119" t="s">
        <v>193</v>
      </c>
      <c r="D15" s="122">
        <v>151</v>
      </c>
      <c r="E15" s="94">
        <v>5500</v>
      </c>
      <c r="F15" s="94">
        <f>ROUND(E15*D15,2)</f>
        <v>830500</v>
      </c>
      <c r="G15" s="94">
        <f>ROUND(F15*1.2,2)</f>
        <v>996600</v>
      </c>
    </row>
    <row r="16" spans="1:7" x14ac:dyDescent="0.3">
      <c r="A16" s="114">
        <f>A15+1</f>
        <v>10</v>
      </c>
      <c r="B16" s="67" t="s">
        <v>718</v>
      </c>
      <c r="C16" s="119" t="s">
        <v>193</v>
      </c>
      <c r="D16" s="122">
        <v>163</v>
      </c>
      <c r="E16" s="94">
        <v>1375</v>
      </c>
      <c r="F16" s="94">
        <f>ROUND(E16*D16,2)</f>
        <v>224125</v>
      </c>
      <c r="G16" s="94">
        <f>ROUND(F16*1.2,2)</f>
        <v>268950</v>
      </c>
    </row>
    <row r="17" spans="1:7" x14ac:dyDescent="0.3">
      <c r="A17" s="114">
        <f>A16+1</f>
        <v>11</v>
      </c>
      <c r="B17" s="67" t="s">
        <v>203</v>
      </c>
      <c r="C17" s="119" t="s">
        <v>194</v>
      </c>
      <c r="D17" s="124">
        <v>226.24</v>
      </c>
      <c r="E17" s="94">
        <v>168</v>
      </c>
      <c r="F17" s="94">
        <f>ROUND(E17*D17,2)</f>
        <v>38008.32</v>
      </c>
      <c r="G17" s="94">
        <f>ROUND(F17*1.2,2)</f>
        <v>45609.98</v>
      </c>
    </row>
    <row r="18" spans="1:7" ht="27.6" x14ac:dyDescent="0.3">
      <c r="A18" s="114">
        <f>A17+1</f>
        <v>12</v>
      </c>
      <c r="B18" s="126" t="s">
        <v>183</v>
      </c>
      <c r="C18" s="119" t="s">
        <v>194</v>
      </c>
      <c r="D18" s="124">
        <v>226.24</v>
      </c>
      <c r="E18" s="94">
        <f>ROUND(38500/1.2,2)</f>
        <v>32083.33</v>
      </c>
      <c r="F18" s="94">
        <f>ROUND(E18*D18,2)</f>
        <v>7258532.5800000001</v>
      </c>
      <c r="G18" s="94">
        <f>ROUND(F18*1.2,2)</f>
        <v>8710239.0999999996</v>
      </c>
    </row>
    <row r="19" spans="1:7" x14ac:dyDescent="0.3">
      <c r="A19" s="114">
        <f>A18+1</f>
        <v>13</v>
      </c>
      <c r="B19" s="134" t="s">
        <v>706</v>
      </c>
      <c r="C19" s="119" t="s">
        <v>178</v>
      </c>
      <c r="D19" s="95">
        <v>219</v>
      </c>
      <c r="E19" s="94">
        <f>ROUND(200/1.2,2)</f>
        <v>166.67</v>
      </c>
      <c r="F19" s="94">
        <f t="shared" ref="F19:F20" si="3">ROUND(E19*D19,2)</f>
        <v>36500.730000000003</v>
      </c>
      <c r="G19" s="94">
        <f t="shared" ref="G19:G20" si="4">ROUND(F19*1.2,2)</f>
        <v>43800.88</v>
      </c>
    </row>
    <row r="20" spans="1:7" x14ac:dyDescent="0.3">
      <c r="A20" s="114">
        <f t="shared" ref="A20:A22" si="5">A19+1</f>
        <v>14</v>
      </c>
      <c r="B20" s="134" t="s">
        <v>707</v>
      </c>
      <c r="C20" s="119" t="s">
        <v>178</v>
      </c>
      <c r="D20" s="95">
        <v>73</v>
      </c>
      <c r="E20" s="94">
        <f>ROUND(5841/1.2,2)</f>
        <v>4867.5</v>
      </c>
      <c r="F20" s="94">
        <f t="shared" si="3"/>
        <v>355327.5</v>
      </c>
      <c r="G20" s="94">
        <f t="shared" si="4"/>
        <v>426393</v>
      </c>
    </row>
    <row r="21" spans="1:7" x14ac:dyDescent="0.3">
      <c r="A21" s="114">
        <f t="shared" si="5"/>
        <v>15</v>
      </c>
      <c r="B21" s="126" t="s">
        <v>719</v>
      </c>
      <c r="C21" s="119" t="s">
        <v>217</v>
      </c>
      <c r="D21" s="122">
        <v>1</v>
      </c>
      <c r="E21" s="94">
        <v>330000</v>
      </c>
      <c r="F21" s="94">
        <f>ROUND(E21*D21,2)</f>
        <v>330000</v>
      </c>
      <c r="G21" s="94">
        <f>ROUND(F21*1.2,2)</f>
        <v>396000</v>
      </c>
    </row>
    <row r="22" spans="1:7" x14ac:dyDescent="0.3">
      <c r="A22" s="114">
        <f t="shared" si="5"/>
        <v>16</v>
      </c>
      <c r="B22" s="126" t="s">
        <v>191</v>
      </c>
      <c r="C22" s="119" t="s">
        <v>220</v>
      </c>
      <c r="D22" s="122">
        <v>1</v>
      </c>
      <c r="E22" s="94">
        <f>ROUND(154000/1.2,2)</f>
        <v>128333.33</v>
      </c>
      <c r="F22" s="94">
        <f>ROUND(E22*D22,2)</f>
        <v>128333.33</v>
      </c>
      <c r="G22" s="94">
        <f>ROUND(F22*1.2,2)</f>
        <v>154000</v>
      </c>
    </row>
    <row r="23" spans="1:7" x14ac:dyDescent="0.3">
      <c r="A23" s="992" t="s">
        <v>223</v>
      </c>
      <c r="B23" s="992"/>
      <c r="C23" s="992"/>
      <c r="D23" s="992"/>
      <c r="E23" s="131"/>
      <c r="F23" s="132"/>
      <c r="G23" s="132"/>
    </row>
    <row r="24" spans="1:7" x14ac:dyDescent="0.3">
      <c r="A24" s="114">
        <f>A22+1</f>
        <v>17</v>
      </c>
      <c r="B24" s="67" t="s">
        <v>717</v>
      </c>
      <c r="C24" s="119" t="s">
        <v>193</v>
      </c>
      <c r="D24" s="122">
        <v>105</v>
      </c>
      <c r="E24" s="94">
        <v>5500</v>
      </c>
      <c r="F24" s="94">
        <f>ROUND(E24*D24,2)</f>
        <v>577500</v>
      </c>
      <c r="G24" s="94">
        <f>ROUND(F24*1.2,2)</f>
        <v>693000</v>
      </c>
    </row>
    <row r="25" spans="1:7" x14ac:dyDescent="0.3">
      <c r="A25" s="114">
        <f>A24+1</f>
        <v>18</v>
      </c>
      <c r="B25" s="67" t="s">
        <v>718</v>
      </c>
      <c r="C25" s="119" t="s">
        <v>193</v>
      </c>
      <c r="D25" s="133">
        <v>112.6</v>
      </c>
      <c r="E25" s="94">
        <v>1375</v>
      </c>
      <c r="F25" s="94">
        <f>ROUND(E25*D25,2)</f>
        <v>154825</v>
      </c>
      <c r="G25" s="94">
        <f>ROUND(F25*1.2,2)</f>
        <v>185790</v>
      </c>
    </row>
    <row r="26" spans="1:7" x14ac:dyDescent="0.3">
      <c r="A26" s="114">
        <f>A25+1</f>
        <v>19</v>
      </c>
      <c r="B26" s="67" t="s">
        <v>203</v>
      </c>
      <c r="C26" s="119" t="s">
        <v>194</v>
      </c>
      <c r="D26" s="124">
        <v>156.38999999999999</v>
      </c>
      <c r="E26" s="94">
        <v>168</v>
      </c>
      <c r="F26" s="94">
        <f>ROUND(E26*D26,2)</f>
        <v>26273.52</v>
      </c>
      <c r="G26" s="94">
        <f>ROUND(F26*1.2,2)</f>
        <v>31528.22</v>
      </c>
    </row>
    <row r="27" spans="1:7" ht="27.6" x14ac:dyDescent="0.3">
      <c r="A27" s="114">
        <f>A26+1</f>
        <v>20</v>
      </c>
      <c r="B27" s="126" t="s">
        <v>183</v>
      </c>
      <c r="C27" s="119" t="s">
        <v>194</v>
      </c>
      <c r="D27" s="124">
        <v>156.38999999999999</v>
      </c>
      <c r="E27" s="94">
        <f>ROUND(38500/1.2,2)</f>
        <v>32083.33</v>
      </c>
      <c r="F27" s="94">
        <f>ROUND(E27*D27,2)</f>
        <v>5017511.9800000004</v>
      </c>
      <c r="G27" s="94">
        <f>ROUND(F27*1.2,2)</f>
        <v>6021014.3799999999</v>
      </c>
    </row>
    <row r="28" spans="1:7" x14ac:dyDescent="0.3">
      <c r="A28" s="114">
        <f>A27+1</f>
        <v>21</v>
      </c>
      <c r="B28" s="134" t="s">
        <v>706</v>
      </c>
      <c r="C28" s="119" t="s">
        <v>178</v>
      </c>
      <c r="D28" s="95">
        <v>151</v>
      </c>
      <c r="E28" s="94">
        <f>ROUND(200/1.2,2)</f>
        <v>166.67</v>
      </c>
      <c r="F28" s="94">
        <f t="shared" ref="F28:F29" si="6">ROUND(E28*D28,2)</f>
        <v>25167.17</v>
      </c>
      <c r="G28" s="94">
        <f t="shared" ref="G28:G29" si="7">ROUND(F28*1.2,2)</f>
        <v>30200.6</v>
      </c>
    </row>
    <row r="29" spans="1:7" x14ac:dyDescent="0.3">
      <c r="A29" s="114">
        <f t="shared" ref="A29:A31" si="8">A28+1</f>
        <v>22</v>
      </c>
      <c r="B29" s="134" t="s">
        <v>707</v>
      </c>
      <c r="C29" s="119" t="s">
        <v>178</v>
      </c>
      <c r="D29" s="95">
        <v>50</v>
      </c>
      <c r="E29" s="94">
        <f>ROUND(5841/1.2,2)</f>
        <v>4867.5</v>
      </c>
      <c r="F29" s="94">
        <f t="shared" si="6"/>
        <v>243375</v>
      </c>
      <c r="G29" s="94">
        <f t="shared" si="7"/>
        <v>292050</v>
      </c>
    </row>
    <row r="30" spans="1:7" x14ac:dyDescent="0.3">
      <c r="A30" s="114">
        <f t="shared" si="8"/>
        <v>23</v>
      </c>
      <c r="B30" s="126" t="s">
        <v>719</v>
      </c>
      <c r="C30" s="119" t="s">
        <v>217</v>
      </c>
      <c r="D30" s="122">
        <v>1</v>
      </c>
      <c r="E30" s="94">
        <v>110000</v>
      </c>
      <c r="F30" s="94">
        <f>ROUND(E30*D30,2)</f>
        <v>110000</v>
      </c>
      <c r="G30" s="94">
        <f>ROUND(F30*1.2,2)</f>
        <v>132000</v>
      </c>
    </row>
    <row r="31" spans="1:7" x14ac:dyDescent="0.3">
      <c r="A31" s="114">
        <f t="shared" si="8"/>
        <v>24</v>
      </c>
      <c r="B31" s="126" t="s">
        <v>191</v>
      </c>
      <c r="C31" s="119" t="s">
        <v>220</v>
      </c>
      <c r="D31" s="122">
        <v>1</v>
      </c>
      <c r="E31" s="94">
        <f>ROUND(154000/1.2,2)</f>
        <v>128333.33</v>
      </c>
      <c r="F31" s="94">
        <f>ROUND(E31*D31,2)</f>
        <v>128333.33</v>
      </c>
      <c r="G31" s="94">
        <f>ROUND(F31*1.2,2)</f>
        <v>154000</v>
      </c>
    </row>
    <row r="32" spans="1:7" x14ac:dyDescent="0.3">
      <c r="A32" s="992" t="s">
        <v>224</v>
      </c>
      <c r="B32" s="992"/>
      <c r="C32" s="992"/>
      <c r="D32" s="992"/>
      <c r="E32" s="131"/>
      <c r="F32" s="132"/>
      <c r="G32" s="132"/>
    </row>
    <row r="33" spans="1:7" x14ac:dyDescent="0.3">
      <c r="A33" s="114">
        <f>A31+1</f>
        <v>25</v>
      </c>
      <c r="B33" s="67" t="s">
        <v>717</v>
      </c>
      <c r="C33" s="119" t="s">
        <v>193</v>
      </c>
      <c r="D33" s="122">
        <v>65</v>
      </c>
      <c r="E33" s="94">
        <v>5500</v>
      </c>
      <c r="F33" s="94">
        <f>ROUND(E33*D33,2)</f>
        <v>357500</v>
      </c>
      <c r="G33" s="94">
        <f>ROUND(F33*1.2,2)</f>
        <v>429000</v>
      </c>
    </row>
    <row r="34" spans="1:7" x14ac:dyDescent="0.3">
      <c r="A34" s="114">
        <f>A33+1</f>
        <v>26</v>
      </c>
      <c r="B34" s="67" t="s">
        <v>718</v>
      </c>
      <c r="C34" s="119" t="s">
        <v>193</v>
      </c>
      <c r="D34" s="133">
        <v>70</v>
      </c>
      <c r="E34" s="94">
        <v>1375</v>
      </c>
      <c r="F34" s="94">
        <f>ROUND(E34*D34,2)</f>
        <v>96250</v>
      </c>
      <c r="G34" s="94">
        <f>ROUND(F34*1.2,2)</f>
        <v>115500</v>
      </c>
    </row>
    <row r="35" spans="1:7" x14ac:dyDescent="0.3">
      <c r="A35" s="114">
        <f>A34+1</f>
        <v>27</v>
      </c>
      <c r="B35" s="67" t="s">
        <v>203</v>
      </c>
      <c r="C35" s="119" t="s">
        <v>194</v>
      </c>
      <c r="D35" s="133">
        <v>97.2</v>
      </c>
      <c r="E35" s="94">
        <v>168</v>
      </c>
      <c r="F35" s="94">
        <f>ROUND(E35*D35,2)</f>
        <v>16329.6</v>
      </c>
      <c r="G35" s="94">
        <f>ROUND(F35*1.2,2)</f>
        <v>19595.52</v>
      </c>
    </row>
    <row r="36" spans="1:7" ht="27.6" x14ac:dyDescent="0.3">
      <c r="A36" s="114">
        <f>A35+1</f>
        <v>28</v>
      </c>
      <c r="B36" s="126" t="s">
        <v>183</v>
      </c>
      <c r="C36" s="119" t="s">
        <v>194</v>
      </c>
      <c r="D36" s="124">
        <v>97.2</v>
      </c>
      <c r="E36" s="94">
        <f>ROUND(38500/1.2,2)</f>
        <v>32083.33</v>
      </c>
      <c r="F36" s="94">
        <f>ROUND(E36*D36,2)</f>
        <v>3118499.68</v>
      </c>
      <c r="G36" s="94">
        <f>ROUND(F36*1.2,2)</f>
        <v>3742199.62</v>
      </c>
    </row>
    <row r="37" spans="1:7" x14ac:dyDescent="0.3">
      <c r="A37" s="114">
        <f>A36+1</f>
        <v>29</v>
      </c>
      <c r="B37" s="134" t="s">
        <v>706</v>
      </c>
      <c r="C37" s="119" t="s">
        <v>178</v>
      </c>
      <c r="D37" s="122">
        <v>95</v>
      </c>
      <c r="E37" s="94">
        <f>ROUND(200/1.2,2)</f>
        <v>166.67</v>
      </c>
      <c r="F37" s="94">
        <f t="shared" ref="F37:F38" si="9">ROUND(E37*D37,2)</f>
        <v>15833.65</v>
      </c>
      <c r="G37" s="94">
        <f t="shared" ref="G37:G38" si="10">ROUND(F37*1.2,2)</f>
        <v>19000.38</v>
      </c>
    </row>
    <row r="38" spans="1:7" x14ac:dyDescent="0.3">
      <c r="A38" s="114">
        <f t="shared" ref="A38:A40" si="11">A37+1</f>
        <v>30</v>
      </c>
      <c r="B38" s="134" t="s">
        <v>707</v>
      </c>
      <c r="C38" s="119" t="s">
        <v>178</v>
      </c>
      <c r="D38" s="122">
        <v>32</v>
      </c>
      <c r="E38" s="94">
        <f>ROUND(5841/1.2,2)</f>
        <v>4867.5</v>
      </c>
      <c r="F38" s="94">
        <f t="shared" si="9"/>
        <v>155760</v>
      </c>
      <c r="G38" s="94">
        <f t="shared" si="10"/>
        <v>186912</v>
      </c>
    </row>
    <row r="39" spans="1:7" x14ac:dyDescent="0.3">
      <c r="A39" s="114">
        <f t="shared" si="11"/>
        <v>31</v>
      </c>
      <c r="B39" s="126" t="s">
        <v>719</v>
      </c>
      <c r="C39" s="119" t="s">
        <v>217</v>
      </c>
      <c r="D39" s="122">
        <v>1</v>
      </c>
      <c r="E39" s="94">
        <v>110000</v>
      </c>
      <c r="F39" s="94">
        <f>ROUND(E39*D39,2)</f>
        <v>110000</v>
      </c>
      <c r="G39" s="94">
        <f>ROUND(F39*1.2,2)</f>
        <v>132000</v>
      </c>
    </row>
    <row r="40" spans="1:7" x14ac:dyDescent="0.3">
      <c r="A40" s="114">
        <f t="shared" si="11"/>
        <v>32</v>
      </c>
      <c r="B40" s="126" t="s">
        <v>191</v>
      </c>
      <c r="C40" s="119" t="s">
        <v>220</v>
      </c>
      <c r="D40" s="122">
        <v>1</v>
      </c>
      <c r="E40" s="94">
        <f>ROUND(154000/1.2,2)</f>
        <v>128333.33</v>
      </c>
      <c r="F40" s="94">
        <f>ROUND(E40*D40,2)</f>
        <v>128333.33</v>
      </c>
      <c r="G40" s="94">
        <f>ROUND(F40*1.2,2)</f>
        <v>154000</v>
      </c>
    </row>
    <row r="41" spans="1:7" s="1" customFormat="1" ht="18.75" customHeight="1" x14ac:dyDescent="0.3">
      <c r="A41" s="97"/>
      <c r="B41" s="1000" t="s">
        <v>721</v>
      </c>
      <c r="C41" s="1001"/>
      <c r="D41" s="1001"/>
      <c r="E41" s="1002"/>
      <c r="F41" s="106">
        <f>SUM(F6:F40)</f>
        <v>28464147.179999996</v>
      </c>
      <c r="G41" s="106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703</v>
      </c>
      <c r="F1" s="970"/>
      <c r="G1" s="970"/>
    </row>
    <row r="2" spans="1:8" ht="14.55" customHeight="1" x14ac:dyDescent="0.3">
      <c r="A2" s="964"/>
      <c r="B2" s="966"/>
      <c r="C2" s="954"/>
      <c r="D2" s="954"/>
      <c r="E2" s="973"/>
      <c r="F2" s="971"/>
      <c r="G2" s="971"/>
    </row>
    <row r="3" spans="1:8" ht="55.95" customHeight="1" x14ac:dyDescent="0.3">
      <c r="A3" s="935"/>
      <c r="B3" s="967"/>
      <c r="C3" s="954"/>
      <c r="D3" s="954"/>
      <c r="E3" s="59" t="s">
        <v>441</v>
      </c>
      <c r="F3" s="59" t="s">
        <v>433</v>
      </c>
      <c r="G3" s="98" t="s">
        <v>409</v>
      </c>
    </row>
    <row r="4" spans="1:8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</row>
    <row r="5" spans="1:8" ht="20.25" customHeight="1" x14ac:dyDescent="0.3">
      <c r="A5" s="169"/>
      <c r="B5" s="957" t="s">
        <v>232</v>
      </c>
      <c r="C5" s="958"/>
      <c r="D5" s="958"/>
      <c r="E5" s="170"/>
      <c r="F5" s="171"/>
      <c r="G5" s="179"/>
    </row>
    <row r="6" spans="1:8" ht="20.25" customHeight="1" x14ac:dyDescent="0.3">
      <c r="A6" s="60"/>
      <c r="B6" s="62" t="s">
        <v>442</v>
      </c>
      <c r="C6" s="63"/>
      <c r="D6" s="63"/>
      <c r="E6" s="64"/>
      <c r="F6" s="65"/>
      <c r="G6" s="123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67">
        <v>325</v>
      </c>
      <c r="F7" s="94">
        <f t="shared" ref="F7:F61" si="0">ROUND(E7*D7,2)</f>
        <v>351000</v>
      </c>
      <c r="G7" s="94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67">
        <v>1777</v>
      </c>
      <c r="F8" s="94">
        <f t="shared" si="0"/>
        <v>35540</v>
      </c>
      <c r="G8" s="94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67">
        <v>3460</v>
      </c>
      <c r="F9" s="94">
        <f t="shared" si="0"/>
        <v>6034240</v>
      </c>
      <c r="G9" s="94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67">
        <v>50</v>
      </c>
      <c r="F10" s="94">
        <f t="shared" si="0"/>
        <v>54500</v>
      </c>
      <c r="G10" s="94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67">
        <v>325</v>
      </c>
      <c r="F11" s="94">
        <f t="shared" si="0"/>
        <v>334750</v>
      </c>
      <c r="G11" s="94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67">
        <v>899</v>
      </c>
      <c r="F12" s="94">
        <f t="shared" si="0"/>
        <v>8990</v>
      </c>
      <c r="G12" s="94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67">
        <v>325</v>
      </c>
      <c r="F13" s="94">
        <f t="shared" si="0"/>
        <v>2600</v>
      </c>
      <c r="G13" s="94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67">
        <v>899</v>
      </c>
      <c r="F14" s="94">
        <f t="shared" si="0"/>
        <v>1798</v>
      </c>
      <c r="G14" s="94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67">
        <v>203</v>
      </c>
      <c r="F15" s="94">
        <f t="shared" si="0"/>
        <v>2030</v>
      </c>
      <c r="G15" s="94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77"/>
      <c r="F16" s="94"/>
      <c r="G16" s="94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67">
        <v>1111</v>
      </c>
      <c r="F17" s="94">
        <f t="shared" si="0"/>
        <v>186648</v>
      </c>
      <c r="G17" s="94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67">
        <v>253</v>
      </c>
      <c r="F18" s="94">
        <f t="shared" si="0"/>
        <v>260590</v>
      </c>
      <c r="G18" s="94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67">
        <v>468</v>
      </c>
      <c r="F19" s="94">
        <f t="shared" si="0"/>
        <v>482040</v>
      </c>
      <c r="G19" s="94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67">
        <v>1475</v>
      </c>
      <c r="F20" s="94">
        <f t="shared" si="0"/>
        <v>178475</v>
      </c>
      <c r="G20" s="94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67">
        <v>1140</v>
      </c>
      <c r="F21" s="94">
        <f t="shared" si="0"/>
        <v>877800</v>
      </c>
      <c r="G21" s="94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67">
        <v>1440</v>
      </c>
      <c r="F22" s="94">
        <f t="shared" si="0"/>
        <v>216000</v>
      </c>
      <c r="G22" s="94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67">
        <v>1205</v>
      </c>
      <c r="F23" s="94">
        <f t="shared" si="0"/>
        <v>120500</v>
      </c>
      <c r="G23" s="94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77"/>
      <c r="F24" s="94"/>
      <c r="G24" s="94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67">
        <v>2348</v>
      </c>
      <c r="F25" s="94">
        <f t="shared" si="0"/>
        <v>366288</v>
      </c>
      <c r="G25" s="94">
        <f t="shared" si="1"/>
        <v>439545.59999999998</v>
      </c>
    </row>
    <row r="26" spans="1:7" ht="20.399999999999999" x14ac:dyDescent="0.3">
      <c r="A26" s="60"/>
      <c r="B26" s="62" t="s">
        <v>251</v>
      </c>
      <c r="C26" s="63"/>
      <c r="D26" s="63"/>
      <c r="E26" s="178"/>
      <c r="F26" s="94"/>
      <c r="G26" s="94"/>
    </row>
    <row r="27" spans="1:7" ht="15.6" x14ac:dyDescent="0.3">
      <c r="A27" s="66"/>
      <c r="B27" s="73" t="s">
        <v>460</v>
      </c>
      <c r="C27" s="74"/>
      <c r="D27" s="75"/>
      <c r="E27" s="177"/>
      <c r="F27" s="94"/>
      <c r="G27" s="94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67">
        <v>3979</v>
      </c>
      <c r="F28" s="94">
        <f t="shared" si="0"/>
        <v>7639.68</v>
      </c>
      <c r="G28" s="94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67">
        <v>8423</v>
      </c>
      <c r="F29" s="94">
        <f t="shared" si="0"/>
        <v>60645.599999999999</v>
      </c>
      <c r="G29" s="94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67">
        <v>150291</v>
      </c>
      <c r="F30" s="94">
        <f t="shared" si="0"/>
        <v>19898.53</v>
      </c>
      <c r="G30" s="94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67">
        <v>320</v>
      </c>
      <c r="F31" s="94">
        <f t="shared" si="0"/>
        <v>11468.8</v>
      </c>
      <c r="G31" s="94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77"/>
      <c r="F32" s="94"/>
      <c r="G32" s="94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67">
        <v>3979</v>
      </c>
      <c r="F33" s="94">
        <f t="shared" si="0"/>
        <v>7162.2</v>
      </c>
      <c r="G33" s="94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67">
        <v>8435</v>
      </c>
      <c r="F34" s="94">
        <f t="shared" si="0"/>
        <v>30366</v>
      </c>
      <c r="G34" s="94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67">
        <v>73989</v>
      </c>
      <c r="F35" s="94">
        <f t="shared" si="0"/>
        <v>9352.2099999999991</v>
      </c>
      <c r="G35" s="94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67">
        <v>150291</v>
      </c>
      <c r="F36" s="94">
        <f t="shared" si="0"/>
        <v>30382.83</v>
      </c>
      <c r="G36" s="94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67">
        <v>320</v>
      </c>
      <c r="F37" s="94">
        <f t="shared" si="0"/>
        <v>8448</v>
      </c>
      <c r="G37" s="94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77"/>
      <c r="F38" s="94"/>
      <c r="G38" s="94"/>
    </row>
    <row r="39" spans="1:7" ht="15.6" x14ac:dyDescent="0.3">
      <c r="A39" s="66"/>
      <c r="B39" s="73" t="s">
        <v>284</v>
      </c>
      <c r="C39" s="74"/>
      <c r="D39" s="75"/>
      <c r="E39" s="177"/>
      <c r="F39" s="94"/>
      <c r="G39" s="94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67">
        <v>150291</v>
      </c>
      <c r="F40" s="94">
        <f t="shared" si="0"/>
        <v>333044.86</v>
      </c>
      <c r="G40" s="94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67">
        <v>152</v>
      </c>
      <c r="F41" s="94">
        <f t="shared" si="0"/>
        <v>8420.7999999999993</v>
      </c>
      <c r="G41" s="94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67">
        <v>152</v>
      </c>
      <c r="F42" s="94">
        <f t="shared" si="0"/>
        <v>8420.7999999999993</v>
      </c>
      <c r="G42" s="94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67">
        <v>1454</v>
      </c>
      <c r="F43" s="94">
        <f t="shared" si="0"/>
        <v>1570.32</v>
      </c>
      <c r="G43" s="94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67">
        <v>12612</v>
      </c>
      <c r="F44" s="94">
        <f t="shared" si="0"/>
        <v>10594.08</v>
      </c>
      <c r="G44" s="94">
        <f t="shared" si="1"/>
        <v>12712.9</v>
      </c>
    </row>
    <row r="45" spans="1:7" ht="15.6" x14ac:dyDescent="0.3">
      <c r="A45" s="66"/>
      <c r="B45" s="73" t="s">
        <v>472</v>
      </c>
      <c r="C45" s="74"/>
      <c r="D45" s="180"/>
      <c r="E45" s="177"/>
      <c r="F45" s="94"/>
      <c r="G45" s="94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67">
        <v>73989</v>
      </c>
      <c r="F46" s="94">
        <f t="shared" si="0"/>
        <v>189748.49</v>
      </c>
      <c r="G46" s="94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67">
        <v>152</v>
      </c>
      <c r="F47" s="94">
        <f t="shared" si="0"/>
        <v>9880</v>
      </c>
      <c r="G47" s="94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67">
        <v>152</v>
      </c>
      <c r="F48" s="94">
        <f t="shared" si="0"/>
        <v>9880</v>
      </c>
      <c r="G48" s="94">
        <f t="shared" si="1"/>
        <v>11856</v>
      </c>
    </row>
    <row r="49" spans="1:7" ht="15.6" x14ac:dyDescent="0.3">
      <c r="A49" s="66"/>
      <c r="B49" s="62" t="s">
        <v>314</v>
      </c>
      <c r="C49" s="74"/>
      <c r="D49" s="180"/>
      <c r="E49" s="177"/>
      <c r="F49" s="94"/>
      <c r="G49" s="94"/>
    </row>
    <row r="50" spans="1:7" ht="15.6" x14ac:dyDescent="0.3">
      <c r="A50" s="66"/>
      <c r="B50" s="73" t="s">
        <v>315</v>
      </c>
      <c r="C50" s="74"/>
      <c r="D50" s="180"/>
      <c r="E50" s="177"/>
      <c r="F50" s="94"/>
      <c r="G50" s="94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67">
        <v>3979</v>
      </c>
      <c r="F51" s="94">
        <f t="shared" si="0"/>
        <v>437.69</v>
      </c>
      <c r="G51" s="94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67">
        <v>20591</v>
      </c>
      <c r="F52" s="94">
        <f t="shared" si="0"/>
        <v>10295.5</v>
      </c>
      <c r="G52" s="94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67">
        <v>69473</v>
      </c>
      <c r="F53" s="94">
        <f t="shared" si="0"/>
        <v>14103.02</v>
      </c>
      <c r="G53" s="94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77"/>
      <c r="F54" s="94"/>
      <c r="G54" s="94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67">
        <v>1670</v>
      </c>
      <c r="F55" s="94">
        <f t="shared" si="0"/>
        <v>20040</v>
      </c>
      <c r="G55" s="94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67">
        <v>1999</v>
      </c>
      <c r="F56" s="94">
        <f t="shared" si="0"/>
        <v>19110.439999999999</v>
      </c>
      <c r="G56" s="94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67">
        <v>1007.6976744186048</v>
      </c>
      <c r="F57" s="94">
        <f t="shared" si="0"/>
        <v>8666.2000000000007</v>
      </c>
      <c r="G57" s="94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67">
        <v>85</v>
      </c>
      <c r="F58" s="94">
        <f t="shared" si="0"/>
        <v>731</v>
      </c>
      <c r="G58" s="94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67">
        <v>104.87</v>
      </c>
      <c r="F59" s="94">
        <f t="shared" si="0"/>
        <v>901.88</v>
      </c>
      <c r="G59" s="94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67">
        <v>152</v>
      </c>
      <c r="F60" s="94">
        <f t="shared" si="0"/>
        <v>1307.2</v>
      </c>
      <c r="G60" s="94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67">
        <v>152</v>
      </c>
      <c r="F61" s="94">
        <f t="shared" si="0"/>
        <v>1307.2</v>
      </c>
      <c r="G61" s="94">
        <f t="shared" si="1"/>
        <v>1568.64</v>
      </c>
    </row>
    <row r="62" spans="1:7" ht="22.5" customHeight="1" x14ac:dyDescent="0.3">
      <c r="A62" s="169"/>
      <c r="B62" s="957" t="s">
        <v>341</v>
      </c>
      <c r="C62" s="958"/>
      <c r="D62" s="958"/>
      <c r="E62" s="170"/>
      <c r="F62" s="181"/>
      <c r="G62" s="127"/>
    </row>
    <row r="63" spans="1:7" x14ac:dyDescent="0.3">
      <c r="A63" s="66"/>
      <c r="B63" s="62" t="s">
        <v>342</v>
      </c>
      <c r="C63" s="74"/>
      <c r="D63" s="75"/>
      <c r="E63" s="69"/>
      <c r="F63" s="69"/>
      <c r="G63" s="123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67">
        <v>1240</v>
      </c>
      <c r="F64" s="94">
        <f t="shared" ref="F64:F82" si="8">ROUND(E64*D64,2)</f>
        <v>7936</v>
      </c>
      <c r="G64" s="94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67">
        <v>2455</v>
      </c>
      <c r="F65" s="94">
        <f t="shared" si="8"/>
        <v>159575</v>
      </c>
      <c r="G65" s="94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67">
        <v>315</v>
      </c>
      <c r="F66" s="94">
        <f t="shared" si="8"/>
        <v>15904.35</v>
      </c>
      <c r="G66" s="94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77"/>
      <c r="F67" s="94"/>
      <c r="G67" s="94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67">
        <v>1777</v>
      </c>
      <c r="F68" s="94">
        <f t="shared" si="8"/>
        <v>6663.75</v>
      </c>
      <c r="G68" s="94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67">
        <v>899</v>
      </c>
      <c r="F69" s="94">
        <f t="shared" si="8"/>
        <v>1123.75</v>
      </c>
      <c r="G69" s="94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67">
        <v>6056</v>
      </c>
      <c r="F70" s="94">
        <f t="shared" si="8"/>
        <v>13323.2</v>
      </c>
      <c r="G70" s="94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67">
        <v>315</v>
      </c>
      <c r="F71" s="94">
        <f t="shared" si="8"/>
        <v>2400.3000000000002</v>
      </c>
      <c r="G71" s="94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67">
        <v>6799</v>
      </c>
      <c r="F72" s="94">
        <f t="shared" si="8"/>
        <v>11558.3</v>
      </c>
      <c r="G72" s="94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67">
        <v>334</v>
      </c>
      <c r="F73" s="94">
        <f t="shared" si="8"/>
        <v>238.61</v>
      </c>
      <c r="G73" s="94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77"/>
      <c r="F74" s="94"/>
      <c r="G74" s="94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67">
        <v>325</v>
      </c>
      <c r="F75" s="94">
        <f t="shared" si="8"/>
        <v>74750</v>
      </c>
      <c r="G75" s="94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67">
        <v>1777</v>
      </c>
      <c r="F76" s="94">
        <f t="shared" si="8"/>
        <v>5188.84</v>
      </c>
      <c r="G76" s="94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3">
        <v>3460</v>
      </c>
      <c r="F77" s="94">
        <f t="shared" si="8"/>
        <v>142275.20000000001</v>
      </c>
      <c r="G77" s="94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67">
        <v>325</v>
      </c>
      <c r="F78" s="94">
        <f t="shared" si="8"/>
        <v>65000</v>
      </c>
      <c r="G78" s="94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67">
        <v>899</v>
      </c>
      <c r="F79" s="94">
        <f t="shared" si="8"/>
        <v>6490.78</v>
      </c>
      <c r="G79" s="94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67">
        <v>3979</v>
      </c>
      <c r="F80" s="94">
        <f t="shared" si="8"/>
        <v>29046.7</v>
      </c>
      <c r="G80" s="94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67">
        <v>12200</v>
      </c>
      <c r="F81" s="94">
        <f t="shared" si="8"/>
        <v>313540</v>
      </c>
      <c r="G81" s="94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67">
        <v>315</v>
      </c>
      <c r="F82" s="94">
        <f t="shared" si="8"/>
        <v>84782.25</v>
      </c>
      <c r="G82" s="94">
        <f t="shared" si="9"/>
        <v>101738.7</v>
      </c>
    </row>
    <row r="83" spans="1:7" ht="19.5" customHeight="1" x14ac:dyDescent="0.3">
      <c r="A83" s="169"/>
      <c r="B83" s="957" t="s">
        <v>364</v>
      </c>
      <c r="C83" s="958"/>
      <c r="D83" s="958"/>
      <c r="E83" s="170"/>
      <c r="F83" s="181"/>
      <c r="G83" s="127"/>
    </row>
    <row r="84" spans="1:7" x14ac:dyDescent="0.3">
      <c r="A84" s="66"/>
      <c r="B84" s="62" t="s">
        <v>495</v>
      </c>
      <c r="C84" s="74"/>
      <c r="D84" s="75"/>
      <c r="E84" s="69"/>
      <c r="F84" s="69"/>
      <c r="G84" s="123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67">
        <v>125</v>
      </c>
      <c r="F85" s="94">
        <f t="shared" ref="F85:F90" si="11">ROUND(E85*D85,2)</f>
        <v>138625</v>
      </c>
      <c r="G85" s="94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67">
        <v>325</v>
      </c>
      <c r="F86" s="94">
        <f t="shared" si="11"/>
        <v>360425</v>
      </c>
      <c r="G86" s="94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67">
        <v>50</v>
      </c>
      <c r="F87" s="94">
        <f t="shared" si="11"/>
        <v>55450</v>
      </c>
      <c r="G87" s="94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67">
        <v>325</v>
      </c>
      <c r="F88" s="94">
        <f t="shared" si="11"/>
        <v>360425</v>
      </c>
      <c r="G88" s="94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67">
        <v>3460</v>
      </c>
      <c r="F89" s="94">
        <f t="shared" si="11"/>
        <v>6062612</v>
      </c>
      <c r="G89" s="94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67">
        <v>325</v>
      </c>
      <c r="F90" s="94">
        <f t="shared" si="11"/>
        <v>857025</v>
      </c>
      <c r="G90" s="94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77"/>
      <c r="F91" s="69"/>
      <c r="G91" s="123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67">
        <v>325</v>
      </c>
      <c r="F92" s="94">
        <f t="shared" ref="F92:F99" si="14">ROUND(E92*D92,2)</f>
        <v>160413.5</v>
      </c>
      <c r="G92" s="94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67">
        <v>325</v>
      </c>
      <c r="F93" s="94">
        <f t="shared" si="14"/>
        <v>160225</v>
      </c>
      <c r="G93" s="94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67">
        <v>3460</v>
      </c>
      <c r="F94" s="94">
        <f t="shared" si="14"/>
        <v>2698800</v>
      </c>
      <c r="G94" s="94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67">
        <v>1111</v>
      </c>
      <c r="F95" s="94">
        <f t="shared" si="14"/>
        <v>312191</v>
      </c>
      <c r="G95" s="94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67">
        <v>1754</v>
      </c>
      <c r="F96" s="94">
        <f t="shared" si="14"/>
        <v>248541.8</v>
      </c>
      <c r="G96" s="94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67">
        <v>1754</v>
      </c>
      <c r="F97" s="94">
        <f t="shared" si="14"/>
        <v>125411</v>
      </c>
      <c r="G97" s="94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67">
        <v>1854</v>
      </c>
      <c r="F98" s="94">
        <f t="shared" si="14"/>
        <v>2595.6</v>
      </c>
      <c r="G98" s="94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67">
        <v>1140</v>
      </c>
      <c r="F99" s="94">
        <f t="shared" si="14"/>
        <v>970140</v>
      </c>
      <c r="G99" s="94">
        <f t="shared" si="15"/>
        <v>1164168</v>
      </c>
    </row>
    <row r="100" spans="1:7" ht="15.6" x14ac:dyDescent="0.3">
      <c r="A100" s="206"/>
      <c r="B100" s="207" t="s">
        <v>923</v>
      </c>
      <c r="C100" s="208"/>
      <c r="D100" s="209"/>
      <c r="E100" s="210"/>
      <c r="F100" s="211"/>
      <c r="G100" s="211"/>
    </row>
    <row r="101" spans="1:7" ht="27.6" x14ac:dyDescent="0.3">
      <c r="A101" s="206">
        <f>A99+1</f>
        <v>76</v>
      </c>
      <c r="B101" s="212" t="s">
        <v>924</v>
      </c>
      <c r="C101" s="206" t="s">
        <v>220</v>
      </c>
      <c r="D101" s="209">
        <v>3</v>
      </c>
      <c r="E101" s="210">
        <v>1438</v>
      </c>
      <c r="F101" s="211">
        <f t="shared" ref="F101:F102" si="17">ROUND(E101*D101,2)</f>
        <v>4314</v>
      </c>
      <c r="G101" s="211">
        <f t="shared" ref="G101:G102" si="18">ROUND(F101*1.2,2)</f>
        <v>5176.8</v>
      </c>
    </row>
    <row r="102" spans="1:7" ht="15.6" x14ac:dyDescent="0.3">
      <c r="A102" s="206">
        <f>A101+1</f>
        <v>77</v>
      </c>
      <c r="B102" s="212" t="s">
        <v>925</v>
      </c>
      <c r="C102" s="206" t="s">
        <v>220</v>
      </c>
      <c r="D102" s="209">
        <v>3</v>
      </c>
      <c r="E102" s="210">
        <v>2078</v>
      </c>
      <c r="F102" s="211">
        <f t="shared" si="17"/>
        <v>6234</v>
      </c>
      <c r="G102" s="211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77"/>
      <c r="F103" s="69"/>
      <c r="G103" s="123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67">
        <v>325</v>
      </c>
      <c r="F104" s="94">
        <f t="shared" ref="F104:F106" si="19">ROUND(E104*D104,2)</f>
        <v>147550</v>
      </c>
      <c r="G104" s="94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67">
        <v>549</v>
      </c>
      <c r="F105" s="94">
        <f t="shared" si="19"/>
        <v>249246</v>
      </c>
      <c r="G105" s="94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67">
        <v>110</v>
      </c>
      <c r="F106" s="94">
        <f t="shared" si="19"/>
        <v>49940</v>
      </c>
      <c r="G106" s="94">
        <f t="shared" si="20"/>
        <v>59928</v>
      </c>
    </row>
    <row r="107" spans="1:7" ht="22.5" customHeight="1" x14ac:dyDescent="0.3">
      <c r="A107" s="169"/>
      <c r="B107" s="957" t="s">
        <v>375</v>
      </c>
      <c r="C107" s="958"/>
      <c r="D107" s="958"/>
      <c r="E107" s="170"/>
      <c r="F107" s="181"/>
      <c r="G107" s="127"/>
    </row>
    <row r="108" spans="1:7" x14ac:dyDescent="0.3">
      <c r="A108" s="66"/>
      <c r="B108" s="62" t="s">
        <v>512</v>
      </c>
      <c r="C108" s="74"/>
      <c r="D108" s="71"/>
      <c r="E108" s="69"/>
      <c r="F108" s="69"/>
      <c r="G108" s="123"/>
    </row>
    <row r="109" spans="1:7" x14ac:dyDescent="0.3">
      <c r="A109" s="66"/>
      <c r="B109" s="62" t="s">
        <v>513</v>
      </c>
      <c r="C109" s="74"/>
      <c r="D109" s="71"/>
      <c r="E109" s="69"/>
      <c r="F109" s="69"/>
      <c r="G109" s="123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67">
        <v>325</v>
      </c>
      <c r="F110" s="94">
        <f t="shared" ref="F110:F116" si="21">ROUND(E110*D110,2)</f>
        <v>74100</v>
      </c>
      <c r="G110" s="94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67">
        <v>1777</v>
      </c>
      <c r="F111" s="94">
        <f t="shared" si="21"/>
        <v>323414</v>
      </c>
      <c r="G111" s="94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67">
        <v>1777</v>
      </c>
      <c r="F112" s="94">
        <f t="shared" si="21"/>
        <v>3554</v>
      </c>
      <c r="G112" s="94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67">
        <v>125</v>
      </c>
      <c r="F113" s="94">
        <f t="shared" si="21"/>
        <v>45000</v>
      </c>
      <c r="G113" s="94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67">
        <v>899</v>
      </c>
      <c r="F114" s="94">
        <f t="shared" si="21"/>
        <v>25172</v>
      </c>
      <c r="G114" s="94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67">
        <v>325</v>
      </c>
      <c r="F115" s="94">
        <f t="shared" si="21"/>
        <v>17160</v>
      </c>
      <c r="G115" s="94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67">
        <v>3460</v>
      </c>
      <c r="F116" s="94">
        <f t="shared" si="21"/>
        <v>182688</v>
      </c>
      <c r="G116" s="94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77"/>
      <c r="F117" s="69"/>
      <c r="G117" s="123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67">
        <v>1422</v>
      </c>
      <c r="F118" s="94">
        <f t="shared" ref="F118:F120" si="24">ROUND(E118*D118,2)</f>
        <v>1137.5999999999999</v>
      </c>
      <c r="G118" s="94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67">
        <v>1380</v>
      </c>
      <c r="F119" s="94">
        <f t="shared" si="24"/>
        <v>4140</v>
      </c>
      <c r="G119" s="94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67">
        <v>1380</v>
      </c>
      <c r="F120" s="94">
        <f t="shared" si="24"/>
        <v>12420</v>
      </c>
      <c r="G120" s="94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77"/>
      <c r="F121" s="69"/>
      <c r="G121" s="123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67">
        <v>539</v>
      </c>
      <c r="F122" s="94">
        <f t="shared" ref="F122" si="26">ROUND(E122*D122,2)</f>
        <v>15631</v>
      </c>
      <c r="G122" s="94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77"/>
      <c r="F123" s="69"/>
      <c r="G123" s="123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67">
        <v>18174</v>
      </c>
      <c r="F124" s="94">
        <f t="shared" ref="F124:F126" si="28">ROUND(E124*D124,2)</f>
        <v>58883.76</v>
      </c>
      <c r="G124" s="94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67">
        <v>25276</v>
      </c>
      <c r="F125" s="94">
        <f t="shared" si="28"/>
        <v>88466</v>
      </c>
      <c r="G125" s="94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67">
        <v>69775</v>
      </c>
      <c r="F126" s="94">
        <f t="shared" si="28"/>
        <v>523.30999999999995</v>
      </c>
      <c r="G126" s="94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77"/>
      <c r="F127" s="69"/>
      <c r="G127" s="123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67">
        <v>325</v>
      </c>
      <c r="F128" s="94">
        <f t="shared" ref="F128:F136" si="30">ROUND(E128*D128,2)</f>
        <v>107900</v>
      </c>
      <c r="G128" s="94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67">
        <v>1777</v>
      </c>
      <c r="F129" s="94">
        <f t="shared" si="30"/>
        <v>17770</v>
      </c>
      <c r="G129" s="94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67">
        <v>4886</v>
      </c>
      <c r="F130" s="94">
        <f t="shared" si="30"/>
        <v>131922</v>
      </c>
      <c r="G130" s="94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67">
        <v>414</v>
      </c>
      <c r="F131" s="94">
        <f t="shared" si="30"/>
        <v>11178</v>
      </c>
      <c r="G131" s="94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67">
        <v>3703</v>
      </c>
      <c r="F132" s="94">
        <f t="shared" si="30"/>
        <v>99981</v>
      </c>
      <c r="G132" s="94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67">
        <v>125</v>
      </c>
      <c r="F133" s="94">
        <f t="shared" si="30"/>
        <v>40125</v>
      </c>
      <c r="G133" s="94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67">
        <v>899</v>
      </c>
      <c r="F134" s="94">
        <f t="shared" si="30"/>
        <v>15283</v>
      </c>
      <c r="G134" s="94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67">
        <v>325</v>
      </c>
      <c r="F135" s="94">
        <f t="shared" si="30"/>
        <v>2080</v>
      </c>
      <c r="G135" s="94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67">
        <v>3460</v>
      </c>
      <c r="F136" s="94">
        <f t="shared" si="30"/>
        <v>22144</v>
      </c>
      <c r="G136" s="94">
        <f t="shared" si="31"/>
        <v>26572.799999999999</v>
      </c>
    </row>
    <row r="137" spans="1:7" ht="21" customHeight="1" x14ac:dyDescent="0.3">
      <c r="A137" s="169"/>
      <c r="B137" s="957" t="s">
        <v>399</v>
      </c>
      <c r="C137" s="958"/>
      <c r="D137" s="958"/>
      <c r="E137" s="170"/>
      <c r="F137" s="181"/>
      <c r="G137" s="127"/>
    </row>
    <row r="138" spans="1:7" x14ac:dyDescent="0.3">
      <c r="A138" s="66"/>
      <c r="B138" s="62" t="s">
        <v>512</v>
      </c>
      <c r="C138" s="74"/>
      <c r="D138" s="71"/>
      <c r="E138" s="69"/>
      <c r="F138" s="69"/>
      <c r="G138" s="123"/>
    </row>
    <row r="139" spans="1:7" x14ac:dyDescent="0.3">
      <c r="A139" s="66"/>
      <c r="B139" s="62" t="s">
        <v>713</v>
      </c>
      <c r="C139" s="66"/>
      <c r="D139" s="72"/>
      <c r="E139" s="69"/>
      <c r="F139" s="69"/>
      <c r="G139" s="123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67">
        <v>18650.372222222224</v>
      </c>
      <c r="F140" s="94">
        <f t="shared" ref="F140:F145" si="33">ROUND(E140*D140,2)</f>
        <v>100712.01</v>
      </c>
      <c r="G140" s="94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17">
        <v>2.06</v>
      </c>
      <c r="E141" s="167">
        <v>31141.773584905659</v>
      </c>
      <c r="F141" s="94">
        <f t="shared" si="33"/>
        <v>64152.05</v>
      </c>
      <c r="G141" s="94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33" t="s">
        <v>928</v>
      </c>
      <c r="C142" s="87" t="s">
        <v>239</v>
      </c>
      <c r="D142" s="217">
        <v>1.95</v>
      </c>
      <c r="E142" s="166">
        <v>31141.773584905659</v>
      </c>
      <c r="F142" s="99">
        <f t="shared" ref="F142" si="36">ROUND(E142*D142,2)</f>
        <v>60726.46</v>
      </c>
      <c r="G142" s="99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17">
        <v>1.65</v>
      </c>
      <c r="E143" s="167">
        <v>31141.773584905663</v>
      </c>
      <c r="F143" s="94">
        <f t="shared" si="33"/>
        <v>51383.93</v>
      </c>
      <c r="G143" s="94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17">
        <v>20</v>
      </c>
      <c r="E144" s="183">
        <v>250</v>
      </c>
      <c r="F144" s="94">
        <f t="shared" si="33"/>
        <v>5000</v>
      </c>
      <c r="G144" s="94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17">
        <v>20</v>
      </c>
      <c r="E145" s="183">
        <v>50</v>
      </c>
      <c r="F145" s="94">
        <f t="shared" si="33"/>
        <v>1000</v>
      </c>
      <c r="G145" s="94">
        <f t="shared" si="34"/>
        <v>1200</v>
      </c>
    </row>
    <row r="146" spans="1:7" x14ac:dyDescent="0.3">
      <c r="A146" s="66"/>
      <c r="B146" s="182" t="s">
        <v>513</v>
      </c>
      <c r="C146" s="74"/>
      <c r="D146" s="218"/>
      <c r="E146" s="183"/>
      <c r="F146" s="69"/>
      <c r="G146" s="123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18">
        <v>77.400000000000006</v>
      </c>
      <c r="E147" s="167">
        <v>325</v>
      </c>
      <c r="F147" s="94">
        <f t="shared" ref="F147:F151" si="39">ROUND(E147*D147,2)</f>
        <v>25155</v>
      </c>
      <c r="G147" s="94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18">
        <v>1.5</v>
      </c>
      <c r="E148" s="167">
        <v>1776.64</v>
      </c>
      <c r="F148" s="94">
        <f t="shared" si="39"/>
        <v>2664.96</v>
      </c>
      <c r="G148" s="94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18">
        <v>80.099999999999994</v>
      </c>
      <c r="E149" s="167">
        <v>125</v>
      </c>
      <c r="F149" s="94">
        <f t="shared" si="39"/>
        <v>10012.5</v>
      </c>
      <c r="G149" s="94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18">
        <v>4.2</v>
      </c>
      <c r="E150" s="167">
        <v>898.85000000000014</v>
      </c>
      <c r="F150" s="94">
        <f t="shared" si="39"/>
        <v>3775.17</v>
      </c>
      <c r="G150" s="94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17">
        <v>8.64</v>
      </c>
      <c r="E151" s="183">
        <v>125</v>
      </c>
      <c r="F151" s="94">
        <f t="shared" si="39"/>
        <v>1080</v>
      </c>
      <c r="G151" s="94">
        <f t="shared" si="40"/>
        <v>1296</v>
      </c>
    </row>
    <row r="152" spans="1:7" x14ac:dyDescent="0.3">
      <c r="A152" s="66"/>
      <c r="B152" s="62" t="s">
        <v>513</v>
      </c>
      <c r="C152" s="74"/>
      <c r="D152" s="148"/>
      <c r="E152" s="183"/>
      <c r="F152" s="69"/>
      <c r="G152" s="123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18">
        <f>490.6+217.7</f>
        <v>708.3</v>
      </c>
      <c r="E153" s="167">
        <v>325</v>
      </c>
      <c r="F153" s="94">
        <f t="shared" ref="F153:F159" si="42">ROUND(E153*D153,2)</f>
        <v>230197.5</v>
      </c>
      <c r="G153" s="94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18">
        <f>14.72+3.81</f>
        <v>18.53</v>
      </c>
      <c r="E154" s="167">
        <v>1776.9307116104872</v>
      </c>
      <c r="F154" s="94">
        <f t="shared" si="42"/>
        <v>32926.53</v>
      </c>
      <c r="G154" s="94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18">
        <f>337.86+170.18</f>
        <v>508.04</v>
      </c>
      <c r="E155" s="167">
        <v>125</v>
      </c>
      <c r="F155" s="94">
        <f t="shared" si="42"/>
        <v>63505</v>
      </c>
      <c r="G155" s="94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48">
        <f>84.46+42.54</f>
        <v>127</v>
      </c>
      <c r="E156" s="167">
        <v>898.68666666666672</v>
      </c>
      <c r="F156" s="94">
        <f t="shared" si="42"/>
        <v>114133.21</v>
      </c>
      <c r="G156" s="94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18">
        <f>132.8+14.1</f>
        <v>146.9</v>
      </c>
      <c r="E157" s="167">
        <v>325</v>
      </c>
      <c r="F157" s="94">
        <f t="shared" si="42"/>
        <v>47742.5</v>
      </c>
      <c r="G157" s="94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18">
        <f t="shared" ref="D158:D159" si="45">132.8+14.1</f>
        <v>146.9</v>
      </c>
      <c r="E158" s="167">
        <v>250</v>
      </c>
      <c r="F158" s="94">
        <f t="shared" si="42"/>
        <v>36725</v>
      </c>
      <c r="G158" s="94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18">
        <f t="shared" si="45"/>
        <v>146.9</v>
      </c>
      <c r="E159" s="167">
        <v>50</v>
      </c>
      <c r="F159" s="94">
        <f t="shared" si="42"/>
        <v>7345</v>
      </c>
      <c r="G159" s="94">
        <f t="shared" si="43"/>
        <v>8814</v>
      </c>
    </row>
    <row r="160" spans="1:7" ht="27.6" x14ac:dyDescent="0.3">
      <c r="A160" s="66"/>
      <c r="B160" s="62" t="s">
        <v>941</v>
      </c>
      <c r="C160" s="66"/>
      <c r="D160" s="72"/>
      <c r="E160" s="183"/>
      <c r="F160" s="69"/>
      <c r="G160" s="123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48">
        <v>11</v>
      </c>
      <c r="E161" s="167">
        <v>6240</v>
      </c>
      <c r="F161" s="94">
        <f t="shared" ref="F161:F215" si="46">ROUND(E161*D161,2)</f>
        <v>68640</v>
      </c>
      <c r="G161" s="94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48">
        <v>43</v>
      </c>
      <c r="E162" s="167">
        <v>1560</v>
      </c>
      <c r="F162" s="94">
        <f t="shared" ref="F162:F169" si="49">ROUND(E162*D162,2)</f>
        <v>67080</v>
      </c>
      <c r="G162" s="94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48">
        <v>14</v>
      </c>
      <c r="E163" s="167">
        <v>1060</v>
      </c>
      <c r="F163" s="94">
        <f t="shared" si="49"/>
        <v>14840</v>
      </c>
      <c r="G163" s="94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17">
        <v>0.02</v>
      </c>
      <c r="E164" s="167">
        <v>127396</v>
      </c>
      <c r="F164" s="94">
        <f t="shared" si="49"/>
        <v>2547.92</v>
      </c>
      <c r="G164" s="94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17">
        <v>5.63</v>
      </c>
      <c r="E165" s="167">
        <v>5763.1974358974367</v>
      </c>
      <c r="F165" s="94">
        <f t="shared" si="49"/>
        <v>32446.799999999999</v>
      </c>
      <c r="G165" s="94">
        <f t="shared" si="50"/>
        <v>38936.160000000003</v>
      </c>
    </row>
    <row r="166" spans="1:8" ht="27.6" x14ac:dyDescent="0.3">
      <c r="A166" s="87">
        <f t="shared" si="48"/>
        <v>126</v>
      </c>
      <c r="B166" s="233" t="s">
        <v>929</v>
      </c>
      <c r="C166" s="87" t="s">
        <v>431</v>
      </c>
      <c r="D166" s="217">
        <v>171.64</v>
      </c>
      <c r="E166" s="166">
        <v>1007.6976744186048</v>
      </c>
      <c r="F166" s="99">
        <f t="shared" si="49"/>
        <v>172961.23</v>
      </c>
      <c r="G166" s="99">
        <f t="shared" si="50"/>
        <v>207553.48</v>
      </c>
    </row>
    <row r="167" spans="1:8" ht="27.6" x14ac:dyDescent="0.3">
      <c r="A167" s="87">
        <f t="shared" si="48"/>
        <v>127</v>
      </c>
      <c r="B167" s="233" t="s">
        <v>930</v>
      </c>
      <c r="C167" s="239" t="s">
        <v>431</v>
      </c>
      <c r="D167" s="217">
        <v>171.64</v>
      </c>
      <c r="E167" s="166">
        <v>152</v>
      </c>
      <c r="F167" s="99">
        <f t="shared" si="49"/>
        <v>26089.279999999999</v>
      </c>
      <c r="G167" s="99">
        <f t="shared" si="50"/>
        <v>31307.14</v>
      </c>
    </row>
    <row r="168" spans="1:8" ht="27.6" x14ac:dyDescent="0.3">
      <c r="A168" s="87">
        <f t="shared" si="48"/>
        <v>128</v>
      </c>
      <c r="B168" s="233" t="s">
        <v>931</v>
      </c>
      <c r="C168" s="87" t="s">
        <v>431</v>
      </c>
      <c r="D168" s="217">
        <v>171.64</v>
      </c>
      <c r="E168" s="166">
        <v>315.54000000000002</v>
      </c>
      <c r="F168" s="99">
        <f t="shared" si="49"/>
        <v>54159.29</v>
      </c>
      <c r="G168" s="99">
        <f t="shared" si="50"/>
        <v>64991.15</v>
      </c>
    </row>
    <row r="169" spans="1:8" ht="27.6" x14ac:dyDescent="0.3">
      <c r="A169" s="206">
        <f t="shared" si="48"/>
        <v>129</v>
      </c>
      <c r="B169" s="213" t="s">
        <v>1067</v>
      </c>
      <c r="C169" s="206" t="s">
        <v>193</v>
      </c>
      <c r="D169" s="214">
        <v>0.34</v>
      </c>
      <c r="E169" s="210">
        <v>30352.94</v>
      </c>
      <c r="F169" s="211">
        <f t="shared" si="49"/>
        <v>10320</v>
      </c>
      <c r="G169" s="211">
        <f t="shared" si="50"/>
        <v>12384</v>
      </c>
      <c r="H169" s="203"/>
    </row>
    <row r="170" spans="1:8" ht="27.6" x14ac:dyDescent="0.3">
      <c r="A170" s="206">
        <f t="shared" si="48"/>
        <v>130</v>
      </c>
      <c r="B170" s="213" t="s">
        <v>932</v>
      </c>
      <c r="C170" s="206" t="s">
        <v>193</v>
      </c>
      <c r="D170" s="214">
        <v>0.62</v>
      </c>
      <c r="E170" s="210">
        <v>30352.94</v>
      </c>
      <c r="F170" s="211">
        <f t="shared" ref="F170:F174" si="51">ROUND(E170*D170,2)</f>
        <v>18818.82</v>
      </c>
      <c r="G170" s="211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33" t="s">
        <v>929</v>
      </c>
      <c r="C171" s="87" t="s">
        <v>431</v>
      </c>
      <c r="D171" s="217">
        <v>0.8</v>
      </c>
      <c r="E171" s="166">
        <v>1007.6976744186048</v>
      </c>
      <c r="F171" s="99">
        <f t="shared" si="51"/>
        <v>806.16</v>
      </c>
      <c r="G171" s="99">
        <f t="shared" si="52"/>
        <v>967.39</v>
      </c>
    </row>
    <row r="172" spans="1:8" ht="27.6" x14ac:dyDescent="0.3">
      <c r="A172" s="87">
        <f t="shared" si="48"/>
        <v>132</v>
      </c>
      <c r="B172" s="233" t="s">
        <v>930</v>
      </c>
      <c r="C172" s="239" t="s">
        <v>431</v>
      </c>
      <c r="D172" s="217">
        <v>3.8</v>
      </c>
      <c r="E172" s="166">
        <v>152</v>
      </c>
      <c r="F172" s="99">
        <f t="shared" si="51"/>
        <v>577.6</v>
      </c>
      <c r="G172" s="99">
        <f t="shared" si="52"/>
        <v>693.12</v>
      </c>
    </row>
    <row r="173" spans="1:8" ht="27.6" x14ac:dyDescent="0.3">
      <c r="A173" s="87">
        <f t="shared" si="48"/>
        <v>133</v>
      </c>
      <c r="B173" s="233" t="s">
        <v>931</v>
      </c>
      <c r="C173" s="87" t="s">
        <v>431</v>
      </c>
      <c r="D173" s="217">
        <v>3.8</v>
      </c>
      <c r="E173" s="166">
        <v>315.54000000000002</v>
      </c>
      <c r="F173" s="99">
        <f t="shared" si="51"/>
        <v>1199.05</v>
      </c>
      <c r="G173" s="99">
        <f t="shared" si="52"/>
        <v>1438.86</v>
      </c>
    </row>
    <row r="174" spans="1:8" ht="15.6" x14ac:dyDescent="0.3">
      <c r="A174" s="87">
        <f t="shared" si="48"/>
        <v>134</v>
      </c>
      <c r="B174" s="233" t="s">
        <v>933</v>
      </c>
      <c r="C174" s="87" t="s">
        <v>193</v>
      </c>
      <c r="D174" s="217">
        <v>1.5</v>
      </c>
      <c r="E174" s="166">
        <v>5761.0434782608691</v>
      </c>
      <c r="F174" s="99">
        <f t="shared" si="51"/>
        <v>8641.57</v>
      </c>
      <c r="G174" s="99">
        <f t="shared" si="52"/>
        <v>10369.879999999999</v>
      </c>
    </row>
    <row r="175" spans="1:8" ht="27.6" x14ac:dyDescent="0.3">
      <c r="A175" s="206">
        <f t="shared" si="48"/>
        <v>135</v>
      </c>
      <c r="B175" s="213" t="s">
        <v>934</v>
      </c>
      <c r="C175" s="206" t="s">
        <v>193</v>
      </c>
      <c r="D175" s="214">
        <v>0.16</v>
      </c>
      <c r="E175" s="210">
        <v>6943.75</v>
      </c>
      <c r="F175" s="211">
        <f t="shared" ref="F175" si="53">ROUND(E175*D175,2)</f>
        <v>1111</v>
      </c>
      <c r="G175" s="211">
        <f t="shared" ref="G175" si="54">ROUND(F175*1.2,2)</f>
        <v>1333.2</v>
      </c>
    </row>
    <row r="176" spans="1:8" ht="15.6" x14ac:dyDescent="0.3">
      <c r="A176" s="206">
        <f t="shared" si="48"/>
        <v>136</v>
      </c>
      <c r="B176" s="213" t="s">
        <v>935</v>
      </c>
      <c r="C176" s="206" t="s">
        <v>193</v>
      </c>
      <c r="D176" s="214">
        <v>0.6</v>
      </c>
      <c r="E176" s="210">
        <f>4166/0.6</f>
        <v>6943.3333333333339</v>
      </c>
      <c r="F176" s="211">
        <f t="shared" ref="F176:F185" si="55">ROUND(E176*D176,2)</f>
        <v>4166</v>
      </c>
      <c r="G176" s="211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33" t="s">
        <v>929</v>
      </c>
      <c r="C177" s="87" t="s">
        <v>431</v>
      </c>
      <c r="D177" s="217">
        <v>4.5</v>
      </c>
      <c r="E177" s="166">
        <v>1007.6976744186048</v>
      </c>
      <c r="F177" s="99">
        <f t="shared" si="55"/>
        <v>4534.6400000000003</v>
      </c>
      <c r="G177" s="99">
        <f t="shared" si="56"/>
        <v>5441.57</v>
      </c>
    </row>
    <row r="178" spans="1:8" ht="27.6" x14ac:dyDescent="0.3">
      <c r="A178" s="87">
        <f t="shared" si="48"/>
        <v>138</v>
      </c>
      <c r="B178" s="233" t="s">
        <v>930</v>
      </c>
      <c r="C178" s="239" t="s">
        <v>431</v>
      </c>
      <c r="D178" s="217">
        <v>4.5</v>
      </c>
      <c r="E178" s="166">
        <v>152</v>
      </c>
      <c r="F178" s="99">
        <f t="shared" si="55"/>
        <v>684</v>
      </c>
      <c r="G178" s="99">
        <f t="shared" si="56"/>
        <v>820.8</v>
      </c>
    </row>
    <row r="179" spans="1:8" ht="27.6" x14ac:dyDescent="0.3">
      <c r="A179" s="87">
        <f t="shared" si="48"/>
        <v>139</v>
      </c>
      <c r="B179" s="233" t="s">
        <v>931</v>
      </c>
      <c r="C179" s="87" t="s">
        <v>431</v>
      </c>
      <c r="D179" s="217">
        <v>4.5</v>
      </c>
      <c r="E179" s="166">
        <v>315.54000000000002</v>
      </c>
      <c r="F179" s="99">
        <f t="shared" si="55"/>
        <v>1419.93</v>
      </c>
      <c r="G179" s="99">
        <f t="shared" si="56"/>
        <v>1703.92</v>
      </c>
    </row>
    <row r="180" spans="1:8" ht="15.6" x14ac:dyDescent="0.3">
      <c r="A180" s="206">
        <f t="shared" si="48"/>
        <v>140</v>
      </c>
      <c r="B180" s="213" t="s">
        <v>936</v>
      </c>
      <c r="C180" s="206" t="s">
        <v>193</v>
      </c>
      <c r="D180" s="214">
        <v>0.08</v>
      </c>
      <c r="E180" s="210">
        <f>2280/0.08</f>
        <v>28500</v>
      </c>
      <c r="F180" s="211">
        <f t="shared" si="55"/>
        <v>2280</v>
      </c>
      <c r="G180" s="211">
        <f t="shared" si="56"/>
        <v>2736</v>
      </c>
    </row>
    <row r="181" spans="1:8" ht="15.6" x14ac:dyDescent="0.3">
      <c r="A181" s="206">
        <f t="shared" si="48"/>
        <v>141</v>
      </c>
      <c r="B181" s="213" t="s">
        <v>940</v>
      </c>
      <c r="C181" s="206" t="s">
        <v>220</v>
      </c>
      <c r="D181" s="209">
        <v>1</v>
      </c>
      <c r="E181" s="210">
        <v>56237</v>
      </c>
      <c r="F181" s="211">
        <f t="shared" si="55"/>
        <v>56237</v>
      </c>
      <c r="G181" s="211">
        <f t="shared" si="56"/>
        <v>67484.399999999994</v>
      </c>
    </row>
    <row r="182" spans="1:8" ht="15.6" x14ac:dyDescent="0.3">
      <c r="A182" s="206">
        <f t="shared" si="48"/>
        <v>142</v>
      </c>
      <c r="B182" s="213" t="s">
        <v>1252</v>
      </c>
      <c r="C182" s="206" t="s">
        <v>254</v>
      </c>
      <c r="D182" s="214">
        <v>138.83000000000001</v>
      </c>
      <c r="E182" s="210">
        <f>3037/138.83</f>
        <v>21.8756752863214</v>
      </c>
      <c r="F182" s="211">
        <f t="shared" si="55"/>
        <v>3037</v>
      </c>
      <c r="G182" s="211">
        <f t="shared" si="56"/>
        <v>3644.4</v>
      </c>
    </row>
    <row r="183" spans="1:8" ht="15.6" x14ac:dyDescent="0.3">
      <c r="A183" s="206">
        <f t="shared" si="48"/>
        <v>143</v>
      </c>
      <c r="B183" s="213" t="s">
        <v>939</v>
      </c>
      <c r="C183" s="206" t="s">
        <v>254</v>
      </c>
      <c r="D183" s="214">
        <v>45</v>
      </c>
      <c r="E183" s="210">
        <v>115.24</v>
      </c>
      <c r="F183" s="211">
        <f t="shared" si="55"/>
        <v>5185.8</v>
      </c>
      <c r="G183" s="211">
        <f t="shared" si="56"/>
        <v>6222.96</v>
      </c>
    </row>
    <row r="184" spans="1:8" ht="15.6" x14ac:dyDescent="0.3">
      <c r="A184" s="87"/>
      <c r="B184" s="216" t="s">
        <v>942</v>
      </c>
      <c r="C184" s="87"/>
      <c r="D184" s="217"/>
      <c r="E184" s="166"/>
      <c r="F184" s="99"/>
      <c r="G184" s="99"/>
    </row>
    <row r="185" spans="1:8" ht="15.6" x14ac:dyDescent="0.3">
      <c r="A185" s="206">
        <f>A183+1</f>
        <v>144</v>
      </c>
      <c r="B185" s="213" t="s">
        <v>943</v>
      </c>
      <c r="C185" s="206" t="s">
        <v>193</v>
      </c>
      <c r="D185" s="214">
        <v>9.9</v>
      </c>
      <c r="E185" s="210">
        <v>13642.522222222222</v>
      </c>
      <c r="F185" s="211">
        <f t="shared" si="55"/>
        <v>135060.97</v>
      </c>
      <c r="G185" s="211">
        <f t="shared" ref="G185" si="57">ROUND(F185*1.2,2)</f>
        <v>162073.16</v>
      </c>
    </row>
    <row r="186" spans="1:8" ht="15.6" x14ac:dyDescent="0.3">
      <c r="A186" s="87">
        <f>A185+1</f>
        <v>145</v>
      </c>
      <c r="B186" s="233" t="s">
        <v>944</v>
      </c>
      <c r="C186" s="87" t="s">
        <v>193</v>
      </c>
      <c r="D186" s="217">
        <v>1.7</v>
      </c>
      <c r="E186" s="166">
        <v>13272.15</v>
      </c>
      <c r="F186" s="99">
        <f t="shared" ref="F186:F191" si="58">ROUND(E186*D186,2)</f>
        <v>22562.66</v>
      </c>
      <c r="G186" s="99">
        <f t="shared" ref="G186:G191" si="59">ROUND(F186*1.2,2)</f>
        <v>27075.19</v>
      </c>
    </row>
    <row r="187" spans="1:8" ht="15.6" x14ac:dyDescent="0.3">
      <c r="A187" s="206">
        <f t="shared" ref="A187:A192" si="60">A186+1</f>
        <v>146</v>
      </c>
      <c r="B187" s="213" t="s">
        <v>1253</v>
      </c>
      <c r="C187" s="254" t="s">
        <v>220</v>
      </c>
      <c r="D187" s="231">
        <v>3</v>
      </c>
      <c r="E187" s="210">
        <v>3041</v>
      </c>
      <c r="F187" s="211">
        <f t="shared" si="58"/>
        <v>9123</v>
      </c>
      <c r="G187" s="211">
        <f t="shared" si="59"/>
        <v>10947.6</v>
      </c>
      <c r="H187" s="255" t="s">
        <v>1256</v>
      </c>
    </row>
    <row r="188" spans="1:8" ht="15.6" x14ac:dyDescent="0.3">
      <c r="A188" s="206">
        <f t="shared" si="60"/>
        <v>147</v>
      </c>
      <c r="B188" s="213" t="s">
        <v>1254</v>
      </c>
      <c r="C188" s="254" t="s">
        <v>220</v>
      </c>
      <c r="D188" s="231">
        <v>2</v>
      </c>
      <c r="E188" s="210">
        <v>1416</v>
      </c>
      <c r="F188" s="211">
        <f t="shared" si="58"/>
        <v>2832</v>
      </c>
      <c r="G188" s="211">
        <f t="shared" si="59"/>
        <v>3398.4</v>
      </c>
      <c r="H188" s="255" t="s">
        <v>1256</v>
      </c>
    </row>
    <row r="189" spans="1:8" ht="15.6" x14ac:dyDescent="0.3">
      <c r="A189" s="206">
        <f t="shared" si="60"/>
        <v>148</v>
      </c>
      <c r="B189" s="213" t="s">
        <v>1255</v>
      </c>
      <c r="C189" s="254" t="s">
        <v>220</v>
      </c>
      <c r="D189" s="231">
        <v>1</v>
      </c>
      <c r="E189" s="210">
        <v>1294</v>
      </c>
      <c r="F189" s="211">
        <f t="shared" si="58"/>
        <v>1294</v>
      </c>
      <c r="G189" s="211">
        <f t="shared" si="59"/>
        <v>1552.8</v>
      </c>
      <c r="H189" s="255" t="s">
        <v>1256</v>
      </c>
    </row>
    <row r="190" spans="1:8" ht="15.6" x14ac:dyDescent="0.3">
      <c r="A190" s="206">
        <f t="shared" si="60"/>
        <v>149</v>
      </c>
      <c r="B190" s="213" t="s">
        <v>945</v>
      </c>
      <c r="C190" s="206" t="s">
        <v>220</v>
      </c>
      <c r="D190" s="209">
        <v>2</v>
      </c>
      <c r="E190" s="210">
        <v>4289</v>
      </c>
      <c r="F190" s="211">
        <f t="shared" si="58"/>
        <v>8578</v>
      </c>
      <c r="G190" s="211">
        <f t="shared" si="59"/>
        <v>10293.6</v>
      </c>
    </row>
    <row r="191" spans="1:8" ht="15.6" x14ac:dyDescent="0.3">
      <c r="A191" s="206">
        <f t="shared" si="60"/>
        <v>150</v>
      </c>
      <c r="B191" s="213" t="s">
        <v>946</v>
      </c>
      <c r="C191" s="206" t="s">
        <v>220</v>
      </c>
      <c r="D191" s="209">
        <v>2</v>
      </c>
      <c r="E191" s="210">
        <v>2078</v>
      </c>
      <c r="F191" s="211">
        <f t="shared" si="58"/>
        <v>4156</v>
      </c>
      <c r="G191" s="211">
        <f t="shared" si="59"/>
        <v>4987.2</v>
      </c>
    </row>
    <row r="192" spans="1:8" ht="15.6" x14ac:dyDescent="0.3">
      <c r="A192" s="206">
        <f t="shared" si="60"/>
        <v>151</v>
      </c>
      <c r="B192" s="213" t="s">
        <v>947</v>
      </c>
      <c r="C192" s="206" t="s">
        <v>220</v>
      </c>
      <c r="D192" s="209">
        <v>2</v>
      </c>
      <c r="E192" s="210">
        <v>2078</v>
      </c>
      <c r="F192" s="211">
        <f t="shared" ref="F192" si="61">ROUND(E192*D192,2)</f>
        <v>4156</v>
      </c>
      <c r="G192" s="211">
        <f t="shared" ref="G192" si="62">ROUND(F192*1.2,2)</f>
        <v>4987.2</v>
      </c>
    </row>
    <row r="193" spans="1:8" ht="27.6" x14ac:dyDescent="0.3">
      <c r="A193" s="206">
        <f>A192+1</f>
        <v>152</v>
      </c>
      <c r="B193" s="213" t="s">
        <v>948</v>
      </c>
      <c r="C193" s="206" t="s">
        <v>220</v>
      </c>
      <c r="D193" s="209">
        <v>2</v>
      </c>
      <c r="E193" s="210">
        <v>5667</v>
      </c>
      <c r="F193" s="211">
        <f t="shared" ref="F193:F194" si="63">ROUND(E193*D193,2)</f>
        <v>11334</v>
      </c>
      <c r="G193" s="211">
        <f t="shared" ref="G193:G194" si="64">ROUND(F193*1.2,2)</f>
        <v>13600.8</v>
      </c>
    </row>
    <row r="194" spans="1:8" ht="27.6" x14ac:dyDescent="0.3">
      <c r="A194" s="206">
        <f t="shared" ref="A194:A196" si="65">A193+1</f>
        <v>153</v>
      </c>
      <c r="B194" s="213" t="s">
        <v>949</v>
      </c>
      <c r="C194" s="206" t="s">
        <v>220</v>
      </c>
      <c r="D194" s="209">
        <v>2</v>
      </c>
      <c r="E194" s="210">
        <v>18703</v>
      </c>
      <c r="F194" s="211">
        <f t="shared" si="63"/>
        <v>37406</v>
      </c>
      <c r="G194" s="211">
        <f t="shared" si="64"/>
        <v>44887.199999999997</v>
      </c>
    </row>
    <row r="195" spans="1:8" ht="27.6" x14ac:dyDescent="0.3">
      <c r="A195" s="206">
        <f t="shared" si="65"/>
        <v>154</v>
      </c>
      <c r="B195" s="213" t="s">
        <v>950</v>
      </c>
      <c r="C195" s="206" t="s">
        <v>220</v>
      </c>
      <c r="D195" s="209">
        <v>2</v>
      </c>
      <c r="E195" s="210">
        <v>6960</v>
      </c>
      <c r="F195" s="211">
        <f t="shared" ref="F195" si="66">ROUND(E195*D195,2)</f>
        <v>13920</v>
      </c>
      <c r="G195" s="211">
        <f t="shared" ref="G195" si="67">ROUND(F195*1.2,2)</f>
        <v>16704</v>
      </c>
    </row>
    <row r="196" spans="1:8" ht="27.6" x14ac:dyDescent="0.3">
      <c r="A196" s="206">
        <f t="shared" si="65"/>
        <v>155</v>
      </c>
      <c r="B196" s="213" t="s">
        <v>951</v>
      </c>
      <c r="C196" s="206" t="s">
        <v>220</v>
      </c>
      <c r="D196" s="209">
        <v>2</v>
      </c>
      <c r="E196" s="210">
        <f>1258*2</f>
        <v>2516</v>
      </c>
      <c r="F196" s="211">
        <f t="shared" ref="F196" si="68">ROUND(E196*D196,2)</f>
        <v>5032</v>
      </c>
      <c r="G196" s="211">
        <f t="shared" ref="G196" si="69">ROUND(F196*1.2,2)</f>
        <v>6038.4</v>
      </c>
    </row>
    <row r="197" spans="1:8" ht="15.6" x14ac:dyDescent="0.3">
      <c r="A197" s="206">
        <f>A196+1</f>
        <v>156</v>
      </c>
      <c r="B197" s="213" t="s">
        <v>952</v>
      </c>
      <c r="C197" s="206" t="s">
        <v>239</v>
      </c>
      <c r="D197" s="219">
        <v>7.8E-2</v>
      </c>
      <c r="E197" s="210">
        <f>9795/0.078</f>
        <v>125576.92307692308</v>
      </c>
      <c r="F197" s="211">
        <f t="shared" ref="F197:F202" si="70">ROUND(E197*D197,2)</f>
        <v>9795</v>
      </c>
      <c r="G197" s="211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33" t="s">
        <v>930</v>
      </c>
      <c r="C198" s="87" t="s">
        <v>431</v>
      </c>
      <c r="D198" s="217">
        <v>54.1</v>
      </c>
      <c r="E198" s="166">
        <v>152</v>
      </c>
      <c r="F198" s="99">
        <f t="shared" si="70"/>
        <v>8223.2000000000007</v>
      </c>
      <c r="G198" s="99">
        <f t="shared" si="71"/>
        <v>9867.84</v>
      </c>
    </row>
    <row r="199" spans="1:8" ht="27.6" x14ac:dyDescent="0.3">
      <c r="A199" s="87">
        <f t="shared" si="48"/>
        <v>158</v>
      </c>
      <c r="B199" s="233" t="s">
        <v>931</v>
      </c>
      <c r="C199" s="87" t="s">
        <v>431</v>
      </c>
      <c r="D199" s="217">
        <v>54.1</v>
      </c>
      <c r="E199" s="166">
        <v>315.54000000000002</v>
      </c>
      <c r="F199" s="99">
        <f t="shared" si="70"/>
        <v>17070.71</v>
      </c>
      <c r="G199" s="99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48">
        <v>2</v>
      </c>
      <c r="E200" s="167">
        <v>182</v>
      </c>
      <c r="F200" s="94">
        <f t="shared" si="70"/>
        <v>364</v>
      </c>
      <c r="G200" s="94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48">
        <v>2</v>
      </c>
      <c r="E201" s="167">
        <v>182</v>
      </c>
      <c r="F201" s="94">
        <f t="shared" si="70"/>
        <v>364</v>
      </c>
      <c r="G201" s="94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67">
        <v>13272.15</v>
      </c>
      <c r="F202" s="94">
        <f t="shared" si="70"/>
        <v>2654.43</v>
      </c>
      <c r="G202" s="94">
        <f t="shared" si="71"/>
        <v>3185.32</v>
      </c>
    </row>
    <row r="203" spans="1:8" ht="27.6" x14ac:dyDescent="0.3">
      <c r="A203" s="206">
        <f>A202+1</f>
        <v>162</v>
      </c>
      <c r="B203" s="213" t="s">
        <v>953</v>
      </c>
      <c r="C203" s="206" t="s">
        <v>193</v>
      </c>
      <c r="D203" s="219">
        <v>0.621</v>
      </c>
      <c r="E203" s="210">
        <f>52655/0.621</f>
        <v>84790.660225442829</v>
      </c>
      <c r="F203" s="211">
        <f t="shared" ref="F203:F205" si="72">ROUND(E203*D203,2)</f>
        <v>52655</v>
      </c>
      <c r="G203" s="211">
        <f t="shared" ref="G203:G205" si="73">ROUND(F203*1.2,2)</f>
        <v>63186</v>
      </c>
    </row>
    <row r="204" spans="1:8" ht="27.6" x14ac:dyDescent="0.3">
      <c r="A204" s="206">
        <f>A203+1</f>
        <v>163</v>
      </c>
      <c r="B204" s="213" t="s">
        <v>954</v>
      </c>
      <c r="C204" s="206" t="s">
        <v>956</v>
      </c>
      <c r="D204" s="214">
        <v>23.55</v>
      </c>
      <c r="E204" s="210">
        <v>626.07000000000005</v>
      </c>
      <c r="F204" s="211">
        <f t="shared" si="72"/>
        <v>14743.95</v>
      </c>
      <c r="G204" s="211">
        <f t="shared" si="73"/>
        <v>17692.740000000002</v>
      </c>
    </row>
    <row r="205" spans="1:8" ht="15.6" x14ac:dyDescent="0.3">
      <c r="A205" s="206">
        <f>A204+1</f>
        <v>164</v>
      </c>
      <c r="B205" s="213" t="s">
        <v>955</v>
      </c>
      <c r="C205" s="206" t="s">
        <v>431</v>
      </c>
      <c r="D205" s="214">
        <v>0.3</v>
      </c>
      <c r="E205" s="210">
        <f>102/0.3</f>
        <v>340</v>
      </c>
      <c r="F205" s="211">
        <f t="shared" si="72"/>
        <v>102</v>
      </c>
      <c r="G205" s="211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77"/>
      <c r="F206" s="94"/>
      <c r="G206" s="94"/>
    </row>
    <row r="207" spans="1:8" ht="43.2" x14ac:dyDescent="0.3">
      <c r="A207" s="66">
        <f>A205+1</f>
        <v>165</v>
      </c>
      <c r="B207" s="201" t="s">
        <v>957</v>
      </c>
      <c r="C207" s="66" t="s">
        <v>194</v>
      </c>
      <c r="D207" s="218">
        <v>115</v>
      </c>
      <c r="E207" s="167">
        <v>2290.1579999999999</v>
      </c>
      <c r="F207" s="94">
        <f t="shared" si="46"/>
        <v>263368.17</v>
      </c>
      <c r="G207" s="94">
        <f t="shared" si="47"/>
        <v>316041.8</v>
      </c>
      <c r="H207" s="230" t="s">
        <v>1076</v>
      </c>
    </row>
    <row r="208" spans="1:8" ht="15.6" x14ac:dyDescent="0.3">
      <c r="A208" s="66">
        <f>A207+1</f>
        <v>166</v>
      </c>
      <c r="B208" s="221" t="s">
        <v>1077</v>
      </c>
      <c r="C208" s="66" t="s">
        <v>220</v>
      </c>
      <c r="D208" s="72">
        <v>24</v>
      </c>
      <c r="E208" s="167">
        <v>9339.7969230769231</v>
      </c>
      <c r="F208" s="94">
        <f t="shared" si="46"/>
        <v>224155.13</v>
      </c>
      <c r="G208" s="94">
        <f t="shared" si="47"/>
        <v>268986.15999999997</v>
      </c>
      <c r="H208" s="220" t="s">
        <v>969</v>
      </c>
    </row>
    <row r="209" spans="1:8" ht="15.6" x14ac:dyDescent="0.3">
      <c r="A209" s="66">
        <f t="shared" ref="A209:A211" si="74">A208+1</f>
        <v>167</v>
      </c>
      <c r="B209" s="221" t="s">
        <v>1078</v>
      </c>
      <c r="C209" s="66" t="s">
        <v>220</v>
      </c>
      <c r="D209" s="72">
        <v>24</v>
      </c>
      <c r="E209" s="167">
        <v>1866.7559615384619</v>
      </c>
      <c r="F209" s="94">
        <f t="shared" si="46"/>
        <v>44802.14</v>
      </c>
      <c r="G209" s="94">
        <f t="shared" si="47"/>
        <v>53762.57</v>
      </c>
      <c r="H209" s="220" t="s">
        <v>969</v>
      </c>
    </row>
    <row r="210" spans="1:8" ht="19.5" customHeight="1" x14ac:dyDescent="0.3">
      <c r="A210" s="206">
        <f t="shared" si="74"/>
        <v>168</v>
      </c>
      <c r="B210" s="213" t="s">
        <v>1044</v>
      </c>
      <c r="C210" s="206" t="s">
        <v>217</v>
      </c>
      <c r="D210" s="215">
        <f>12+12</f>
        <v>24</v>
      </c>
      <c r="E210" s="210">
        <v>10778</v>
      </c>
      <c r="F210" s="211">
        <f t="shared" ref="F210" si="75">ROUND(E210*D210,2)</f>
        <v>258672</v>
      </c>
      <c r="G210" s="211">
        <f t="shared" ref="G210" si="76">ROUND(F210*1.2,2)</f>
        <v>310406.40000000002</v>
      </c>
      <c r="H210" s="255" t="s">
        <v>1266</v>
      </c>
    </row>
    <row r="211" spans="1:8" ht="41.4" x14ac:dyDescent="0.3">
      <c r="A211" s="206">
        <f t="shared" si="74"/>
        <v>169</v>
      </c>
      <c r="B211" s="213" t="s">
        <v>1257</v>
      </c>
      <c r="C211" s="206" t="s">
        <v>194</v>
      </c>
      <c r="D211" s="215">
        <v>11</v>
      </c>
      <c r="E211" s="210">
        <v>981.27272727272725</v>
      </c>
      <c r="F211" s="211">
        <f t="shared" ref="F211" si="77">ROUND(E211*D211,2)</f>
        <v>10794</v>
      </c>
      <c r="G211" s="211">
        <f t="shared" ref="G211" si="78">ROUND(F211*1.2,2)</f>
        <v>12952.8</v>
      </c>
    </row>
    <row r="212" spans="1:8" ht="27.6" x14ac:dyDescent="0.3">
      <c r="A212" s="206">
        <f>A211+1</f>
        <v>170</v>
      </c>
      <c r="B212" s="213" t="s">
        <v>958</v>
      </c>
      <c r="C212" s="206" t="s">
        <v>194</v>
      </c>
      <c r="D212" s="215">
        <v>10.5</v>
      </c>
      <c r="E212" s="210">
        <v>918.1</v>
      </c>
      <c r="F212" s="211">
        <f t="shared" ref="F212" si="79">ROUND(E212*D212,2)</f>
        <v>9640.0499999999993</v>
      </c>
      <c r="G212" s="211">
        <f t="shared" ref="G212" si="80">ROUND(F212*1.2,2)</f>
        <v>11568.06</v>
      </c>
      <c r="H212" s="242"/>
    </row>
    <row r="213" spans="1:8" ht="15.6" x14ac:dyDescent="0.3">
      <c r="A213" s="87">
        <f>A212+1</f>
        <v>171</v>
      </c>
      <c r="B213" s="233" t="s">
        <v>959</v>
      </c>
      <c r="C213" s="87" t="s">
        <v>220</v>
      </c>
      <c r="D213" s="148">
        <v>16</v>
      </c>
      <c r="E213" s="166">
        <v>4680</v>
      </c>
      <c r="F213" s="99">
        <f t="shared" si="46"/>
        <v>74880</v>
      </c>
      <c r="G213" s="99">
        <f t="shared" si="47"/>
        <v>89856</v>
      </c>
      <c r="H213" s="243"/>
    </row>
    <row r="214" spans="1:8" ht="15.6" x14ac:dyDescent="0.3">
      <c r="A214" s="206">
        <f>A213+1</f>
        <v>172</v>
      </c>
      <c r="B214" s="213" t="s">
        <v>960</v>
      </c>
      <c r="C214" s="206" t="s">
        <v>220</v>
      </c>
      <c r="D214" s="209">
        <v>6</v>
      </c>
      <c r="E214" s="210">
        <v>1347.33</v>
      </c>
      <c r="F214" s="211">
        <f t="shared" si="46"/>
        <v>8083.98</v>
      </c>
      <c r="G214" s="211">
        <f t="shared" si="47"/>
        <v>9700.7800000000007</v>
      </c>
      <c r="H214" s="243"/>
    </row>
    <row r="215" spans="1:8" ht="15.6" x14ac:dyDescent="0.3">
      <c r="A215" s="206">
        <f>A214+1</f>
        <v>173</v>
      </c>
      <c r="B215" s="213" t="s">
        <v>961</v>
      </c>
      <c r="C215" s="206" t="s">
        <v>220</v>
      </c>
      <c r="D215" s="209">
        <v>8</v>
      </c>
      <c r="E215" s="210">
        <v>275.38</v>
      </c>
      <c r="F215" s="211">
        <f t="shared" si="46"/>
        <v>2203.04</v>
      </c>
      <c r="G215" s="211">
        <f t="shared" si="47"/>
        <v>2643.65</v>
      </c>
    </row>
    <row r="216" spans="1:8" ht="27.6" x14ac:dyDescent="0.3">
      <c r="A216" s="206">
        <f t="shared" ref="A216:A224" si="81">A215+1</f>
        <v>174</v>
      </c>
      <c r="B216" s="213" t="s">
        <v>962</v>
      </c>
      <c r="C216" s="206" t="s">
        <v>220</v>
      </c>
      <c r="D216" s="209">
        <v>4</v>
      </c>
      <c r="E216" s="267">
        <v>13305</v>
      </c>
      <c r="F216" s="211">
        <f t="shared" ref="F216:F225" si="82">ROUND(E216*D216,2)</f>
        <v>53220</v>
      </c>
      <c r="G216" s="211">
        <f t="shared" ref="G216:G225" si="83">ROUND(F216*1.2,2)</f>
        <v>63864</v>
      </c>
    </row>
    <row r="217" spans="1:8" ht="27.6" x14ac:dyDescent="0.3">
      <c r="A217" s="206">
        <f t="shared" si="81"/>
        <v>175</v>
      </c>
      <c r="B217" s="213" t="s">
        <v>963</v>
      </c>
      <c r="C217" s="206" t="s">
        <v>220</v>
      </c>
      <c r="D217" s="209">
        <v>2</v>
      </c>
      <c r="E217" s="267">
        <v>7683</v>
      </c>
      <c r="F217" s="211">
        <f t="shared" si="82"/>
        <v>15366</v>
      </c>
      <c r="G217" s="211">
        <f t="shared" si="83"/>
        <v>18439.2</v>
      </c>
    </row>
    <row r="218" spans="1:8" ht="27.6" x14ac:dyDescent="0.3">
      <c r="A218" s="206">
        <f t="shared" si="81"/>
        <v>176</v>
      </c>
      <c r="B218" s="213" t="s">
        <v>964</v>
      </c>
      <c r="C218" s="206" t="s">
        <v>220</v>
      </c>
      <c r="D218" s="209">
        <v>4</v>
      </c>
      <c r="E218" s="267">
        <v>4797</v>
      </c>
      <c r="F218" s="211">
        <f t="shared" si="82"/>
        <v>19188</v>
      </c>
      <c r="G218" s="211">
        <f t="shared" si="83"/>
        <v>23025.599999999999</v>
      </c>
    </row>
    <row r="219" spans="1:8" ht="15.6" x14ac:dyDescent="0.3">
      <c r="A219" s="206">
        <f t="shared" si="81"/>
        <v>177</v>
      </c>
      <c r="B219" s="213" t="s">
        <v>965</v>
      </c>
      <c r="C219" s="206" t="s">
        <v>220</v>
      </c>
      <c r="D219" s="209">
        <v>2</v>
      </c>
      <c r="E219" s="210">
        <v>1529</v>
      </c>
      <c r="F219" s="211">
        <f t="shared" si="82"/>
        <v>3058</v>
      </c>
      <c r="G219" s="211">
        <f t="shared" si="83"/>
        <v>3669.6</v>
      </c>
    </row>
    <row r="220" spans="1:8" ht="15.6" x14ac:dyDescent="0.3">
      <c r="A220" s="206">
        <f t="shared" si="81"/>
        <v>178</v>
      </c>
      <c r="B220" s="213" t="s">
        <v>966</v>
      </c>
      <c r="C220" s="206" t="s">
        <v>194</v>
      </c>
      <c r="D220" s="215">
        <v>2.2999999999999998</v>
      </c>
      <c r="E220" s="210">
        <f>1596/D220</f>
        <v>693.91304347826087</v>
      </c>
      <c r="F220" s="211">
        <f t="shared" si="82"/>
        <v>1596</v>
      </c>
      <c r="G220" s="211">
        <f t="shared" si="83"/>
        <v>1915.2</v>
      </c>
    </row>
    <row r="221" spans="1:8" ht="15.6" x14ac:dyDescent="0.3">
      <c r="A221" s="206">
        <f t="shared" si="81"/>
        <v>179</v>
      </c>
      <c r="B221" s="213" t="s">
        <v>967</v>
      </c>
      <c r="C221" s="206" t="s">
        <v>220</v>
      </c>
      <c r="D221" s="209">
        <v>1</v>
      </c>
      <c r="E221" s="210">
        <v>3453</v>
      </c>
      <c r="F221" s="211">
        <f t="shared" si="82"/>
        <v>3453</v>
      </c>
      <c r="G221" s="211">
        <f t="shared" si="83"/>
        <v>4143.6000000000004</v>
      </c>
    </row>
    <row r="222" spans="1:8" ht="15.6" x14ac:dyDescent="0.3">
      <c r="A222" s="206">
        <f t="shared" si="81"/>
        <v>180</v>
      </c>
      <c r="B222" s="213" t="s">
        <v>968</v>
      </c>
      <c r="C222" s="206" t="s">
        <v>220</v>
      </c>
      <c r="D222" s="209">
        <v>4</v>
      </c>
      <c r="E222" s="210">
        <f>3211</f>
        <v>3211</v>
      </c>
      <c r="F222" s="211">
        <f t="shared" si="82"/>
        <v>12844</v>
      </c>
      <c r="G222" s="211">
        <f t="shared" si="83"/>
        <v>15412.8</v>
      </c>
      <c r="H222" s="255" t="s">
        <v>1259</v>
      </c>
    </row>
    <row r="223" spans="1:8" ht="15.6" x14ac:dyDescent="0.3">
      <c r="A223" s="206">
        <f t="shared" si="81"/>
        <v>181</v>
      </c>
      <c r="B223" s="213" t="s">
        <v>1037</v>
      </c>
      <c r="C223" s="206" t="s">
        <v>217</v>
      </c>
      <c r="D223" s="209">
        <v>4</v>
      </c>
      <c r="E223" s="210">
        <v>425</v>
      </c>
      <c r="F223" s="211">
        <f t="shared" ref="F223" si="84">ROUND(E223*D223,2)</f>
        <v>1700</v>
      </c>
      <c r="G223" s="211">
        <f t="shared" ref="G223" si="85">ROUND(F223*1.2,2)</f>
        <v>2040</v>
      </c>
      <c r="H223" s="255" t="s">
        <v>1260</v>
      </c>
    </row>
    <row r="224" spans="1:8" ht="15.6" x14ac:dyDescent="0.3">
      <c r="A224" s="87">
        <f t="shared" si="81"/>
        <v>182</v>
      </c>
      <c r="B224" s="233" t="s">
        <v>970</v>
      </c>
      <c r="C224" s="87" t="s">
        <v>193</v>
      </c>
      <c r="D224" s="218">
        <f>0.31+0.34+0.27+0.403</f>
        <v>1.323</v>
      </c>
      <c r="E224" s="166">
        <v>18174</v>
      </c>
      <c r="F224" s="99">
        <f t="shared" si="82"/>
        <v>24044.2</v>
      </c>
      <c r="G224" s="99">
        <f t="shared" si="83"/>
        <v>28853.040000000001</v>
      </c>
    </row>
    <row r="225" spans="1:8" ht="15.6" x14ac:dyDescent="0.3">
      <c r="A225" s="206">
        <f>A224+1</f>
        <v>183</v>
      </c>
      <c r="B225" s="213" t="s">
        <v>947</v>
      </c>
      <c r="C225" s="206" t="s">
        <v>220</v>
      </c>
      <c r="D225" s="209">
        <v>1</v>
      </c>
      <c r="E225" s="210">
        <v>2078</v>
      </c>
      <c r="F225" s="211">
        <f t="shared" si="82"/>
        <v>2078</v>
      </c>
      <c r="G225" s="211">
        <f t="shared" si="83"/>
        <v>2493.6</v>
      </c>
    </row>
    <row r="226" spans="1:8" ht="15.6" x14ac:dyDescent="0.3">
      <c r="A226" s="206">
        <f>A225+1</f>
        <v>184</v>
      </c>
      <c r="B226" s="213" t="s">
        <v>977</v>
      </c>
      <c r="C226" s="206" t="s">
        <v>193</v>
      </c>
      <c r="D226" s="214">
        <v>0.28000000000000003</v>
      </c>
      <c r="E226" s="210">
        <f>4703/D226</f>
        <v>16796.428571428569</v>
      </c>
      <c r="F226" s="211">
        <f t="shared" ref="F226:F232" si="86">ROUND(E226*D226,2)</f>
        <v>4703</v>
      </c>
      <c r="G226" s="211">
        <f t="shared" ref="G226:G232" si="87">ROUND(F226*1.2,2)</f>
        <v>5643.6</v>
      </c>
    </row>
    <row r="227" spans="1:8" ht="15.6" x14ac:dyDescent="0.3">
      <c r="A227" s="206">
        <f t="shared" ref="A227:A235" si="88">A226+1</f>
        <v>185</v>
      </c>
      <c r="B227" s="213" t="s">
        <v>978</v>
      </c>
      <c r="C227" s="206" t="s">
        <v>193</v>
      </c>
      <c r="D227" s="214">
        <v>0.05</v>
      </c>
      <c r="E227" s="210">
        <f>1324/D227</f>
        <v>26480</v>
      </c>
      <c r="F227" s="211">
        <f t="shared" si="86"/>
        <v>1324</v>
      </c>
      <c r="G227" s="211">
        <f t="shared" si="87"/>
        <v>1588.8</v>
      </c>
      <c r="H227" s="255" t="s">
        <v>1261</v>
      </c>
    </row>
    <row r="228" spans="1:8" ht="15.6" x14ac:dyDescent="0.3">
      <c r="A228" s="206">
        <f t="shared" si="88"/>
        <v>186</v>
      </c>
      <c r="B228" s="213" t="s">
        <v>979</v>
      </c>
      <c r="C228" s="206" t="s">
        <v>193</v>
      </c>
      <c r="D228" s="215">
        <v>0.3</v>
      </c>
      <c r="E228" s="210">
        <v>1380</v>
      </c>
      <c r="F228" s="211">
        <f t="shared" si="86"/>
        <v>414</v>
      </c>
      <c r="G228" s="211">
        <f t="shared" si="87"/>
        <v>496.8</v>
      </c>
    </row>
    <row r="229" spans="1:8" ht="15.6" x14ac:dyDescent="0.3">
      <c r="A229" s="206">
        <f t="shared" si="88"/>
        <v>187</v>
      </c>
      <c r="B229" s="213" t="s">
        <v>980</v>
      </c>
      <c r="C229" s="206" t="s">
        <v>239</v>
      </c>
      <c r="D229" s="219">
        <v>0.123</v>
      </c>
      <c r="E229" s="210">
        <f>8639/D229</f>
        <v>70235.772357723574</v>
      </c>
      <c r="F229" s="211">
        <f t="shared" si="86"/>
        <v>8639</v>
      </c>
      <c r="G229" s="211">
        <f t="shared" si="87"/>
        <v>10366.799999999999</v>
      </c>
    </row>
    <row r="230" spans="1:8" ht="15.6" x14ac:dyDescent="0.3">
      <c r="A230" s="206">
        <f t="shared" si="88"/>
        <v>188</v>
      </c>
      <c r="B230" s="213" t="s">
        <v>982</v>
      </c>
      <c r="C230" s="206" t="s">
        <v>220</v>
      </c>
      <c r="D230" s="209">
        <v>3</v>
      </c>
      <c r="E230" s="210">
        <v>874</v>
      </c>
      <c r="F230" s="211">
        <f t="shared" si="86"/>
        <v>2622</v>
      </c>
      <c r="G230" s="211">
        <f t="shared" si="87"/>
        <v>3146.4</v>
      </c>
    </row>
    <row r="231" spans="1:8" ht="15.6" x14ac:dyDescent="0.3">
      <c r="A231" s="206">
        <f t="shared" si="88"/>
        <v>189</v>
      </c>
      <c r="B231" s="213" t="s">
        <v>976</v>
      </c>
      <c r="C231" s="206" t="s">
        <v>193</v>
      </c>
      <c r="D231" s="214">
        <v>0.02</v>
      </c>
      <c r="E231" s="210">
        <f>1391/D231</f>
        <v>69550</v>
      </c>
      <c r="F231" s="211">
        <f t="shared" si="86"/>
        <v>1391</v>
      </c>
      <c r="G231" s="211">
        <f t="shared" si="87"/>
        <v>1669.2</v>
      </c>
    </row>
    <row r="232" spans="1:8" ht="15.6" x14ac:dyDescent="0.3">
      <c r="A232" s="206">
        <f t="shared" si="88"/>
        <v>190</v>
      </c>
      <c r="B232" s="213" t="s">
        <v>1258</v>
      </c>
      <c r="C232" s="206" t="s">
        <v>193</v>
      </c>
      <c r="D232" s="219">
        <v>4.3890000000000002</v>
      </c>
      <c r="E232" s="210">
        <f>61720/D232</f>
        <v>14062.428799270903</v>
      </c>
      <c r="F232" s="211">
        <f t="shared" si="86"/>
        <v>61720</v>
      </c>
      <c r="G232" s="211">
        <f t="shared" si="87"/>
        <v>74064</v>
      </c>
    </row>
    <row r="233" spans="1:8" ht="15.6" x14ac:dyDescent="0.3">
      <c r="A233" s="87">
        <f t="shared" si="88"/>
        <v>191</v>
      </c>
      <c r="B233" s="233" t="s">
        <v>974</v>
      </c>
      <c r="C233" s="87" t="s">
        <v>431</v>
      </c>
      <c r="D233" s="217">
        <v>41.6</v>
      </c>
      <c r="E233" s="166">
        <v>152</v>
      </c>
      <c r="F233" s="99">
        <f t="shared" ref="F233:F235" si="89">ROUND(E233*D233,2)</f>
        <v>6323.2</v>
      </c>
      <c r="G233" s="99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33" t="s">
        <v>975</v>
      </c>
      <c r="C234" s="87" t="s">
        <v>431</v>
      </c>
      <c r="D234" s="217">
        <v>41.6</v>
      </c>
      <c r="E234" s="166">
        <v>315.54000000000002</v>
      </c>
      <c r="F234" s="99">
        <f t="shared" si="89"/>
        <v>13126.46</v>
      </c>
      <c r="G234" s="99">
        <f t="shared" si="90"/>
        <v>15751.75</v>
      </c>
    </row>
    <row r="235" spans="1:8" ht="15.6" x14ac:dyDescent="0.3">
      <c r="A235" s="206">
        <f t="shared" si="88"/>
        <v>193</v>
      </c>
      <c r="B235" s="213" t="s">
        <v>981</v>
      </c>
      <c r="C235" s="206" t="s">
        <v>239</v>
      </c>
      <c r="D235" s="219">
        <v>0.13300000000000001</v>
      </c>
      <c r="E235" s="210">
        <f>9341/D235</f>
        <v>70233.082706766916</v>
      </c>
      <c r="F235" s="211">
        <f t="shared" si="89"/>
        <v>9341</v>
      </c>
      <c r="G235" s="211">
        <f t="shared" si="90"/>
        <v>11209.2</v>
      </c>
    </row>
    <row r="236" spans="1:8" x14ac:dyDescent="0.3">
      <c r="A236" s="974" t="s">
        <v>721</v>
      </c>
      <c r="B236" s="975"/>
      <c r="C236" s="975"/>
      <c r="D236" s="975"/>
      <c r="E236" s="976"/>
      <c r="F236" s="153">
        <f>SUM(F7:F235)</f>
        <v>28478442.130000014</v>
      </c>
      <c r="G236" s="153">
        <f>SUM(G7:G235)</f>
        <v>34174130.570000008</v>
      </c>
    </row>
    <row r="237" spans="1:8" x14ac:dyDescent="0.3">
      <c r="A237" s="974" t="s">
        <v>722</v>
      </c>
      <c r="B237" s="975"/>
      <c r="C237" s="975"/>
      <c r="D237" s="975"/>
      <c r="E237" s="976"/>
      <c r="F237" s="204">
        <f>ROUND(F236*0.03,2)</f>
        <v>854353.26</v>
      </c>
      <c r="G237" s="204">
        <f>ROUND(G236*0.03,2)</f>
        <v>1025223.92</v>
      </c>
    </row>
    <row r="238" spans="1:8" x14ac:dyDescent="0.3">
      <c r="A238" s="974" t="s">
        <v>723</v>
      </c>
      <c r="B238" s="975"/>
      <c r="C238" s="975"/>
      <c r="D238" s="975"/>
      <c r="E238" s="976"/>
      <c r="F238" s="204">
        <f>F236+F237</f>
        <v>29332795.390000015</v>
      </c>
      <c r="G238" s="204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703</v>
      </c>
      <c r="F1" s="970"/>
      <c r="G1" s="970"/>
    </row>
    <row r="2" spans="1:7" ht="14.55" customHeight="1" x14ac:dyDescent="0.3">
      <c r="A2" s="964"/>
      <c r="B2" s="966"/>
      <c r="C2" s="954"/>
      <c r="D2" s="954"/>
      <c r="E2" s="972"/>
      <c r="F2" s="970"/>
      <c r="G2" s="970"/>
    </row>
    <row r="3" spans="1:7" ht="27.6" x14ac:dyDescent="0.3">
      <c r="A3" s="935"/>
      <c r="B3" s="967"/>
      <c r="C3" s="954"/>
      <c r="D3" s="954"/>
      <c r="E3" s="59" t="s">
        <v>231</v>
      </c>
      <c r="F3" s="59" t="s">
        <v>410</v>
      </c>
      <c r="G3" s="61" t="s">
        <v>409</v>
      </c>
    </row>
    <row r="4" spans="1:7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</row>
    <row r="5" spans="1:7" ht="20.25" customHeight="1" x14ac:dyDescent="0.3">
      <c r="A5" s="169"/>
      <c r="B5" s="957" t="s">
        <v>232</v>
      </c>
      <c r="C5" s="958"/>
      <c r="D5" s="958"/>
      <c r="E5" s="170"/>
      <c r="F5" s="171"/>
      <c r="G5" s="172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77">
        <v>1320</v>
      </c>
      <c r="F7" s="94">
        <f t="shared" ref="F7:F14" si="0">ROUND(E7*D7,2)</f>
        <v>288288</v>
      </c>
      <c r="G7" s="94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77">
        <v>1581</v>
      </c>
      <c r="F8" s="94">
        <f t="shared" si="0"/>
        <v>586234.80000000005</v>
      </c>
      <c r="G8" s="94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77">
        <v>4006</v>
      </c>
      <c r="F9" s="94">
        <f t="shared" si="0"/>
        <v>1350911.33</v>
      </c>
      <c r="G9" s="94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77">
        <v>4217</v>
      </c>
      <c r="F10" s="94">
        <f t="shared" si="0"/>
        <v>597000.68999999994</v>
      </c>
      <c r="G10" s="94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77">
        <v>6220</v>
      </c>
      <c r="F11" s="94">
        <f t="shared" si="0"/>
        <v>766117.4</v>
      </c>
      <c r="G11" s="94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77">
        <v>401</v>
      </c>
      <c r="F12" s="94">
        <f t="shared" si="0"/>
        <v>40100</v>
      </c>
      <c r="G12" s="94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77">
        <v>5060</v>
      </c>
      <c r="F13" s="94">
        <f t="shared" si="0"/>
        <v>29854</v>
      </c>
      <c r="G13" s="94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77">
        <v>33000</v>
      </c>
      <c r="F14" s="94">
        <f t="shared" si="0"/>
        <v>33000</v>
      </c>
      <c r="G14" s="94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78"/>
      <c r="F15" s="94"/>
      <c r="G15" s="94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67">
        <v>2635</v>
      </c>
      <c r="F16" s="94">
        <f t="shared" ref="F16:F21" si="3">ROUND(E16*D16,2)</f>
        <v>748340</v>
      </c>
      <c r="G16" s="94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67">
        <v>81171</v>
      </c>
      <c r="F17" s="94">
        <f t="shared" si="3"/>
        <v>1298736</v>
      </c>
      <c r="G17" s="94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67">
        <v>253000.00000000003</v>
      </c>
      <c r="F18" s="94">
        <f t="shared" si="3"/>
        <v>1022120</v>
      </c>
      <c r="G18" s="94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67">
        <v>79</v>
      </c>
      <c r="F19" s="94">
        <f t="shared" si="3"/>
        <v>45346</v>
      </c>
      <c r="G19" s="94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67">
        <v>71</v>
      </c>
      <c r="F20" s="94">
        <f t="shared" si="3"/>
        <v>40754</v>
      </c>
      <c r="G20" s="94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77">
        <v>330000</v>
      </c>
      <c r="F21" s="94">
        <f t="shared" si="3"/>
        <v>330000</v>
      </c>
      <c r="G21" s="94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78"/>
      <c r="F22" s="94"/>
      <c r="G22" s="94"/>
    </row>
    <row r="23" spans="1:7" ht="15.6" x14ac:dyDescent="0.3">
      <c r="A23" s="66"/>
      <c r="B23" s="73" t="s">
        <v>252</v>
      </c>
      <c r="C23" s="74"/>
      <c r="D23" s="75"/>
      <c r="E23" s="177"/>
      <c r="F23" s="94"/>
      <c r="G23" s="94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67">
        <v>63</v>
      </c>
      <c r="F24" s="94">
        <f t="shared" ref="F24:F33" si="6">ROUND(E24*D24,2)</f>
        <v>8719.2000000000007</v>
      </c>
      <c r="G24" s="94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67">
        <v>68</v>
      </c>
      <c r="F25" s="94">
        <f t="shared" si="6"/>
        <v>5492.22</v>
      </c>
      <c r="G25" s="94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67">
        <v>70</v>
      </c>
      <c r="F26" s="94">
        <f t="shared" si="6"/>
        <v>1333.92</v>
      </c>
      <c r="G26" s="94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67">
        <v>70</v>
      </c>
      <c r="F27" s="94">
        <f t="shared" si="6"/>
        <v>963.2</v>
      </c>
      <c r="G27" s="94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67">
        <v>184</v>
      </c>
      <c r="F28" s="94">
        <f t="shared" si="6"/>
        <v>19930.88</v>
      </c>
      <c r="G28" s="94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67">
        <v>75</v>
      </c>
      <c r="F29" s="94">
        <f t="shared" si="6"/>
        <v>1812</v>
      </c>
      <c r="G29" s="94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67">
        <v>6114</v>
      </c>
      <c r="F30" s="94">
        <f t="shared" si="6"/>
        <v>44681.11</v>
      </c>
      <c r="G30" s="94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67">
        <v>5060</v>
      </c>
      <c r="F31" s="94">
        <f t="shared" si="6"/>
        <v>9909.5</v>
      </c>
      <c r="G31" s="94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67">
        <v>157</v>
      </c>
      <c r="F32" s="94">
        <f t="shared" si="6"/>
        <v>13504.51</v>
      </c>
      <c r="G32" s="94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77">
        <v>33000</v>
      </c>
      <c r="F33" s="94">
        <f t="shared" si="6"/>
        <v>33000</v>
      </c>
      <c r="G33" s="94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77"/>
      <c r="F34" s="94"/>
      <c r="G34" s="94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67">
        <v>63</v>
      </c>
      <c r="F35" s="94">
        <f t="shared" ref="F35:F41" si="9">ROUND(E35*D35,2)</f>
        <v>7916.83</v>
      </c>
      <c r="G35" s="94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67">
        <v>68</v>
      </c>
      <c r="F36" s="94">
        <f t="shared" si="9"/>
        <v>8323.2000000000007</v>
      </c>
      <c r="G36" s="94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67">
        <v>70</v>
      </c>
      <c r="F37" s="94">
        <f t="shared" si="9"/>
        <v>4778.4799999999996</v>
      </c>
      <c r="G37" s="94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67">
        <v>6114</v>
      </c>
      <c r="F38" s="94">
        <f t="shared" si="9"/>
        <v>22340.560000000001</v>
      </c>
      <c r="G38" s="94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67">
        <v>5060</v>
      </c>
      <c r="F39" s="94">
        <f t="shared" si="9"/>
        <v>9290.16</v>
      </c>
      <c r="G39" s="94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67">
        <v>157</v>
      </c>
      <c r="F40" s="94">
        <f t="shared" si="9"/>
        <v>9947.52</v>
      </c>
      <c r="G40" s="94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77">
        <v>5500</v>
      </c>
      <c r="F41" s="94">
        <f t="shared" si="9"/>
        <v>5500</v>
      </c>
      <c r="G41" s="94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77"/>
      <c r="F42" s="94"/>
      <c r="G42" s="94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67">
        <v>114</v>
      </c>
      <c r="F43" s="94">
        <f t="shared" ref="F43:F49" si="12">ROUND(E43*D43,2)</f>
        <v>9785.76</v>
      </c>
      <c r="G43" s="94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67">
        <v>89</v>
      </c>
      <c r="F44" s="94">
        <f t="shared" si="12"/>
        <v>8045.6</v>
      </c>
      <c r="G44" s="94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67">
        <v>89</v>
      </c>
      <c r="F45" s="94">
        <f t="shared" si="12"/>
        <v>7888.96</v>
      </c>
      <c r="G45" s="94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67">
        <v>89</v>
      </c>
      <c r="F46" s="94">
        <f t="shared" si="12"/>
        <v>2463.52</v>
      </c>
      <c r="G46" s="94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67">
        <v>89</v>
      </c>
      <c r="F47" s="94">
        <f t="shared" si="12"/>
        <v>1986.48</v>
      </c>
      <c r="G47" s="94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67">
        <v>69</v>
      </c>
      <c r="F48" s="94">
        <f t="shared" si="12"/>
        <v>943.92</v>
      </c>
      <c r="G48" s="94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67">
        <v>317</v>
      </c>
      <c r="F49" s="94">
        <f t="shared" si="12"/>
        <v>1521.6</v>
      </c>
      <c r="G49" s="94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77"/>
      <c r="F50" s="94"/>
      <c r="G50" s="94"/>
    </row>
    <row r="51" spans="1:7" ht="15.6" x14ac:dyDescent="0.3">
      <c r="A51" s="66"/>
      <c r="B51" s="73" t="s">
        <v>284</v>
      </c>
      <c r="C51" s="66"/>
      <c r="D51" s="71"/>
      <c r="E51" s="177"/>
      <c r="F51" s="94"/>
      <c r="G51" s="94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67">
        <v>75</v>
      </c>
      <c r="F52" s="94">
        <f t="shared" ref="F52:F61" si="14">ROUND(E52*D52,2)</f>
        <v>1566</v>
      </c>
      <c r="G52" s="94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67">
        <v>112</v>
      </c>
      <c r="F53" s="94">
        <f t="shared" si="14"/>
        <v>198475.2</v>
      </c>
      <c r="G53" s="94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67">
        <v>94</v>
      </c>
      <c r="F54" s="94">
        <f t="shared" si="14"/>
        <v>23907.96</v>
      </c>
      <c r="G54" s="94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67">
        <v>89</v>
      </c>
      <c r="F55" s="94">
        <f t="shared" si="14"/>
        <v>17773.66</v>
      </c>
      <c r="G55" s="94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67">
        <v>89</v>
      </c>
      <c r="F56" s="94">
        <f t="shared" si="14"/>
        <v>978.11</v>
      </c>
      <c r="G56" s="94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67">
        <v>5271</v>
      </c>
      <c r="F57" s="94">
        <f t="shared" si="14"/>
        <v>4494.05</v>
      </c>
      <c r="G57" s="94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67">
        <v>8855</v>
      </c>
      <c r="F58" s="94">
        <f t="shared" si="14"/>
        <v>779.24</v>
      </c>
      <c r="G58" s="94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67">
        <v>157</v>
      </c>
      <c r="F59" s="94">
        <f t="shared" si="14"/>
        <v>1563.72</v>
      </c>
      <c r="G59" s="94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67">
        <v>174</v>
      </c>
      <c r="F60" s="94">
        <f t="shared" si="14"/>
        <v>1733.04</v>
      </c>
      <c r="G60" s="94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77">
        <v>6600.0000000000009</v>
      </c>
      <c r="F61" s="94">
        <f t="shared" si="14"/>
        <v>6600</v>
      </c>
      <c r="G61" s="94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77"/>
      <c r="F62" s="94"/>
      <c r="G62" s="94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67">
        <v>75</v>
      </c>
      <c r="F63" s="94">
        <f t="shared" ref="F63:F71" si="17">ROUND(E63*D63,2)</f>
        <v>65772</v>
      </c>
      <c r="G63" s="94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67">
        <v>75</v>
      </c>
      <c r="F64" s="94">
        <f t="shared" si="17"/>
        <v>55449</v>
      </c>
      <c r="G64" s="94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67">
        <v>89</v>
      </c>
      <c r="F65" s="94">
        <f t="shared" si="17"/>
        <v>3353.52</v>
      </c>
      <c r="G65" s="94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67">
        <v>89</v>
      </c>
      <c r="F66" s="94">
        <f t="shared" si="17"/>
        <v>3353.52</v>
      </c>
      <c r="G66" s="94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67">
        <v>89</v>
      </c>
      <c r="F67" s="94">
        <f t="shared" si="17"/>
        <v>11318.13</v>
      </c>
      <c r="G67" s="94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67">
        <v>127</v>
      </c>
      <c r="F68" s="94">
        <f t="shared" si="17"/>
        <v>278.38</v>
      </c>
      <c r="G68" s="94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67">
        <v>147</v>
      </c>
      <c r="F69" s="94">
        <f t="shared" si="17"/>
        <v>75.260000000000005</v>
      </c>
      <c r="G69" s="94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67">
        <v>197</v>
      </c>
      <c r="F70" s="94">
        <f t="shared" si="17"/>
        <v>40.98</v>
      </c>
      <c r="G70" s="94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67">
        <v>214</v>
      </c>
      <c r="F71" s="94">
        <f t="shared" si="17"/>
        <v>20.54</v>
      </c>
      <c r="G71" s="94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77"/>
      <c r="F72" s="94"/>
      <c r="G72" s="94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67">
        <v>75</v>
      </c>
      <c r="F73" s="94">
        <f t="shared" ref="F73:F84" si="20">ROUND(E73*D73,2)</f>
        <v>24534</v>
      </c>
      <c r="G73" s="94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67">
        <v>75</v>
      </c>
      <c r="F74" s="94">
        <f t="shared" si="20"/>
        <v>24636.38</v>
      </c>
      <c r="G74" s="94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67">
        <v>89</v>
      </c>
      <c r="F75" s="94">
        <f t="shared" si="20"/>
        <v>1676.76</v>
      </c>
      <c r="G75" s="94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67">
        <v>89</v>
      </c>
      <c r="F76" s="94">
        <f t="shared" si="20"/>
        <v>1676.76</v>
      </c>
      <c r="G76" s="94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67">
        <v>89</v>
      </c>
      <c r="F77" s="94">
        <f t="shared" si="20"/>
        <v>11318.13</v>
      </c>
      <c r="G77" s="94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67">
        <v>127</v>
      </c>
      <c r="F78" s="94">
        <f t="shared" si="20"/>
        <v>139.19</v>
      </c>
      <c r="G78" s="94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67">
        <v>147</v>
      </c>
      <c r="F79" s="94">
        <f t="shared" si="20"/>
        <v>37.630000000000003</v>
      </c>
      <c r="G79" s="94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67">
        <v>197</v>
      </c>
      <c r="F80" s="94">
        <f t="shared" si="20"/>
        <v>20.49</v>
      </c>
      <c r="G80" s="94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67">
        <v>214</v>
      </c>
      <c r="F81" s="94">
        <f t="shared" si="20"/>
        <v>10.27</v>
      </c>
      <c r="G81" s="94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67">
        <v>157</v>
      </c>
      <c r="F82" s="94">
        <f t="shared" si="20"/>
        <v>1836.9</v>
      </c>
      <c r="G82" s="94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67">
        <v>174</v>
      </c>
      <c r="F83" s="94">
        <f t="shared" si="20"/>
        <v>2035.8</v>
      </c>
      <c r="G83" s="94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77">
        <v>22000</v>
      </c>
      <c r="F84" s="94">
        <f t="shared" si="20"/>
        <v>22000</v>
      </c>
      <c r="G84" s="94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77"/>
      <c r="F85" s="94"/>
      <c r="G85" s="94"/>
    </row>
    <row r="86" spans="1:7" ht="15.6" x14ac:dyDescent="0.3">
      <c r="A86" s="66"/>
      <c r="B86" s="73" t="s">
        <v>315</v>
      </c>
      <c r="C86" s="66"/>
      <c r="D86" s="71"/>
      <c r="E86" s="177"/>
      <c r="F86" s="94"/>
      <c r="G86" s="94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67">
        <v>70</v>
      </c>
      <c r="F87" s="94">
        <f t="shared" ref="F87:F93" si="23">ROUND(E87*D87,2)</f>
        <v>41.3</v>
      </c>
      <c r="G87" s="94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67">
        <v>75</v>
      </c>
      <c r="F88" s="94">
        <f t="shared" si="23"/>
        <v>204</v>
      </c>
      <c r="G88" s="94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67">
        <v>114</v>
      </c>
      <c r="F89" s="94">
        <f t="shared" si="23"/>
        <v>1436.4</v>
      </c>
      <c r="G89" s="94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67">
        <v>655</v>
      </c>
      <c r="F90" s="94">
        <f t="shared" si="23"/>
        <v>13296.5</v>
      </c>
      <c r="G90" s="94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67">
        <v>6114</v>
      </c>
      <c r="F91" s="94">
        <f t="shared" si="23"/>
        <v>3102.86</v>
      </c>
      <c r="G91" s="94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67">
        <v>5060</v>
      </c>
      <c r="F92" s="94">
        <f t="shared" si="23"/>
        <v>567.73</v>
      </c>
      <c r="G92" s="94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77">
        <v>3300.0000000000005</v>
      </c>
      <c r="F93" s="94">
        <f t="shared" si="23"/>
        <v>3300</v>
      </c>
      <c r="G93" s="94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77"/>
      <c r="F94" s="94"/>
      <c r="G94" s="94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67">
        <v>37079</v>
      </c>
      <c r="F95" s="94">
        <f t="shared" ref="F95:F114" si="26">ROUND(E95*D95,2)</f>
        <v>37079</v>
      </c>
      <c r="G95" s="94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67">
        <v>37079</v>
      </c>
      <c r="F96" s="94">
        <f t="shared" si="26"/>
        <v>37079</v>
      </c>
      <c r="G96" s="94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67">
        <v>37079</v>
      </c>
      <c r="F97" s="94">
        <f t="shared" si="26"/>
        <v>37079</v>
      </c>
      <c r="G97" s="94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67">
        <v>37079</v>
      </c>
      <c r="F98" s="94">
        <f t="shared" si="26"/>
        <v>37079</v>
      </c>
      <c r="G98" s="94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67">
        <v>36315</v>
      </c>
      <c r="F99" s="94">
        <f t="shared" si="26"/>
        <v>36315</v>
      </c>
      <c r="G99" s="94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67">
        <v>36315</v>
      </c>
      <c r="F100" s="94">
        <f t="shared" si="26"/>
        <v>36315</v>
      </c>
      <c r="G100" s="94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67">
        <v>36315</v>
      </c>
      <c r="F101" s="94">
        <f t="shared" si="26"/>
        <v>36315</v>
      </c>
      <c r="G101" s="94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67">
        <v>36315</v>
      </c>
      <c r="F102" s="94">
        <f t="shared" si="26"/>
        <v>36315</v>
      </c>
      <c r="G102" s="94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67">
        <v>36315</v>
      </c>
      <c r="F103" s="94">
        <f t="shared" si="26"/>
        <v>36315</v>
      </c>
      <c r="G103" s="94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67">
        <v>35552</v>
      </c>
      <c r="F104" s="94">
        <f t="shared" si="26"/>
        <v>35552</v>
      </c>
      <c r="G104" s="94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67">
        <v>35552</v>
      </c>
      <c r="F105" s="94">
        <f t="shared" si="26"/>
        <v>35552</v>
      </c>
      <c r="G105" s="94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67">
        <v>35552</v>
      </c>
      <c r="F106" s="94">
        <f t="shared" si="26"/>
        <v>35552</v>
      </c>
      <c r="G106" s="94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67">
        <v>9509</v>
      </c>
      <c r="F107" s="94">
        <f t="shared" si="26"/>
        <v>247234</v>
      </c>
      <c r="G107" s="94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67">
        <v>89</v>
      </c>
      <c r="F108" s="94">
        <f t="shared" si="26"/>
        <v>7120</v>
      </c>
      <c r="G108" s="94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67">
        <v>89</v>
      </c>
      <c r="F109" s="94">
        <f t="shared" si="26"/>
        <v>729.8</v>
      </c>
      <c r="G109" s="94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67">
        <v>4428</v>
      </c>
      <c r="F110" s="94">
        <f t="shared" si="26"/>
        <v>22271.95</v>
      </c>
      <c r="G110" s="94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67">
        <v>4428</v>
      </c>
      <c r="F111" s="94">
        <f t="shared" si="26"/>
        <v>20483.04</v>
      </c>
      <c r="G111" s="94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67">
        <v>182</v>
      </c>
      <c r="F112" s="94">
        <f t="shared" si="26"/>
        <v>500.86</v>
      </c>
      <c r="G112" s="94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67">
        <v>1376</v>
      </c>
      <c r="F113" s="94">
        <f t="shared" si="26"/>
        <v>1775.04</v>
      </c>
      <c r="G113" s="94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67">
        <v>660</v>
      </c>
      <c r="F114" s="94">
        <f t="shared" si="26"/>
        <v>1854.6</v>
      </c>
      <c r="G114" s="94">
        <f t="shared" si="27"/>
        <v>2225.52</v>
      </c>
    </row>
    <row r="115" spans="1:7" x14ac:dyDescent="0.3">
      <c r="A115" s="169"/>
      <c r="B115" s="957" t="s">
        <v>341</v>
      </c>
      <c r="C115" s="958"/>
      <c r="D115" s="958"/>
      <c r="E115" s="170"/>
      <c r="F115" s="171"/>
      <c r="G115" s="172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67">
        <v>2635</v>
      </c>
      <c r="F117" s="94">
        <f t="shared" ref="F117:F143" si="29">ROUND(E117*D117,2)</f>
        <v>19393.599999999999</v>
      </c>
      <c r="G117" s="94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67">
        <v>12650.000000000002</v>
      </c>
      <c r="F118" s="94">
        <f t="shared" si="29"/>
        <v>328900</v>
      </c>
      <c r="G118" s="94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67">
        <v>4006</v>
      </c>
      <c r="F119" s="94">
        <f t="shared" si="29"/>
        <v>108162</v>
      </c>
      <c r="G119" s="94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67">
        <v>5587</v>
      </c>
      <c r="F120" s="94">
        <f t="shared" si="29"/>
        <v>14163.05</v>
      </c>
      <c r="G120" s="94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67">
        <v>15</v>
      </c>
      <c r="F121" s="94">
        <f t="shared" si="29"/>
        <v>9690</v>
      </c>
      <c r="G121" s="94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67">
        <v>4428</v>
      </c>
      <c r="F122" s="94">
        <f t="shared" si="29"/>
        <v>1806.62</v>
      </c>
      <c r="G122" s="94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67">
        <v>440</v>
      </c>
      <c r="F123" s="94">
        <f t="shared" si="29"/>
        <v>4048.14</v>
      </c>
      <c r="G123" s="94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67">
        <v>41</v>
      </c>
      <c r="F124" s="94">
        <f t="shared" si="29"/>
        <v>4968.97</v>
      </c>
      <c r="G124" s="94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67">
        <v>5693</v>
      </c>
      <c r="F125" s="94">
        <f t="shared" si="29"/>
        <v>82.97</v>
      </c>
      <c r="G125" s="94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77">
        <v>5500</v>
      </c>
      <c r="F126" s="94">
        <f t="shared" si="29"/>
        <v>5500</v>
      </c>
      <c r="G126" s="94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77"/>
      <c r="F127" s="94"/>
      <c r="G127" s="94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67">
        <v>89</v>
      </c>
      <c r="F128" s="94">
        <f t="shared" si="29"/>
        <v>29821.23</v>
      </c>
      <c r="G128" s="94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67">
        <v>89</v>
      </c>
      <c r="F129" s="94">
        <f t="shared" si="29"/>
        <v>24215.57</v>
      </c>
      <c r="G129" s="94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67">
        <v>89</v>
      </c>
      <c r="F130" s="94">
        <f t="shared" si="29"/>
        <v>32626.69</v>
      </c>
      <c r="G130" s="94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67">
        <v>89</v>
      </c>
      <c r="F131" s="94">
        <f t="shared" si="29"/>
        <v>5244.95</v>
      </c>
      <c r="G131" s="94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67">
        <v>89</v>
      </c>
      <c r="F132" s="94">
        <f t="shared" si="29"/>
        <v>5350.32</v>
      </c>
      <c r="G132" s="94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67">
        <v>89</v>
      </c>
      <c r="F133" s="94">
        <f t="shared" si="29"/>
        <v>65895.600000000006</v>
      </c>
      <c r="G133" s="94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67">
        <v>89</v>
      </c>
      <c r="F134" s="94">
        <f t="shared" si="29"/>
        <v>6654.71</v>
      </c>
      <c r="G134" s="94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67">
        <v>89</v>
      </c>
      <c r="F135" s="94">
        <f t="shared" si="29"/>
        <v>12440.06</v>
      </c>
      <c r="G135" s="94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67">
        <v>89</v>
      </c>
      <c r="F136" s="94">
        <f t="shared" si="29"/>
        <v>25055.279999999999</v>
      </c>
      <c r="G136" s="94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67">
        <v>89</v>
      </c>
      <c r="F137" s="94">
        <f t="shared" si="29"/>
        <v>12217.03</v>
      </c>
      <c r="G137" s="94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67">
        <v>70</v>
      </c>
      <c r="F138" s="94">
        <f t="shared" si="29"/>
        <v>1226.6099999999999</v>
      </c>
      <c r="G138" s="94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67">
        <v>6114</v>
      </c>
      <c r="F139" s="94">
        <f t="shared" si="29"/>
        <v>159486.75</v>
      </c>
      <c r="G139" s="94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67">
        <v>5060</v>
      </c>
      <c r="F140" s="94">
        <f t="shared" si="29"/>
        <v>37676.76</v>
      </c>
      <c r="G140" s="94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67">
        <v>440</v>
      </c>
      <c r="F141" s="94">
        <f t="shared" si="29"/>
        <v>18948.16</v>
      </c>
      <c r="G141" s="94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67">
        <v>41</v>
      </c>
      <c r="F142" s="94">
        <f t="shared" si="29"/>
        <v>26484.36</v>
      </c>
      <c r="G142" s="94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77">
        <v>55000.000000000007</v>
      </c>
      <c r="F143" s="94">
        <f t="shared" si="29"/>
        <v>55000</v>
      </c>
      <c r="G143" s="94">
        <f t="shared" si="30"/>
        <v>66000</v>
      </c>
    </row>
    <row r="144" spans="1:7" x14ac:dyDescent="0.3">
      <c r="A144" s="173"/>
      <c r="B144" s="957" t="s">
        <v>364</v>
      </c>
      <c r="C144" s="958"/>
      <c r="D144" s="958"/>
      <c r="E144" s="174"/>
      <c r="F144" s="175"/>
      <c r="G144" s="176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67">
        <v>1581</v>
      </c>
      <c r="F146" s="94">
        <f t="shared" ref="F146:F150" si="32">ROUND(E146*D146,2)</f>
        <v>444261</v>
      </c>
      <c r="G146" s="94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67">
        <v>4006</v>
      </c>
      <c r="F147" s="94">
        <f t="shared" si="32"/>
        <v>567650.19999999995</v>
      </c>
      <c r="G147" s="94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67">
        <v>4428</v>
      </c>
      <c r="F148" s="94">
        <f t="shared" si="32"/>
        <v>316602</v>
      </c>
      <c r="G148" s="94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67">
        <v>4638</v>
      </c>
      <c r="F149" s="94">
        <f t="shared" si="32"/>
        <v>486062.4</v>
      </c>
      <c r="G149" s="94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67">
        <v>26354</v>
      </c>
      <c r="F150" s="94">
        <f t="shared" si="32"/>
        <v>36895.599999999999</v>
      </c>
      <c r="G150" s="94">
        <f t="shared" si="33"/>
        <v>44274.720000000001</v>
      </c>
    </row>
    <row r="151" spans="1:8" ht="15.6" x14ac:dyDescent="0.3">
      <c r="A151" s="206"/>
      <c r="B151" s="207" t="s">
        <v>923</v>
      </c>
      <c r="C151" s="208"/>
      <c r="D151" s="209"/>
      <c r="E151" s="210"/>
      <c r="F151" s="211"/>
      <c r="G151" s="211"/>
      <c r="H151" s="52"/>
    </row>
    <row r="152" spans="1:8" ht="15.6" x14ac:dyDescent="0.3">
      <c r="A152" s="206">
        <f>A150+1</f>
        <v>122</v>
      </c>
      <c r="B152" s="212" t="s">
        <v>926</v>
      </c>
      <c r="C152" s="206" t="s">
        <v>220</v>
      </c>
      <c r="D152" s="209">
        <v>3</v>
      </c>
      <c r="E152" s="210"/>
      <c r="F152" s="211">
        <f t="shared" ref="F152:F153" si="35">ROUND(E152*D152,2)</f>
        <v>0</v>
      </c>
      <c r="G152" s="211">
        <f t="shared" ref="G152:G153" si="36">ROUND(F152*1.2,2)</f>
        <v>0</v>
      </c>
      <c r="H152" s="52"/>
    </row>
    <row r="153" spans="1:8" ht="15.6" x14ac:dyDescent="0.3">
      <c r="A153" s="206">
        <f>A152+1</f>
        <v>123</v>
      </c>
      <c r="B153" s="212" t="s">
        <v>927</v>
      </c>
      <c r="C153" s="206" t="s">
        <v>220</v>
      </c>
      <c r="D153" s="209">
        <v>3</v>
      </c>
      <c r="E153" s="210"/>
      <c r="F153" s="211">
        <f t="shared" si="35"/>
        <v>0</v>
      </c>
      <c r="G153" s="211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67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67">
        <v>486</v>
      </c>
      <c r="F155" s="94">
        <f t="shared" ref="F155:F158" si="37">ROUND(E155*D155,2)</f>
        <v>631.79999999999995</v>
      </c>
      <c r="G155" s="94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67">
        <v>648</v>
      </c>
      <c r="F156" s="94">
        <f t="shared" si="37"/>
        <v>648</v>
      </c>
      <c r="G156" s="94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67">
        <v>1265</v>
      </c>
      <c r="F157" s="94">
        <f t="shared" si="37"/>
        <v>1138.5</v>
      </c>
      <c r="G157" s="94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77">
        <v>22000</v>
      </c>
      <c r="F158" s="94">
        <f t="shared" si="37"/>
        <v>22000</v>
      </c>
      <c r="G158" s="94">
        <f t="shared" si="38"/>
        <v>26400</v>
      </c>
    </row>
    <row r="159" spans="1:8" ht="22.5" customHeight="1" x14ac:dyDescent="0.3">
      <c r="A159" s="169"/>
      <c r="B159" s="957" t="s">
        <v>375</v>
      </c>
      <c r="C159" s="958"/>
      <c r="D159" s="958"/>
      <c r="E159" s="170"/>
      <c r="F159" s="171"/>
      <c r="G159" s="172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67">
        <v>4301</v>
      </c>
      <c r="F160" s="94">
        <f t="shared" ref="F160:F182" si="40">ROUND(E160*D160,2)</f>
        <v>124729</v>
      </c>
      <c r="G160" s="94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67">
        <v>7337.0000000000009</v>
      </c>
      <c r="F161" s="94">
        <f t="shared" si="40"/>
        <v>200079.99</v>
      </c>
      <c r="G161" s="94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67">
        <v>10753</v>
      </c>
      <c r="F162" s="94">
        <f t="shared" si="40"/>
        <v>10753</v>
      </c>
      <c r="G162" s="94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67">
        <v>11385.000000000002</v>
      </c>
      <c r="F163" s="94">
        <f t="shared" si="40"/>
        <v>11385</v>
      </c>
      <c r="G163" s="94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67">
        <v>10247</v>
      </c>
      <c r="F164" s="94">
        <f t="shared" si="40"/>
        <v>10247</v>
      </c>
      <c r="G164" s="94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67">
        <v>11006</v>
      </c>
      <c r="F165" s="94">
        <f t="shared" si="40"/>
        <v>33018</v>
      </c>
      <c r="G165" s="94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67">
        <v>6199</v>
      </c>
      <c r="F166" s="94">
        <f t="shared" si="40"/>
        <v>6199</v>
      </c>
      <c r="G166" s="94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67">
        <v>15180.000000000002</v>
      </c>
      <c r="F167" s="94">
        <f t="shared" si="40"/>
        <v>15180</v>
      </c>
      <c r="G167" s="94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67">
        <v>3669</v>
      </c>
      <c r="F168" s="94">
        <f t="shared" si="40"/>
        <v>3669</v>
      </c>
      <c r="G168" s="94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67">
        <v>702</v>
      </c>
      <c r="F169" s="94">
        <f t="shared" si="40"/>
        <v>11323.26</v>
      </c>
      <c r="G169" s="94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67">
        <v>249</v>
      </c>
      <c r="F170" s="94">
        <f t="shared" si="40"/>
        <v>12450</v>
      </c>
      <c r="G170" s="94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67">
        <v>312</v>
      </c>
      <c r="F171" s="94">
        <f t="shared" si="40"/>
        <v>23400</v>
      </c>
      <c r="G171" s="94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67">
        <v>6114</v>
      </c>
      <c r="F172" s="94">
        <f t="shared" si="40"/>
        <v>21719.99</v>
      </c>
      <c r="G172" s="94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67">
        <v>1265</v>
      </c>
      <c r="F173" s="94">
        <f t="shared" si="40"/>
        <v>16698</v>
      </c>
      <c r="G173" s="94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67">
        <v>1368</v>
      </c>
      <c r="F174" s="94">
        <f t="shared" si="40"/>
        <v>1313.28</v>
      </c>
      <c r="G174" s="94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67">
        <v>85</v>
      </c>
      <c r="F175" s="94">
        <f t="shared" si="40"/>
        <v>1445</v>
      </c>
      <c r="G175" s="94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67">
        <v>85</v>
      </c>
      <c r="F176" s="94">
        <f t="shared" si="40"/>
        <v>340</v>
      </c>
      <c r="G176" s="94">
        <f t="shared" si="38"/>
        <v>408</v>
      </c>
    </row>
    <row r="177" spans="1:9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67">
        <v>104</v>
      </c>
      <c r="F177" s="94">
        <f t="shared" si="40"/>
        <v>478.4</v>
      </c>
      <c r="G177" s="94">
        <f t="shared" si="38"/>
        <v>574.08000000000004</v>
      </c>
    </row>
    <row r="178" spans="1:9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67">
        <v>95</v>
      </c>
      <c r="F178" s="94">
        <f t="shared" si="40"/>
        <v>267.89999999999998</v>
      </c>
      <c r="G178" s="94">
        <f t="shared" si="38"/>
        <v>321.48</v>
      </c>
    </row>
    <row r="179" spans="1:9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67">
        <v>6072.0000000000009</v>
      </c>
      <c r="F179" s="94">
        <f t="shared" si="40"/>
        <v>11233.2</v>
      </c>
      <c r="G179" s="94">
        <f t="shared" si="38"/>
        <v>13479.84</v>
      </c>
    </row>
    <row r="180" spans="1:9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67">
        <v>5313</v>
      </c>
      <c r="F180" s="94">
        <f t="shared" si="40"/>
        <v>1540.77</v>
      </c>
      <c r="G180" s="94">
        <f t="shared" si="38"/>
        <v>1848.92</v>
      </c>
    </row>
    <row r="181" spans="1:9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67">
        <v>2425</v>
      </c>
      <c r="F181" s="94">
        <f t="shared" si="40"/>
        <v>533.5</v>
      </c>
      <c r="G181" s="94">
        <f t="shared" si="38"/>
        <v>640.20000000000005</v>
      </c>
    </row>
    <row r="182" spans="1:9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67">
        <v>55000.000000000007</v>
      </c>
      <c r="F182" s="94">
        <f t="shared" si="40"/>
        <v>55000</v>
      </c>
      <c r="G182" s="94">
        <f t="shared" si="38"/>
        <v>66000</v>
      </c>
    </row>
    <row r="183" spans="1:9" ht="21.75" customHeight="1" x14ac:dyDescent="0.3">
      <c r="A183" s="169"/>
      <c r="B183" s="957" t="s">
        <v>399</v>
      </c>
      <c r="C183" s="958"/>
      <c r="D183" s="958"/>
      <c r="E183" s="170"/>
      <c r="F183" s="171"/>
      <c r="G183" s="172"/>
    </row>
    <row r="184" spans="1:9" x14ac:dyDescent="0.3">
      <c r="A184" s="66"/>
      <c r="B184" s="73" t="s">
        <v>1063</v>
      </c>
      <c r="C184" s="66"/>
      <c r="D184" s="82"/>
      <c r="E184" s="69"/>
      <c r="F184" s="70"/>
      <c r="G184" s="55"/>
    </row>
    <row r="185" spans="1:9" ht="15.6" x14ac:dyDescent="0.3">
      <c r="A185" s="66">
        <f>A182+1</f>
        <v>151</v>
      </c>
      <c r="B185" s="67" t="s">
        <v>400</v>
      </c>
      <c r="C185" s="66" t="s">
        <v>220</v>
      </c>
      <c r="D185" s="228">
        <v>11</v>
      </c>
      <c r="E185" s="167">
        <v>17695</v>
      </c>
      <c r="F185" s="94">
        <f t="shared" ref="F185:F189" si="42">ROUND(E185*D185,2)</f>
        <v>194645</v>
      </c>
      <c r="G185" s="94">
        <f t="shared" ref="G185:G189" si="43">ROUND(F185*1.2,2)</f>
        <v>233574</v>
      </c>
      <c r="I185" s="226"/>
    </row>
    <row r="186" spans="1:9" ht="15.6" x14ac:dyDescent="0.3">
      <c r="A186" s="66">
        <f>A185+1</f>
        <v>152</v>
      </c>
      <c r="B186" s="67" t="s">
        <v>983</v>
      </c>
      <c r="C186" s="66" t="s">
        <v>220</v>
      </c>
      <c r="D186" s="228">
        <v>43</v>
      </c>
      <c r="E186" s="167">
        <v>5149</v>
      </c>
      <c r="F186" s="94">
        <f t="shared" si="42"/>
        <v>221407</v>
      </c>
      <c r="G186" s="94">
        <f t="shared" si="43"/>
        <v>265688.40000000002</v>
      </c>
      <c r="I186" s="226"/>
    </row>
    <row r="187" spans="1:9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67">
        <v>2882</v>
      </c>
      <c r="F187" s="94">
        <f t="shared" si="42"/>
        <v>40348</v>
      </c>
      <c r="G187" s="94">
        <f t="shared" si="43"/>
        <v>48417.599999999999</v>
      </c>
      <c r="I187" s="226"/>
    </row>
    <row r="188" spans="1:9" ht="19.5" customHeight="1" x14ac:dyDescent="0.3">
      <c r="A188" s="206">
        <f>A187+1</f>
        <v>154</v>
      </c>
      <c r="B188" s="213" t="s">
        <v>1064</v>
      </c>
      <c r="C188" s="206" t="s">
        <v>193</v>
      </c>
      <c r="D188" s="224">
        <v>0.02</v>
      </c>
      <c r="E188" s="210">
        <v>0</v>
      </c>
      <c r="F188" s="211">
        <f t="shared" si="42"/>
        <v>0</v>
      </c>
      <c r="G188" s="211">
        <f t="shared" si="43"/>
        <v>0</v>
      </c>
      <c r="I188" s="223"/>
    </row>
    <row r="189" spans="1:9" ht="19.5" customHeight="1" x14ac:dyDescent="0.3">
      <c r="A189" s="87">
        <f>A188+1</f>
        <v>155</v>
      </c>
      <c r="B189" s="233" t="s">
        <v>391</v>
      </c>
      <c r="C189" s="87" t="s">
        <v>193</v>
      </c>
      <c r="D189" s="244">
        <v>5.63</v>
      </c>
      <c r="E189" s="166">
        <v>1368</v>
      </c>
      <c r="F189" s="99">
        <f t="shared" si="42"/>
        <v>7701.84</v>
      </c>
      <c r="G189" s="99">
        <f t="shared" si="43"/>
        <v>9242.2099999999991</v>
      </c>
      <c r="I189" s="223"/>
    </row>
    <row r="190" spans="1:9" ht="19.5" customHeight="1" x14ac:dyDescent="0.3">
      <c r="A190" s="87">
        <f t="shared" ref="A190:A191" si="45">A189+1</f>
        <v>156</v>
      </c>
      <c r="B190" s="233" t="s">
        <v>1066</v>
      </c>
      <c r="C190" s="87" t="s">
        <v>387</v>
      </c>
      <c r="D190" s="228">
        <f>43*20/16</f>
        <v>53.75</v>
      </c>
      <c r="E190" s="166">
        <v>250</v>
      </c>
      <c r="F190" s="99">
        <f t="shared" ref="F190:F191" si="46">ROUND(E190*D190,2)</f>
        <v>13437.5</v>
      </c>
      <c r="G190" s="99">
        <f t="shared" ref="G190:G191" si="47">ROUND(F190*1.2,2)</f>
        <v>16125</v>
      </c>
      <c r="I190" s="223"/>
    </row>
    <row r="191" spans="1:9" ht="19.5" customHeight="1" x14ac:dyDescent="0.3">
      <c r="A191" s="87">
        <f t="shared" si="45"/>
        <v>157</v>
      </c>
      <c r="B191" s="233" t="s">
        <v>1065</v>
      </c>
      <c r="C191" s="87" t="s">
        <v>254</v>
      </c>
      <c r="D191" s="244">
        <v>120.15</v>
      </c>
      <c r="E191" s="166">
        <v>312</v>
      </c>
      <c r="F191" s="99">
        <f t="shared" si="46"/>
        <v>37486.800000000003</v>
      </c>
      <c r="G191" s="99">
        <f t="shared" si="47"/>
        <v>44984.160000000003</v>
      </c>
      <c r="I191" s="223"/>
    </row>
    <row r="192" spans="1:9" ht="19.5" customHeight="1" x14ac:dyDescent="0.3">
      <c r="A192" s="87"/>
      <c r="B192" s="245" t="s">
        <v>1013</v>
      </c>
      <c r="C192" s="87"/>
      <c r="D192" s="246"/>
      <c r="E192" s="166"/>
      <c r="F192" s="99"/>
      <c r="G192" s="99"/>
      <c r="I192" s="223"/>
    </row>
    <row r="193" spans="1:9" ht="19.5" customHeight="1" x14ac:dyDescent="0.3">
      <c r="A193" s="206">
        <f>A191+1</f>
        <v>158</v>
      </c>
      <c r="B193" s="213" t="s">
        <v>1001</v>
      </c>
      <c r="C193" s="206" t="s">
        <v>193</v>
      </c>
      <c r="D193" s="224">
        <v>0.62</v>
      </c>
      <c r="E193" s="210">
        <v>0</v>
      </c>
      <c r="F193" s="211">
        <f t="shared" ref="F193:F196" si="48">ROUND(E193*D193,2)</f>
        <v>0</v>
      </c>
      <c r="G193" s="211">
        <f t="shared" ref="G193:G196" si="49">ROUND(F193*1.2,2)</f>
        <v>0</v>
      </c>
      <c r="I193" s="223"/>
    </row>
    <row r="194" spans="1:9" ht="19.5" customHeight="1" x14ac:dyDescent="0.3">
      <c r="A194" s="87">
        <f>A193+1</f>
        <v>159</v>
      </c>
      <c r="B194" s="233" t="s">
        <v>1016</v>
      </c>
      <c r="C194" s="87" t="s">
        <v>254</v>
      </c>
      <c r="D194" s="247">
        <v>53</v>
      </c>
      <c r="E194" s="166">
        <v>85</v>
      </c>
      <c r="F194" s="99">
        <f t="shared" si="48"/>
        <v>4505</v>
      </c>
      <c r="G194" s="99">
        <f t="shared" si="49"/>
        <v>5406</v>
      </c>
      <c r="I194" s="223"/>
    </row>
    <row r="195" spans="1:9" ht="19.5" customHeight="1" x14ac:dyDescent="0.3">
      <c r="A195" s="87">
        <f t="shared" ref="A195:A196" si="50">A194+1</f>
        <v>160</v>
      </c>
      <c r="B195" s="233" t="s">
        <v>1066</v>
      </c>
      <c r="C195" s="87" t="s">
        <v>387</v>
      </c>
      <c r="D195" s="244">
        <f>0.95*20/16</f>
        <v>1.1875</v>
      </c>
      <c r="E195" s="166">
        <v>250</v>
      </c>
      <c r="F195" s="99">
        <f t="shared" si="48"/>
        <v>296.88</v>
      </c>
      <c r="G195" s="99">
        <f t="shared" si="49"/>
        <v>356.26</v>
      </c>
      <c r="I195" s="223"/>
    </row>
    <row r="196" spans="1:9" ht="19.5" customHeight="1" x14ac:dyDescent="0.3">
      <c r="A196" s="87">
        <f t="shared" si="50"/>
        <v>161</v>
      </c>
      <c r="B196" s="233" t="s">
        <v>1065</v>
      </c>
      <c r="C196" s="87" t="s">
        <v>254</v>
      </c>
      <c r="D196" s="244">
        <v>2.7</v>
      </c>
      <c r="E196" s="166">
        <v>312</v>
      </c>
      <c r="F196" s="99">
        <f t="shared" si="48"/>
        <v>842.4</v>
      </c>
      <c r="G196" s="99">
        <f t="shared" si="49"/>
        <v>1010.88</v>
      </c>
      <c r="I196" s="223"/>
    </row>
    <row r="197" spans="1:9" ht="19.5" customHeight="1" x14ac:dyDescent="0.3">
      <c r="A197" s="87"/>
      <c r="B197" s="245" t="s">
        <v>1068</v>
      </c>
      <c r="C197" s="87"/>
      <c r="D197" s="244"/>
      <c r="E197" s="166"/>
      <c r="F197" s="99"/>
      <c r="G197" s="99"/>
      <c r="I197" s="223"/>
    </row>
    <row r="198" spans="1:9" ht="19.5" customHeight="1" x14ac:dyDescent="0.3">
      <c r="A198" s="87">
        <f>A196+1</f>
        <v>162</v>
      </c>
      <c r="B198" s="233" t="s">
        <v>1069</v>
      </c>
      <c r="C198" s="87" t="s">
        <v>193</v>
      </c>
      <c r="D198" s="244">
        <v>1.5</v>
      </c>
      <c r="E198" s="166">
        <v>1368</v>
      </c>
      <c r="F198" s="99">
        <f t="shared" ref="F198:F199" si="51">ROUND(E198*D198,2)</f>
        <v>2052</v>
      </c>
      <c r="G198" s="99">
        <f t="shared" ref="G198:G199" si="52">ROUND(F198*1.2,2)</f>
        <v>2462.4</v>
      </c>
      <c r="I198" s="223"/>
    </row>
    <row r="199" spans="1:9" ht="19.5" customHeight="1" x14ac:dyDescent="0.3">
      <c r="A199" s="206">
        <f>A198+1</f>
        <v>163</v>
      </c>
      <c r="B199" s="213" t="s">
        <v>1070</v>
      </c>
      <c r="C199" s="206" t="s">
        <v>193</v>
      </c>
      <c r="D199" s="224">
        <f>0.16+0.6</f>
        <v>0.76</v>
      </c>
      <c r="E199" s="210">
        <v>0</v>
      </c>
      <c r="F199" s="211">
        <f t="shared" si="51"/>
        <v>0</v>
      </c>
      <c r="G199" s="211">
        <f t="shared" si="52"/>
        <v>0</v>
      </c>
      <c r="I199" s="223"/>
    </row>
    <row r="200" spans="1:9" ht="19.5" customHeight="1" x14ac:dyDescent="0.3">
      <c r="A200" s="87">
        <f t="shared" ref="A200:A207" si="53">A199+1</f>
        <v>164</v>
      </c>
      <c r="B200" s="233" t="s">
        <v>1071</v>
      </c>
      <c r="C200" s="87" t="s">
        <v>254</v>
      </c>
      <c r="D200" s="228">
        <v>31</v>
      </c>
      <c r="E200" s="166">
        <v>85</v>
      </c>
      <c r="F200" s="99">
        <f t="shared" ref="F200:F204" si="54">ROUND(E200*D200,2)</f>
        <v>2635</v>
      </c>
      <c r="G200" s="99">
        <f t="shared" ref="G200:G204" si="55">ROUND(F200*1.2,2)</f>
        <v>3162</v>
      </c>
      <c r="I200" s="223"/>
    </row>
    <row r="201" spans="1:9" ht="19.5" customHeight="1" x14ac:dyDescent="0.3">
      <c r="A201" s="87">
        <f t="shared" si="53"/>
        <v>165</v>
      </c>
      <c r="B201" s="233" t="s">
        <v>1072</v>
      </c>
      <c r="C201" s="87" t="s">
        <v>254</v>
      </c>
      <c r="D201" s="247">
        <v>5.0999999999999996</v>
      </c>
      <c r="E201" s="166">
        <v>85</v>
      </c>
      <c r="F201" s="99">
        <f t="shared" si="54"/>
        <v>433.5</v>
      </c>
      <c r="G201" s="99">
        <f t="shared" si="55"/>
        <v>520.20000000000005</v>
      </c>
      <c r="I201" s="223"/>
    </row>
    <row r="202" spans="1:9" ht="19.5" customHeight="1" x14ac:dyDescent="0.3">
      <c r="A202" s="87">
        <f t="shared" si="53"/>
        <v>166</v>
      </c>
      <c r="B202" s="233" t="s">
        <v>1066</v>
      </c>
      <c r="C202" s="87" t="s">
        <v>387</v>
      </c>
      <c r="D202" s="244">
        <f>1.13*20/16</f>
        <v>1.4124999999999999</v>
      </c>
      <c r="E202" s="166">
        <v>250</v>
      </c>
      <c r="F202" s="99">
        <f t="shared" si="54"/>
        <v>353.13</v>
      </c>
      <c r="G202" s="99">
        <f t="shared" si="55"/>
        <v>423.76</v>
      </c>
      <c r="I202" s="223"/>
    </row>
    <row r="203" spans="1:9" ht="19.5" customHeight="1" x14ac:dyDescent="0.3">
      <c r="A203" s="87">
        <f t="shared" si="53"/>
        <v>167</v>
      </c>
      <c r="B203" s="233" t="s">
        <v>1065</v>
      </c>
      <c r="C203" s="87" t="s">
        <v>254</v>
      </c>
      <c r="D203" s="244">
        <v>3.2</v>
      </c>
      <c r="E203" s="166">
        <v>312</v>
      </c>
      <c r="F203" s="99">
        <f t="shared" si="54"/>
        <v>998.4</v>
      </c>
      <c r="G203" s="99">
        <f t="shared" si="55"/>
        <v>1198.08</v>
      </c>
      <c r="I203" s="223"/>
    </row>
    <row r="204" spans="1:9" ht="15.75" customHeight="1" x14ac:dyDescent="0.3">
      <c r="A204" s="206">
        <f t="shared" si="53"/>
        <v>168</v>
      </c>
      <c r="B204" s="213" t="s">
        <v>1073</v>
      </c>
      <c r="C204" s="206" t="s">
        <v>193</v>
      </c>
      <c r="D204" s="224">
        <v>0.08</v>
      </c>
      <c r="E204" s="210">
        <v>0</v>
      </c>
      <c r="F204" s="211">
        <f t="shared" si="54"/>
        <v>0</v>
      </c>
      <c r="G204" s="211">
        <f t="shared" si="55"/>
        <v>0</v>
      </c>
      <c r="I204" s="223"/>
    </row>
    <row r="205" spans="1:9" ht="15.75" customHeight="1" x14ac:dyDescent="0.3">
      <c r="A205" s="206">
        <f t="shared" si="53"/>
        <v>169</v>
      </c>
      <c r="B205" s="213" t="s">
        <v>937</v>
      </c>
      <c r="C205" s="206" t="s">
        <v>220</v>
      </c>
      <c r="D205" s="222">
        <v>1</v>
      </c>
      <c r="E205" s="210">
        <v>0</v>
      </c>
      <c r="F205" s="211">
        <f t="shared" ref="F205:F207" si="56">ROUND(E205*D205,2)</f>
        <v>0</v>
      </c>
      <c r="G205" s="211">
        <f t="shared" ref="G205:G207" si="57">ROUND(F205*1.2,2)</f>
        <v>0</v>
      </c>
      <c r="I205" s="223"/>
    </row>
    <row r="206" spans="1:9" ht="15.75" customHeight="1" x14ac:dyDescent="0.3">
      <c r="A206" s="206">
        <f t="shared" si="53"/>
        <v>170</v>
      </c>
      <c r="B206" s="213" t="s">
        <v>938</v>
      </c>
      <c r="C206" s="206" t="s">
        <v>254</v>
      </c>
      <c r="D206" s="224">
        <v>138.83000000000001</v>
      </c>
      <c r="E206" s="210">
        <v>0</v>
      </c>
      <c r="F206" s="211">
        <f t="shared" si="56"/>
        <v>0</v>
      </c>
      <c r="G206" s="211">
        <f t="shared" si="57"/>
        <v>0</v>
      </c>
      <c r="I206" s="223"/>
    </row>
    <row r="207" spans="1:9" ht="15.75" customHeight="1" x14ac:dyDescent="0.3">
      <c r="A207" s="206">
        <f t="shared" si="53"/>
        <v>171</v>
      </c>
      <c r="B207" s="213" t="s">
        <v>1074</v>
      </c>
      <c r="C207" s="206" t="s">
        <v>254</v>
      </c>
      <c r="D207" s="222">
        <v>45</v>
      </c>
      <c r="E207" s="210">
        <v>0</v>
      </c>
      <c r="F207" s="211">
        <f t="shared" si="56"/>
        <v>0</v>
      </c>
      <c r="G207" s="211">
        <f t="shared" si="57"/>
        <v>0</v>
      </c>
      <c r="I207" s="223"/>
    </row>
    <row r="208" spans="1:9" ht="19.5" customHeight="1" x14ac:dyDescent="0.3">
      <c r="A208" s="87"/>
      <c r="B208" s="216" t="s">
        <v>1003</v>
      </c>
      <c r="C208" s="87"/>
      <c r="D208" s="246"/>
      <c r="E208" s="166"/>
      <c r="F208" s="99"/>
      <c r="G208" s="99"/>
      <c r="I208" s="226"/>
    </row>
    <row r="209" spans="1:9" ht="19.5" customHeight="1" x14ac:dyDescent="0.3">
      <c r="A209" s="206">
        <f>A188+1</f>
        <v>155</v>
      </c>
      <c r="B209" s="213" t="s">
        <v>1004</v>
      </c>
      <c r="C209" s="206" t="s">
        <v>220</v>
      </c>
      <c r="D209" s="222">
        <v>2</v>
      </c>
      <c r="E209" s="210">
        <v>0</v>
      </c>
      <c r="F209" s="211">
        <f t="shared" ref="F209:F210" si="58">ROUND(E209*D209,2)</f>
        <v>0</v>
      </c>
      <c r="G209" s="211">
        <f t="shared" ref="G209:G210" si="59">ROUND(F209*1.2,2)</f>
        <v>0</v>
      </c>
      <c r="I209" s="226"/>
    </row>
    <row r="210" spans="1:9" ht="19.5" customHeight="1" x14ac:dyDescent="0.3">
      <c r="A210" s="87">
        <f>A209+1</f>
        <v>156</v>
      </c>
      <c r="B210" s="233" t="s">
        <v>1005</v>
      </c>
      <c r="C210" s="87" t="s">
        <v>220</v>
      </c>
      <c r="D210" s="235" t="s">
        <v>761</v>
      </c>
      <c r="E210" s="99">
        <v>15180.000000000002</v>
      </c>
      <c r="F210" s="99">
        <f t="shared" si="58"/>
        <v>30360</v>
      </c>
      <c r="G210" s="99">
        <f t="shared" si="59"/>
        <v>36432</v>
      </c>
      <c r="I210" s="226"/>
    </row>
    <row r="211" spans="1:9" ht="19.5" customHeight="1" x14ac:dyDescent="0.3">
      <c r="A211" s="206">
        <f>A210+1</f>
        <v>157</v>
      </c>
      <c r="B211" s="213" t="s">
        <v>1006</v>
      </c>
      <c r="C211" s="206" t="s">
        <v>220</v>
      </c>
      <c r="D211" s="225" t="s">
        <v>761</v>
      </c>
      <c r="E211" s="210">
        <v>0</v>
      </c>
      <c r="F211" s="211">
        <f t="shared" ref="F211" si="60">ROUND(E211*D211,2)</f>
        <v>0</v>
      </c>
      <c r="G211" s="211">
        <f t="shared" ref="G211" si="61">ROUND(F211*1.2,2)</f>
        <v>0</v>
      </c>
      <c r="I211" s="226"/>
    </row>
    <row r="212" spans="1:9" ht="19.5" customHeight="1" x14ac:dyDescent="0.3">
      <c r="A212" s="206">
        <f>A211+1</f>
        <v>158</v>
      </c>
      <c r="B212" s="213" t="s">
        <v>1007</v>
      </c>
      <c r="C212" s="206" t="s">
        <v>220</v>
      </c>
      <c r="D212" s="225" t="s">
        <v>761</v>
      </c>
      <c r="E212" s="210">
        <v>0</v>
      </c>
      <c r="F212" s="211">
        <f t="shared" ref="F212" si="62">ROUND(E212*D212,2)</f>
        <v>0</v>
      </c>
      <c r="G212" s="211">
        <f t="shared" ref="G212" si="63">ROUND(F212*1.2,2)</f>
        <v>0</v>
      </c>
      <c r="I212" s="226"/>
    </row>
    <row r="213" spans="1:9" ht="19.5" customHeight="1" x14ac:dyDescent="0.3">
      <c r="A213" s="206">
        <f>A212+1</f>
        <v>159</v>
      </c>
      <c r="B213" s="213" t="s">
        <v>1008</v>
      </c>
      <c r="C213" s="206" t="s">
        <v>220</v>
      </c>
      <c r="D213" s="225" t="s">
        <v>761</v>
      </c>
      <c r="E213" s="210">
        <v>0</v>
      </c>
      <c r="F213" s="211">
        <f t="shared" ref="F213" si="64">ROUND(E213*D213,2)</f>
        <v>0</v>
      </c>
      <c r="G213" s="211">
        <f t="shared" ref="G213" si="65">ROUND(F213*1.2,2)</f>
        <v>0</v>
      </c>
      <c r="I213" s="226"/>
    </row>
    <row r="214" spans="1:9" ht="19.5" customHeight="1" x14ac:dyDescent="0.3">
      <c r="A214" s="206">
        <f>A213+1</f>
        <v>160</v>
      </c>
      <c r="B214" s="213" t="s">
        <v>1009</v>
      </c>
      <c r="C214" s="206" t="s">
        <v>220</v>
      </c>
      <c r="D214" s="225" t="s">
        <v>758</v>
      </c>
      <c r="E214" s="210">
        <v>0</v>
      </c>
      <c r="F214" s="211">
        <f t="shared" ref="F214" si="66">ROUND(E214*D214,2)</f>
        <v>0</v>
      </c>
      <c r="G214" s="211">
        <f t="shared" ref="G214" si="67">ROUND(F214*1.2,2)</f>
        <v>0</v>
      </c>
      <c r="I214" s="226"/>
    </row>
    <row r="215" spans="1:9" ht="19.5" customHeight="1" x14ac:dyDescent="0.3">
      <c r="A215" s="87"/>
      <c r="B215" s="245" t="s">
        <v>1012</v>
      </c>
      <c r="C215" s="87"/>
      <c r="D215" s="246"/>
      <c r="E215" s="166"/>
      <c r="F215" s="99"/>
      <c r="G215" s="99"/>
      <c r="H215" s="202"/>
      <c r="I215" s="223"/>
    </row>
    <row r="216" spans="1:9" ht="19.5" customHeight="1" x14ac:dyDescent="0.3">
      <c r="A216" s="206">
        <f>A214+1</f>
        <v>161</v>
      </c>
      <c r="B216" s="213" t="s">
        <v>1001</v>
      </c>
      <c r="C216" s="206" t="s">
        <v>193</v>
      </c>
      <c r="D216" s="224">
        <v>0.34</v>
      </c>
      <c r="E216" s="210">
        <v>0</v>
      </c>
      <c r="F216" s="211">
        <f t="shared" ref="F216:F222" si="68">ROUND(E216*D216,2)</f>
        <v>0</v>
      </c>
      <c r="G216" s="211">
        <f t="shared" ref="G216:G222" si="69">ROUND(F216*1.2,2)</f>
        <v>0</v>
      </c>
      <c r="I216" s="223"/>
    </row>
    <row r="217" spans="1:9" ht="19.5" customHeight="1" x14ac:dyDescent="0.3">
      <c r="A217" s="87">
        <f>A216+1</f>
        <v>162</v>
      </c>
      <c r="B217" s="233" t="s">
        <v>1016</v>
      </c>
      <c r="C217" s="87" t="s">
        <v>254</v>
      </c>
      <c r="D217" s="244">
        <v>30.1</v>
      </c>
      <c r="E217" s="166">
        <v>85</v>
      </c>
      <c r="F217" s="99">
        <f t="shared" si="68"/>
        <v>2558.5</v>
      </c>
      <c r="G217" s="99">
        <f t="shared" si="69"/>
        <v>3070.2</v>
      </c>
      <c r="I217" s="223"/>
    </row>
    <row r="218" spans="1:9" ht="19.5" customHeight="1" x14ac:dyDescent="0.3">
      <c r="A218" s="206">
        <f>A217+1</f>
        <v>163</v>
      </c>
      <c r="B218" s="213" t="s">
        <v>1011</v>
      </c>
      <c r="C218" s="206" t="s">
        <v>431</v>
      </c>
      <c r="D218" s="225" t="s">
        <v>1010</v>
      </c>
      <c r="E218" s="210">
        <v>0</v>
      </c>
      <c r="F218" s="211">
        <f t="shared" si="68"/>
        <v>0</v>
      </c>
      <c r="G218" s="211">
        <f t="shared" si="69"/>
        <v>0</v>
      </c>
      <c r="I218" s="226"/>
    </row>
    <row r="219" spans="1:9" ht="19.5" customHeight="1" x14ac:dyDescent="0.3">
      <c r="A219" s="87">
        <f>A217+1</f>
        <v>163</v>
      </c>
      <c r="B219" s="233" t="s">
        <v>1066</v>
      </c>
      <c r="C219" s="87" t="s">
        <v>387</v>
      </c>
      <c r="D219" s="244">
        <f>54.1*0.25</f>
        <v>13.525</v>
      </c>
      <c r="E219" s="166">
        <v>250</v>
      </c>
      <c r="F219" s="99">
        <f t="shared" si="68"/>
        <v>3381.25</v>
      </c>
      <c r="G219" s="99">
        <f t="shared" si="69"/>
        <v>4057.5</v>
      </c>
      <c r="H219" s="202"/>
      <c r="I219" s="223"/>
    </row>
    <row r="220" spans="1:9" ht="19.5" customHeight="1" x14ac:dyDescent="0.3">
      <c r="A220" s="87">
        <f t="shared" ref="A220:A223" si="70">A219+1</f>
        <v>164</v>
      </c>
      <c r="B220" s="233" t="s">
        <v>1065</v>
      </c>
      <c r="C220" s="87" t="s">
        <v>254</v>
      </c>
      <c r="D220" s="244">
        <f>0.7*54.1*2</f>
        <v>75.739999999999995</v>
      </c>
      <c r="E220" s="166">
        <v>312</v>
      </c>
      <c r="F220" s="99">
        <f t="shared" si="68"/>
        <v>23630.880000000001</v>
      </c>
      <c r="G220" s="99">
        <f t="shared" si="69"/>
        <v>28357.06</v>
      </c>
      <c r="I220" s="223"/>
    </row>
    <row r="221" spans="1:9" ht="15.6" x14ac:dyDescent="0.3">
      <c r="A221" s="87">
        <f t="shared" si="70"/>
        <v>165</v>
      </c>
      <c r="B221" s="233" t="s">
        <v>402</v>
      </c>
      <c r="C221" s="87" t="s">
        <v>254</v>
      </c>
      <c r="D221" s="148">
        <v>40</v>
      </c>
      <c r="E221" s="166">
        <v>1376</v>
      </c>
      <c r="F221" s="99">
        <f t="shared" si="68"/>
        <v>55040</v>
      </c>
      <c r="G221" s="99">
        <f t="shared" si="69"/>
        <v>66048</v>
      </c>
    </row>
    <row r="222" spans="1:9" ht="15.6" x14ac:dyDescent="0.3">
      <c r="A222" s="87">
        <f t="shared" si="70"/>
        <v>166</v>
      </c>
      <c r="B222" s="233" t="s">
        <v>403</v>
      </c>
      <c r="C222" s="87" t="s">
        <v>254</v>
      </c>
      <c r="D222" s="148">
        <v>80</v>
      </c>
      <c r="E222" s="166">
        <v>1518.0000000000002</v>
      </c>
      <c r="F222" s="99">
        <f t="shared" si="68"/>
        <v>121440</v>
      </c>
      <c r="G222" s="99">
        <f t="shared" si="69"/>
        <v>145728</v>
      </c>
    </row>
    <row r="223" spans="1:9" ht="15.6" x14ac:dyDescent="0.3">
      <c r="A223" s="206">
        <f t="shared" si="70"/>
        <v>167</v>
      </c>
      <c r="B223" s="213" t="s">
        <v>1075</v>
      </c>
      <c r="C223" s="206" t="s">
        <v>193</v>
      </c>
      <c r="D223" s="215">
        <v>0.2</v>
      </c>
      <c r="E223" s="210">
        <v>0</v>
      </c>
      <c r="F223" s="211">
        <f t="shared" ref="F223" si="71">ROUND(E223*D223,2)</f>
        <v>0</v>
      </c>
      <c r="G223" s="211">
        <f t="shared" ref="G223" si="72">ROUND(F223*1.2,2)</f>
        <v>0</v>
      </c>
    </row>
    <row r="224" spans="1:9" ht="19.5" customHeight="1" x14ac:dyDescent="0.3">
      <c r="A224" s="87"/>
      <c r="B224" s="245" t="s">
        <v>984</v>
      </c>
      <c r="C224" s="87"/>
      <c r="D224" s="246"/>
      <c r="E224" s="166"/>
      <c r="F224" s="99"/>
      <c r="G224" s="99"/>
      <c r="I224" s="223"/>
    </row>
    <row r="225" spans="1:9" ht="19.5" customHeight="1" x14ac:dyDescent="0.3">
      <c r="A225" s="206">
        <f>A188+1</f>
        <v>155</v>
      </c>
      <c r="B225" s="213" t="s">
        <v>1001</v>
      </c>
      <c r="C225" s="206" t="s">
        <v>193</v>
      </c>
      <c r="D225" s="224">
        <v>9.9</v>
      </c>
      <c r="E225" s="210">
        <v>0</v>
      </c>
      <c r="F225" s="211">
        <f t="shared" ref="F225:F226" si="73">ROUND(E225*D225,2)</f>
        <v>0</v>
      </c>
      <c r="G225" s="211">
        <f t="shared" ref="G225:G226" si="74">ROUND(F225*1.2,2)</f>
        <v>0</v>
      </c>
      <c r="I225" s="226"/>
    </row>
    <row r="226" spans="1:9" ht="19.5" customHeight="1" x14ac:dyDescent="0.3">
      <c r="A226" s="206">
        <f>A225+1</f>
        <v>156</v>
      </c>
      <c r="B226" s="213" t="s">
        <v>1002</v>
      </c>
      <c r="C226" s="206" t="s">
        <v>193</v>
      </c>
      <c r="D226" s="224">
        <v>1.7</v>
      </c>
      <c r="E226" s="210">
        <v>0</v>
      </c>
      <c r="F226" s="211">
        <f t="shared" si="73"/>
        <v>0</v>
      </c>
      <c r="G226" s="211">
        <f t="shared" si="74"/>
        <v>0</v>
      </c>
      <c r="I226" s="226"/>
    </row>
    <row r="227" spans="1:9" ht="19.5" customHeight="1" x14ac:dyDescent="0.3">
      <c r="A227" s="87">
        <f t="shared" ref="A227:A241" si="75">A226+1</f>
        <v>157</v>
      </c>
      <c r="B227" s="233" t="s">
        <v>985</v>
      </c>
      <c r="C227" s="87" t="s">
        <v>254</v>
      </c>
      <c r="D227" s="244">
        <f>5.8*62</f>
        <v>359.59999999999997</v>
      </c>
      <c r="E227" s="166">
        <v>85</v>
      </c>
      <c r="F227" s="99">
        <f t="shared" ref="F227" si="76">ROUND(E227*D227,2)</f>
        <v>30566</v>
      </c>
      <c r="G227" s="99">
        <f t="shared" ref="G227" si="77">ROUND(F227*1.2,2)</f>
        <v>36679.199999999997</v>
      </c>
      <c r="I227" s="226"/>
    </row>
    <row r="228" spans="1:9" ht="19.5" customHeight="1" x14ac:dyDescent="0.3">
      <c r="A228" s="87">
        <f t="shared" si="75"/>
        <v>158</v>
      </c>
      <c r="B228" s="233" t="s">
        <v>986</v>
      </c>
      <c r="C228" s="87" t="s">
        <v>254</v>
      </c>
      <c r="D228" s="244">
        <f>24*2.9</f>
        <v>69.599999999999994</v>
      </c>
      <c r="E228" s="166">
        <v>85</v>
      </c>
      <c r="F228" s="99">
        <f t="shared" ref="F228:F238" si="78">ROUND(E228*D228,2)</f>
        <v>5916</v>
      </c>
      <c r="G228" s="99">
        <f t="shared" ref="G228:G238" si="79">ROUND(F228*1.2,2)</f>
        <v>7099.2</v>
      </c>
      <c r="I228" s="226"/>
    </row>
    <row r="229" spans="1:9" ht="19.5" customHeight="1" x14ac:dyDescent="0.3">
      <c r="A229" s="87">
        <f t="shared" si="75"/>
        <v>159</v>
      </c>
      <c r="B229" s="233" t="s">
        <v>987</v>
      </c>
      <c r="C229" s="87" t="s">
        <v>254</v>
      </c>
      <c r="D229" s="244">
        <f>144*2.1</f>
        <v>302.40000000000003</v>
      </c>
      <c r="E229" s="166">
        <v>85</v>
      </c>
      <c r="F229" s="99">
        <f t="shared" si="78"/>
        <v>25704</v>
      </c>
      <c r="G229" s="99">
        <f t="shared" si="79"/>
        <v>30844.799999999999</v>
      </c>
      <c r="I229" s="226"/>
    </row>
    <row r="230" spans="1:9" ht="19.5" customHeight="1" x14ac:dyDescent="0.3">
      <c r="A230" s="87">
        <f t="shared" si="75"/>
        <v>160</v>
      </c>
      <c r="B230" s="233" t="s">
        <v>988</v>
      </c>
      <c r="C230" s="87" t="s">
        <v>254</v>
      </c>
      <c r="D230" s="244">
        <f>48*2.3</f>
        <v>110.39999999999999</v>
      </c>
      <c r="E230" s="166">
        <v>85</v>
      </c>
      <c r="F230" s="99">
        <f t="shared" si="78"/>
        <v>9384</v>
      </c>
      <c r="G230" s="99">
        <f t="shared" si="79"/>
        <v>11260.8</v>
      </c>
      <c r="I230" s="226"/>
    </row>
    <row r="231" spans="1:9" ht="19.5" customHeight="1" x14ac:dyDescent="0.3">
      <c r="A231" s="87">
        <f t="shared" si="75"/>
        <v>161</v>
      </c>
      <c r="B231" s="233" t="s">
        <v>989</v>
      </c>
      <c r="C231" s="87" t="s">
        <v>254</v>
      </c>
      <c r="D231" s="244">
        <f>36*0.5</f>
        <v>18</v>
      </c>
      <c r="E231" s="166">
        <v>85</v>
      </c>
      <c r="F231" s="99">
        <f t="shared" si="78"/>
        <v>1530</v>
      </c>
      <c r="G231" s="99">
        <f t="shared" si="79"/>
        <v>1836</v>
      </c>
      <c r="I231" s="226"/>
    </row>
    <row r="232" spans="1:9" ht="19.5" customHeight="1" x14ac:dyDescent="0.3">
      <c r="A232" s="87">
        <f t="shared" si="75"/>
        <v>162</v>
      </c>
      <c r="B232" s="233" t="s">
        <v>990</v>
      </c>
      <c r="C232" s="87" t="s">
        <v>254</v>
      </c>
      <c r="D232" s="244">
        <f>48*1.2</f>
        <v>57.599999999999994</v>
      </c>
      <c r="E232" s="166">
        <v>85</v>
      </c>
      <c r="F232" s="99">
        <f t="shared" si="78"/>
        <v>4896</v>
      </c>
      <c r="G232" s="99">
        <f t="shared" si="79"/>
        <v>5875.2</v>
      </c>
      <c r="I232" s="226"/>
    </row>
    <row r="233" spans="1:9" ht="19.5" customHeight="1" x14ac:dyDescent="0.3">
      <c r="A233" s="87">
        <f t="shared" si="75"/>
        <v>163</v>
      </c>
      <c r="B233" s="233" t="s">
        <v>991</v>
      </c>
      <c r="C233" s="87" t="s">
        <v>254</v>
      </c>
      <c r="D233" s="244">
        <f>144*1.8</f>
        <v>259.2</v>
      </c>
      <c r="E233" s="166">
        <v>85</v>
      </c>
      <c r="F233" s="99">
        <f t="shared" si="78"/>
        <v>22032</v>
      </c>
      <c r="G233" s="99">
        <f t="shared" si="79"/>
        <v>26438.400000000001</v>
      </c>
      <c r="I233" s="226"/>
    </row>
    <row r="234" spans="1:9" ht="19.5" customHeight="1" x14ac:dyDescent="0.3">
      <c r="A234" s="87">
        <f t="shared" si="75"/>
        <v>164</v>
      </c>
      <c r="B234" s="233" t="s">
        <v>992</v>
      </c>
      <c r="C234" s="87" t="s">
        <v>254</v>
      </c>
      <c r="D234" s="244">
        <f>48*1.2</f>
        <v>57.599999999999994</v>
      </c>
      <c r="E234" s="166">
        <v>85</v>
      </c>
      <c r="F234" s="99">
        <f t="shared" si="78"/>
        <v>4896</v>
      </c>
      <c r="G234" s="99">
        <f t="shared" si="79"/>
        <v>5875.2</v>
      </c>
      <c r="I234" s="226"/>
    </row>
    <row r="235" spans="1:9" ht="19.5" customHeight="1" x14ac:dyDescent="0.3">
      <c r="A235" s="87">
        <f t="shared" si="75"/>
        <v>165</v>
      </c>
      <c r="B235" s="233" t="s">
        <v>993</v>
      </c>
      <c r="C235" s="87" t="s">
        <v>254</v>
      </c>
      <c r="D235" s="244">
        <f>186*0.09</f>
        <v>16.739999999999998</v>
      </c>
      <c r="E235" s="166">
        <v>85</v>
      </c>
      <c r="F235" s="99">
        <f t="shared" si="78"/>
        <v>1422.9</v>
      </c>
      <c r="G235" s="99">
        <f t="shared" si="79"/>
        <v>1707.48</v>
      </c>
      <c r="I235" s="226"/>
    </row>
    <row r="236" spans="1:9" ht="19.5" customHeight="1" x14ac:dyDescent="0.3">
      <c r="A236" s="87">
        <f t="shared" si="75"/>
        <v>166</v>
      </c>
      <c r="B236" s="233" t="s">
        <v>994</v>
      </c>
      <c r="C236" s="87" t="s">
        <v>254</v>
      </c>
      <c r="D236" s="244">
        <f>80*3.8</f>
        <v>304</v>
      </c>
      <c r="E236" s="166">
        <v>85</v>
      </c>
      <c r="F236" s="99">
        <f t="shared" si="78"/>
        <v>25840</v>
      </c>
      <c r="G236" s="99">
        <f t="shared" si="79"/>
        <v>31008</v>
      </c>
      <c r="I236" s="226"/>
    </row>
    <row r="237" spans="1:9" ht="19.5" customHeight="1" x14ac:dyDescent="0.3">
      <c r="A237" s="87">
        <f t="shared" si="75"/>
        <v>167</v>
      </c>
      <c r="B237" s="233" t="s">
        <v>995</v>
      </c>
      <c r="C237" s="87" t="s">
        <v>254</v>
      </c>
      <c r="D237" s="244">
        <f>12*3.8</f>
        <v>45.599999999999994</v>
      </c>
      <c r="E237" s="166">
        <v>85</v>
      </c>
      <c r="F237" s="99">
        <f t="shared" si="78"/>
        <v>3876</v>
      </c>
      <c r="G237" s="99">
        <f t="shared" si="79"/>
        <v>4651.2</v>
      </c>
      <c r="I237" s="226"/>
    </row>
    <row r="238" spans="1:9" ht="19.5" customHeight="1" x14ac:dyDescent="0.3">
      <c r="A238" s="87">
        <f t="shared" si="75"/>
        <v>168</v>
      </c>
      <c r="B238" s="233" t="s">
        <v>996</v>
      </c>
      <c r="C238" s="87" t="s">
        <v>254</v>
      </c>
      <c r="D238" s="244">
        <f>12*1.3</f>
        <v>15.600000000000001</v>
      </c>
      <c r="E238" s="166">
        <v>85</v>
      </c>
      <c r="F238" s="99">
        <f t="shared" si="78"/>
        <v>1326</v>
      </c>
      <c r="G238" s="99">
        <f t="shared" si="79"/>
        <v>1591.2</v>
      </c>
      <c r="I238" s="226"/>
    </row>
    <row r="239" spans="1:9" ht="19.5" customHeight="1" x14ac:dyDescent="0.3">
      <c r="A239" s="206">
        <f t="shared" si="75"/>
        <v>169</v>
      </c>
      <c r="B239" s="213" t="s">
        <v>998</v>
      </c>
      <c r="C239" s="206" t="s">
        <v>254</v>
      </c>
      <c r="D239" s="224">
        <f>10.4*3</f>
        <v>31.200000000000003</v>
      </c>
      <c r="E239" s="210">
        <v>0</v>
      </c>
      <c r="F239" s="211">
        <f t="shared" ref="F239:F241" si="80">ROUND(E239*D239,2)</f>
        <v>0</v>
      </c>
      <c r="G239" s="211">
        <f t="shared" ref="G239:G241" si="81">ROUND(F239*1.2,2)</f>
        <v>0</v>
      </c>
      <c r="I239" s="226"/>
    </row>
    <row r="240" spans="1:9" ht="19.5" customHeight="1" x14ac:dyDescent="0.3">
      <c r="A240" s="206">
        <f t="shared" si="75"/>
        <v>170</v>
      </c>
      <c r="B240" s="213" t="s">
        <v>999</v>
      </c>
      <c r="C240" s="206" t="s">
        <v>254</v>
      </c>
      <c r="D240" s="224">
        <f>2.9*2</f>
        <v>5.8</v>
      </c>
      <c r="E240" s="210">
        <v>0</v>
      </c>
      <c r="F240" s="211">
        <f t="shared" si="80"/>
        <v>0</v>
      </c>
      <c r="G240" s="211">
        <f t="shared" si="81"/>
        <v>0</v>
      </c>
      <c r="I240" s="223"/>
    </row>
    <row r="241" spans="1:9" ht="19.5" customHeight="1" x14ac:dyDescent="0.3">
      <c r="A241" s="206">
        <f t="shared" si="75"/>
        <v>171</v>
      </c>
      <c r="B241" s="213" t="s">
        <v>1000</v>
      </c>
      <c r="C241" s="206" t="s">
        <v>254</v>
      </c>
      <c r="D241" s="224">
        <v>1.6</v>
      </c>
      <c r="E241" s="210">
        <v>0</v>
      </c>
      <c r="F241" s="211">
        <f t="shared" si="80"/>
        <v>0</v>
      </c>
      <c r="G241" s="211">
        <f t="shared" si="81"/>
        <v>0</v>
      </c>
      <c r="I241" s="223"/>
    </row>
    <row r="242" spans="1:9" ht="19.5" customHeight="1" x14ac:dyDescent="0.3">
      <c r="A242" s="87"/>
      <c r="B242" s="245" t="s">
        <v>997</v>
      </c>
      <c r="C242" s="87"/>
      <c r="D242" s="246"/>
      <c r="E242" s="166"/>
      <c r="F242" s="99"/>
      <c r="G242" s="99"/>
      <c r="I242" s="226"/>
    </row>
    <row r="243" spans="1:9" ht="19.5" customHeight="1" x14ac:dyDescent="0.3">
      <c r="A243" s="87">
        <f>A241+1</f>
        <v>172</v>
      </c>
      <c r="B243" s="233" t="s">
        <v>1014</v>
      </c>
      <c r="C243" s="87" t="s">
        <v>254</v>
      </c>
      <c r="D243" s="244">
        <f>1.22*3</f>
        <v>3.66</v>
      </c>
      <c r="E243" s="166">
        <v>85</v>
      </c>
      <c r="F243" s="99">
        <f t="shared" ref="F243:F244" si="82">ROUND(E243*D243,2)</f>
        <v>311.10000000000002</v>
      </c>
      <c r="G243" s="99">
        <f t="shared" ref="G243:G244" si="83">ROUND(F243*1.2,2)</f>
        <v>373.32</v>
      </c>
      <c r="I243" s="226"/>
    </row>
    <row r="244" spans="1:9" ht="19.5" customHeight="1" x14ac:dyDescent="0.3">
      <c r="A244" s="87">
        <f>A243+1</f>
        <v>173</v>
      </c>
      <c r="B244" s="233" t="s">
        <v>1015</v>
      </c>
      <c r="C244" s="87" t="s">
        <v>254</v>
      </c>
      <c r="D244" s="244">
        <f>0.27*16</f>
        <v>4.32</v>
      </c>
      <c r="E244" s="166">
        <v>85</v>
      </c>
      <c r="F244" s="99">
        <f t="shared" si="82"/>
        <v>367.2</v>
      </c>
      <c r="G244" s="99">
        <f t="shared" si="83"/>
        <v>440.64</v>
      </c>
      <c r="I244" s="226"/>
    </row>
    <row r="245" spans="1:9" ht="19.5" customHeight="1" x14ac:dyDescent="0.3">
      <c r="A245" s="87"/>
      <c r="B245" s="245" t="s">
        <v>1017</v>
      </c>
      <c r="C245" s="87"/>
      <c r="D245" s="246"/>
      <c r="E245" s="166"/>
      <c r="F245" s="99"/>
      <c r="G245" s="99"/>
      <c r="I245" s="223"/>
    </row>
    <row r="246" spans="1:9" ht="19.5" customHeight="1" x14ac:dyDescent="0.3">
      <c r="A246" s="206">
        <f>A244+1</f>
        <v>174</v>
      </c>
      <c r="B246" s="213" t="s">
        <v>1018</v>
      </c>
      <c r="C246" s="206" t="s">
        <v>194</v>
      </c>
      <c r="D246" s="224">
        <v>23.55</v>
      </c>
      <c r="E246" s="210">
        <v>0</v>
      </c>
      <c r="F246" s="211">
        <f t="shared" ref="F246:F248" si="84">ROUND(E246*D246,2)</f>
        <v>0</v>
      </c>
      <c r="G246" s="211">
        <f t="shared" ref="G246:G248" si="85">ROUND(F246*1.2,2)</f>
        <v>0</v>
      </c>
      <c r="I246" s="223"/>
    </row>
    <row r="247" spans="1:9" ht="19.5" customHeight="1" x14ac:dyDescent="0.3">
      <c r="A247" s="87">
        <f>A246+1</f>
        <v>175</v>
      </c>
      <c r="B247" s="233" t="s">
        <v>1019</v>
      </c>
      <c r="C247" s="87" t="s">
        <v>193</v>
      </c>
      <c r="D247" s="248">
        <v>0.621</v>
      </c>
      <c r="E247" s="166">
        <v>5060</v>
      </c>
      <c r="F247" s="99">
        <f t="shared" si="84"/>
        <v>3142.26</v>
      </c>
      <c r="G247" s="99">
        <f t="shared" si="85"/>
        <v>3770.71</v>
      </c>
      <c r="I247" s="223"/>
    </row>
    <row r="248" spans="1:9" ht="19.5" customHeight="1" x14ac:dyDescent="0.3">
      <c r="A248" s="206">
        <f>A247+1</f>
        <v>176</v>
      </c>
      <c r="B248" s="213" t="s">
        <v>1020</v>
      </c>
      <c r="C248" s="206" t="s">
        <v>431</v>
      </c>
      <c r="D248" s="224">
        <f>0.3</f>
        <v>0.3</v>
      </c>
      <c r="E248" s="210">
        <v>0</v>
      </c>
      <c r="F248" s="211">
        <f t="shared" si="84"/>
        <v>0</v>
      </c>
      <c r="G248" s="211">
        <f t="shared" si="85"/>
        <v>0</v>
      </c>
      <c r="I248" s="223"/>
    </row>
    <row r="249" spans="1:9" ht="19.5" customHeight="1" x14ac:dyDescent="0.3">
      <c r="A249" s="87"/>
      <c r="B249" s="216" t="s">
        <v>1021</v>
      </c>
      <c r="C249" s="87"/>
      <c r="D249" s="246"/>
      <c r="E249" s="166"/>
      <c r="F249" s="99"/>
      <c r="G249" s="99"/>
      <c r="I249" s="223"/>
    </row>
    <row r="250" spans="1:9" ht="19.5" customHeight="1" x14ac:dyDescent="0.3">
      <c r="A250" s="206">
        <f>A248+1</f>
        <v>177</v>
      </c>
      <c r="B250" s="213" t="s">
        <v>1004</v>
      </c>
      <c r="C250" s="206" t="s">
        <v>220</v>
      </c>
      <c r="D250" s="222">
        <v>1</v>
      </c>
      <c r="E250" s="210">
        <v>0</v>
      </c>
      <c r="F250" s="211">
        <f t="shared" ref="F250" si="86">ROUND(E250*D250,2)</f>
        <v>0</v>
      </c>
      <c r="G250" s="211">
        <f t="shared" ref="G250" si="87">ROUND(F250*1.2,2)</f>
        <v>0</v>
      </c>
      <c r="I250" s="223"/>
    </row>
    <row r="251" spans="1:9" ht="19.5" customHeight="1" x14ac:dyDescent="0.3">
      <c r="A251" s="206">
        <f t="shared" ref="A251:A256" si="88">A250+1</f>
        <v>178</v>
      </c>
      <c r="B251" s="213" t="s">
        <v>1022</v>
      </c>
      <c r="C251" s="206" t="s">
        <v>220</v>
      </c>
      <c r="D251" s="222">
        <v>1</v>
      </c>
      <c r="E251" s="210">
        <v>0</v>
      </c>
      <c r="F251" s="211">
        <f t="shared" ref="F251" si="89">ROUND(E251*D251,2)</f>
        <v>0</v>
      </c>
      <c r="G251" s="211">
        <f t="shared" ref="G251" si="90">ROUND(F251*1.2,2)</f>
        <v>0</v>
      </c>
      <c r="I251" s="223"/>
    </row>
    <row r="252" spans="1:9" ht="19.5" customHeight="1" x14ac:dyDescent="0.3">
      <c r="A252" s="206">
        <f t="shared" si="88"/>
        <v>179</v>
      </c>
      <c r="B252" s="213" t="s">
        <v>1023</v>
      </c>
      <c r="C252" s="206" t="s">
        <v>220</v>
      </c>
      <c r="D252" s="222">
        <v>1</v>
      </c>
      <c r="E252" s="210">
        <v>0</v>
      </c>
      <c r="F252" s="211">
        <f t="shared" ref="F252" si="91">ROUND(E252*D252,2)</f>
        <v>0</v>
      </c>
      <c r="G252" s="211">
        <f t="shared" ref="G252" si="92">ROUND(F252*1.2,2)</f>
        <v>0</v>
      </c>
      <c r="I252" s="223"/>
    </row>
    <row r="253" spans="1:9" ht="19.5" customHeight="1" x14ac:dyDescent="0.3">
      <c r="A253" s="206">
        <f t="shared" si="88"/>
        <v>180</v>
      </c>
      <c r="B253" s="213" t="s">
        <v>1007</v>
      </c>
      <c r="C253" s="206" t="s">
        <v>220</v>
      </c>
      <c r="D253" s="222">
        <v>1</v>
      </c>
      <c r="E253" s="210">
        <v>0</v>
      </c>
      <c r="F253" s="211">
        <f t="shared" ref="F253" si="93">ROUND(E253*D253,2)</f>
        <v>0</v>
      </c>
      <c r="G253" s="211">
        <f t="shared" ref="G253" si="94">ROUND(F253*1.2,2)</f>
        <v>0</v>
      </c>
      <c r="I253" s="223"/>
    </row>
    <row r="254" spans="1:9" ht="19.5" customHeight="1" x14ac:dyDescent="0.3">
      <c r="A254" s="87">
        <f t="shared" si="88"/>
        <v>181</v>
      </c>
      <c r="B254" s="233" t="s">
        <v>1005</v>
      </c>
      <c r="C254" s="87" t="s">
        <v>220</v>
      </c>
      <c r="D254" s="228">
        <v>1</v>
      </c>
      <c r="E254" s="99">
        <v>15180.000000000002</v>
      </c>
      <c r="F254" s="99">
        <f t="shared" ref="F254" si="95">ROUND(E254*D254,2)</f>
        <v>15180</v>
      </c>
      <c r="G254" s="99">
        <f t="shared" ref="G254" si="96">ROUND(F254*1.2,2)</f>
        <v>18216</v>
      </c>
      <c r="I254" s="223"/>
    </row>
    <row r="255" spans="1:9" ht="19.5" customHeight="1" x14ac:dyDescent="0.3">
      <c r="A255" s="206">
        <f t="shared" si="88"/>
        <v>182</v>
      </c>
      <c r="B255" s="213" t="s">
        <v>1006</v>
      </c>
      <c r="C255" s="206" t="s">
        <v>220</v>
      </c>
      <c r="D255" s="222">
        <v>1</v>
      </c>
      <c r="E255" s="210">
        <v>0</v>
      </c>
      <c r="F255" s="211">
        <f t="shared" ref="F255:F260" si="97">ROUND(E255*D255,2)</f>
        <v>0</v>
      </c>
      <c r="G255" s="211">
        <f t="shared" ref="G255:G260" si="98">ROUND(F255*1.2,2)</f>
        <v>0</v>
      </c>
      <c r="I255" s="223"/>
    </row>
    <row r="256" spans="1:9" ht="19.5" customHeight="1" x14ac:dyDescent="0.3">
      <c r="A256" s="206">
        <f t="shared" si="88"/>
        <v>183</v>
      </c>
      <c r="B256" s="213" t="s">
        <v>1024</v>
      </c>
      <c r="C256" s="206" t="s">
        <v>254</v>
      </c>
      <c r="D256" s="222">
        <v>45</v>
      </c>
      <c r="E256" s="210">
        <v>0</v>
      </c>
      <c r="F256" s="211">
        <f t="shared" si="97"/>
        <v>0</v>
      </c>
      <c r="G256" s="211">
        <f t="shared" si="98"/>
        <v>0</v>
      </c>
      <c r="I256" s="223"/>
    </row>
    <row r="257" spans="1:9" ht="19.5" customHeight="1" x14ac:dyDescent="0.3">
      <c r="A257" s="206">
        <f t="shared" ref="A257:A266" si="99">A256+1</f>
        <v>184</v>
      </c>
      <c r="B257" s="213" t="s">
        <v>1025</v>
      </c>
      <c r="C257" s="206" t="s">
        <v>220</v>
      </c>
      <c r="D257" s="222">
        <v>3</v>
      </c>
      <c r="E257" s="210">
        <v>0</v>
      </c>
      <c r="F257" s="211">
        <f t="shared" si="97"/>
        <v>0</v>
      </c>
      <c r="G257" s="211">
        <f t="shared" si="98"/>
        <v>0</v>
      </c>
      <c r="I257" s="223"/>
    </row>
    <row r="258" spans="1:9" ht="19.5" customHeight="1" x14ac:dyDescent="0.3">
      <c r="A258" s="206">
        <f t="shared" si="99"/>
        <v>185</v>
      </c>
      <c r="B258" s="213" t="s">
        <v>971</v>
      </c>
      <c r="C258" s="206" t="s">
        <v>220</v>
      </c>
      <c r="D258" s="222">
        <v>4</v>
      </c>
      <c r="E258" s="210">
        <v>0</v>
      </c>
      <c r="F258" s="211">
        <f t="shared" si="97"/>
        <v>0</v>
      </c>
      <c r="G258" s="211">
        <f t="shared" si="98"/>
        <v>0</v>
      </c>
      <c r="I258" s="223"/>
    </row>
    <row r="259" spans="1:9" ht="19.5" customHeight="1" x14ac:dyDescent="0.3">
      <c r="A259" s="206">
        <f t="shared" si="99"/>
        <v>186</v>
      </c>
      <c r="B259" s="213" t="s">
        <v>1026</v>
      </c>
      <c r="C259" s="206" t="s">
        <v>193</v>
      </c>
      <c r="D259" s="224">
        <v>0.28000000000000003</v>
      </c>
      <c r="E259" s="210">
        <v>0</v>
      </c>
      <c r="F259" s="211">
        <f t="shared" si="97"/>
        <v>0</v>
      </c>
      <c r="G259" s="211">
        <f t="shared" si="98"/>
        <v>0</v>
      </c>
      <c r="I259" s="223"/>
    </row>
    <row r="260" spans="1:9" ht="19.5" customHeight="1" x14ac:dyDescent="0.3">
      <c r="A260" s="87">
        <f t="shared" si="99"/>
        <v>187</v>
      </c>
      <c r="B260" s="233" t="s">
        <v>1027</v>
      </c>
      <c r="C260" s="87" t="s">
        <v>193</v>
      </c>
      <c r="D260" s="244">
        <v>0.05</v>
      </c>
      <c r="E260" s="166">
        <v>6072</v>
      </c>
      <c r="F260" s="99">
        <f t="shared" si="97"/>
        <v>303.60000000000002</v>
      </c>
      <c r="G260" s="99">
        <f t="shared" si="98"/>
        <v>364.32</v>
      </c>
      <c r="I260" s="223"/>
    </row>
    <row r="261" spans="1:9" ht="19.5" customHeight="1" x14ac:dyDescent="0.3">
      <c r="A261" s="87">
        <f t="shared" si="99"/>
        <v>188</v>
      </c>
      <c r="B261" s="233" t="s">
        <v>161</v>
      </c>
      <c r="C261" s="87" t="s">
        <v>193</v>
      </c>
      <c r="D261" s="247">
        <v>0.3</v>
      </c>
      <c r="E261" s="166">
        <v>1320</v>
      </c>
      <c r="F261" s="99">
        <f t="shared" ref="F261:F262" si="100">ROUND(E261*D261,2)</f>
        <v>396</v>
      </c>
      <c r="G261" s="99">
        <f t="shared" ref="G261:G262" si="101">ROUND(F261*1.2,2)</f>
        <v>475.2</v>
      </c>
      <c r="I261" s="223"/>
    </row>
    <row r="262" spans="1:9" ht="19.5" customHeight="1" x14ac:dyDescent="0.3">
      <c r="A262" s="206">
        <f t="shared" si="99"/>
        <v>189</v>
      </c>
      <c r="B262" s="213" t="s">
        <v>972</v>
      </c>
      <c r="C262" s="206" t="s">
        <v>254</v>
      </c>
      <c r="D262" s="227">
        <v>122.7</v>
      </c>
      <c r="E262" s="210">
        <v>0</v>
      </c>
      <c r="F262" s="211">
        <f t="shared" si="100"/>
        <v>0</v>
      </c>
      <c r="G262" s="211">
        <f t="shared" si="101"/>
        <v>0</v>
      </c>
      <c r="I262" s="223"/>
    </row>
    <row r="263" spans="1:9" ht="19.5" customHeight="1" x14ac:dyDescent="0.3">
      <c r="A263" s="206">
        <f t="shared" si="99"/>
        <v>190</v>
      </c>
      <c r="B263" s="213" t="s">
        <v>1028</v>
      </c>
      <c r="C263" s="206" t="s">
        <v>220</v>
      </c>
      <c r="D263" s="222">
        <v>1</v>
      </c>
      <c r="E263" s="210">
        <v>0</v>
      </c>
      <c r="F263" s="211">
        <f t="shared" ref="F263:F266" si="102">ROUND(E263*D263,2)</f>
        <v>0</v>
      </c>
      <c r="G263" s="211">
        <f t="shared" ref="G263:G266" si="103">ROUND(F263*1.2,2)</f>
        <v>0</v>
      </c>
      <c r="I263" s="223"/>
    </row>
    <row r="264" spans="1:9" ht="19.5" customHeight="1" x14ac:dyDescent="0.3">
      <c r="A264" s="87">
        <f t="shared" si="99"/>
        <v>191</v>
      </c>
      <c r="B264" s="233" t="s">
        <v>1066</v>
      </c>
      <c r="C264" s="87" t="s">
        <v>387</v>
      </c>
      <c r="D264" s="244">
        <f>41.6*0.25</f>
        <v>10.4</v>
      </c>
      <c r="E264" s="166">
        <v>250</v>
      </c>
      <c r="F264" s="99">
        <f t="shared" si="102"/>
        <v>2600</v>
      </c>
      <c r="G264" s="99">
        <f t="shared" si="103"/>
        <v>3120</v>
      </c>
      <c r="I264" s="223"/>
    </row>
    <row r="265" spans="1:9" ht="19.5" customHeight="1" x14ac:dyDescent="0.3">
      <c r="A265" s="87">
        <f t="shared" si="99"/>
        <v>192</v>
      </c>
      <c r="B265" s="233" t="s">
        <v>1065</v>
      </c>
      <c r="C265" s="87" t="s">
        <v>254</v>
      </c>
      <c r="D265" s="244">
        <f>0.7*41.6*2</f>
        <v>58.239999999999995</v>
      </c>
      <c r="E265" s="166">
        <v>312</v>
      </c>
      <c r="F265" s="99">
        <f t="shared" si="102"/>
        <v>18170.88</v>
      </c>
      <c r="G265" s="99">
        <f t="shared" si="103"/>
        <v>21805.06</v>
      </c>
      <c r="I265" s="223"/>
    </row>
    <row r="266" spans="1:9" ht="19.5" customHeight="1" x14ac:dyDescent="0.3">
      <c r="A266" s="206">
        <f t="shared" si="99"/>
        <v>193</v>
      </c>
      <c r="B266" s="213" t="s">
        <v>973</v>
      </c>
      <c r="C266" s="206" t="s">
        <v>254</v>
      </c>
      <c r="D266" s="222">
        <v>133</v>
      </c>
      <c r="E266" s="210">
        <v>0</v>
      </c>
      <c r="F266" s="211">
        <f t="shared" si="102"/>
        <v>0</v>
      </c>
      <c r="G266" s="211">
        <f t="shared" si="103"/>
        <v>0</v>
      </c>
      <c r="I266" s="223"/>
    </row>
    <row r="267" spans="1:9" ht="19.5" customHeight="1" x14ac:dyDescent="0.3">
      <c r="A267" s="87"/>
      <c r="B267" s="216" t="s">
        <v>1055</v>
      </c>
      <c r="C267" s="87"/>
      <c r="D267" s="247"/>
      <c r="E267" s="166"/>
      <c r="F267" s="99"/>
      <c r="G267" s="99"/>
      <c r="I267" s="223"/>
    </row>
    <row r="268" spans="1:9" ht="19.5" customHeight="1" x14ac:dyDescent="0.3">
      <c r="A268" s="206">
        <f>A263+1</f>
        <v>191</v>
      </c>
      <c r="B268" s="213" t="s">
        <v>1029</v>
      </c>
      <c r="C268" s="206" t="s">
        <v>220</v>
      </c>
      <c r="D268" s="222">
        <f>1*4</f>
        <v>4</v>
      </c>
      <c r="E268" s="210">
        <v>0</v>
      </c>
      <c r="F268" s="211">
        <f t="shared" ref="F268" si="104">ROUND(E268*D268,2)</f>
        <v>0</v>
      </c>
      <c r="G268" s="211">
        <f t="shared" ref="G268" si="105">ROUND(F268*1.2,2)</f>
        <v>0</v>
      </c>
      <c r="I268" s="223"/>
    </row>
    <row r="269" spans="1:9" ht="19.5" customHeight="1" x14ac:dyDescent="0.3">
      <c r="A269" s="206">
        <f>A268+1</f>
        <v>192</v>
      </c>
      <c r="B269" s="213" t="s">
        <v>1030</v>
      </c>
      <c r="C269" s="206" t="s">
        <v>254</v>
      </c>
      <c r="D269" s="224">
        <f>0.66*4</f>
        <v>2.64</v>
      </c>
      <c r="E269" s="210">
        <v>0</v>
      </c>
      <c r="F269" s="211">
        <f t="shared" ref="F269:F271" si="106">ROUND(E269*D269,2)</f>
        <v>0</v>
      </c>
      <c r="G269" s="211">
        <f t="shared" ref="G269:G271" si="107">ROUND(F269*1.2,2)</f>
        <v>0</v>
      </c>
      <c r="I269" s="223"/>
    </row>
    <row r="270" spans="1:9" ht="19.5" customHeight="1" x14ac:dyDescent="0.3">
      <c r="A270" s="206">
        <f>A269+1</f>
        <v>193</v>
      </c>
      <c r="B270" s="213" t="s">
        <v>1031</v>
      </c>
      <c r="C270" s="206" t="s">
        <v>220</v>
      </c>
      <c r="D270" s="222">
        <f>1*4</f>
        <v>4</v>
      </c>
      <c r="E270" s="210">
        <v>0</v>
      </c>
      <c r="F270" s="211">
        <f t="shared" si="106"/>
        <v>0</v>
      </c>
      <c r="G270" s="211">
        <f t="shared" si="107"/>
        <v>0</v>
      </c>
      <c r="I270" s="223"/>
    </row>
    <row r="271" spans="1:9" ht="19.5" customHeight="1" x14ac:dyDescent="0.3">
      <c r="A271" s="206">
        <f>A270+1</f>
        <v>194</v>
      </c>
      <c r="B271" s="213" t="s">
        <v>1032</v>
      </c>
      <c r="C271" s="206" t="s">
        <v>194</v>
      </c>
      <c r="D271" s="227">
        <f>0.2*4</f>
        <v>0.8</v>
      </c>
      <c r="E271" s="210">
        <v>0</v>
      </c>
      <c r="F271" s="211">
        <f t="shared" si="106"/>
        <v>0</v>
      </c>
      <c r="G271" s="211">
        <f t="shared" si="107"/>
        <v>0</v>
      </c>
      <c r="I271" s="223"/>
    </row>
    <row r="272" spans="1:9" ht="19.5" customHeight="1" x14ac:dyDescent="0.3">
      <c r="A272" s="87">
        <f t="shared" ref="A272:A275" si="108">A271+1</f>
        <v>195</v>
      </c>
      <c r="B272" s="233" t="s">
        <v>1033</v>
      </c>
      <c r="C272" s="87" t="s">
        <v>254</v>
      </c>
      <c r="D272" s="248">
        <f>0.032*2*4</f>
        <v>0.25600000000000001</v>
      </c>
      <c r="E272" s="166">
        <v>127</v>
      </c>
      <c r="F272" s="99">
        <f t="shared" ref="F272:F275" si="109">ROUND(E272*D272,2)</f>
        <v>32.51</v>
      </c>
      <c r="G272" s="99">
        <f t="shared" ref="G272:G275" si="110">ROUND(F272*1.2,2)</f>
        <v>39.01</v>
      </c>
      <c r="I272" s="223"/>
    </row>
    <row r="273" spans="1:9" ht="19.5" customHeight="1" x14ac:dyDescent="0.3">
      <c r="A273" s="87">
        <f t="shared" si="108"/>
        <v>196</v>
      </c>
      <c r="B273" s="233" t="s">
        <v>1034</v>
      </c>
      <c r="C273" s="87" t="s">
        <v>254</v>
      </c>
      <c r="D273" s="248">
        <f>0.012*2*4</f>
        <v>9.6000000000000002E-2</v>
      </c>
      <c r="E273" s="166">
        <v>147</v>
      </c>
      <c r="F273" s="99">
        <f t="shared" si="109"/>
        <v>14.11</v>
      </c>
      <c r="G273" s="99">
        <f t="shared" si="110"/>
        <v>16.93</v>
      </c>
      <c r="I273" s="223"/>
    </row>
    <row r="274" spans="1:9" ht="19.5" customHeight="1" x14ac:dyDescent="0.3">
      <c r="A274" s="87">
        <f t="shared" si="108"/>
        <v>197</v>
      </c>
      <c r="B274" s="233" t="s">
        <v>1035</v>
      </c>
      <c r="C274" s="87" t="s">
        <v>254</v>
      </c>
      <c r="D274" s="248">
        <f>0.002*2*4</f>
        <v>1.6E-2</v>
      </c>
      <c r="E274" s="166">
        <v>197</v>
      </c>
      <c r="F274" s="99">
        <f t="shared" si="109"/>
        <v>3.15</v>
      </c>
      <c r="G274" s="99">
        <f t="shared" si="110"/>
        <v>3.78</v>
      </c>
      <c r="I274" s="223"/>
    </row>
    <row r="275" spans="1:9" ht="19.5" customHeight="1" x14ac:dyDescent="0.3">
      <c r="A275" s="87">
        <f t="shared" si="108"/>
        <v>198</v>
      </c>
      <c r="B275" s="233" t="s">
        <v>1036</v>
      </c>
      <c r="C275" s="87" t="s">
        <v>254</v>
      </c>
      <c r="D275" s="248">
        <f>0.004*2*4</f>
        <v>3.2000000000000001E-2</v>
      </c>
      <c r="E275" s="166">
        <v>197</v>
      </c>
      <c r="F275" s="99">
        <f t="shared" si="109"/>
        <v>6.3</v>
      </c>
      <c r="G275" s="99">
        <f t="shared" si="110"/>
        <v>7.56</v>
      </c>
      <c r="I275" s="223"/>
    </row>
    <row r="276" spans="1:9" ht="19.5" customHeight="1" x14ac:dyDescent="0.3">
      <c r="A276" s="87"/>
      <c r="B276" s="216" t="s">
        <v>404</v>
      </c>
      <c r="C276" s="87"/>
      <c r="D276" s="246"/>
      <c r="E276" s="166"/>
      <c r="F276" s="99"/>
      <c r="G276" s="99"/>
      <c r="I276" s="223"/>
    </row>
    <row r="277" spans="1:9" ht="24.75" customHeight="1" x14ac:dyDescent="0.3">
      <c r="A277" s="206">
        <f>A275+1</f>
        <v>199</v>
      </c>
      <c r="B277" s="213" t="s">
        <v>1047</v>
      </c>
      <c r="C277" s="206" t="s">
        <v>194</v>
      </c>
      <c r="D277" s="222">
        <v>115</v>
      </c>
      <c r="E277" s="210">
        <v>0</v>
      </c>
      <c r="F277" s="211">
        <f t="shared" ref="F277" si="111">ROUND(E277*D277,2)</f>
        <v>0</v>
      </c>
      <c r="G277" s="211">
        <f t="shared" ref="G277" si="112">ROUND(F277*1.2,2)</f>
        <v>0</v>
      </c>
      <c r="H277" s="229" t="s">
        <v>1202</v>
      </c>
      <c r="I277" s="223"/>
    </row>
    <row r="278" spans="1:9" ht="19.5" customHeight="1" x14ac:dyDescent="0.3">
      <c r="A278" s="206">
        <f>A277+1</f>
        <v>200</v>
      </c>
      <c r="B278" s="213" t="s">
        <v>1038</v>
      </c>
      <c r="C278" s="206" t="s">
        <v>194</v>
      </c>
      <c r="D278" s="222">
        <v>20</v>
      </c>
      <c r="E278" s="210">
        <v>0</v>
      </c>
      <c r="F278" s="211">
        <f t="shared" ref="F278" si="113">ROUND(E278*D278,2)</f>
        <v>0</v>
      </c>
      <c r="G278" s="211">
        <f t="shared" ref="G278" si="114">ROUND(F278*1.2,2)</f>
        <v>0</v>
      </c>
      <c r="I278" s="223"/>
    </row>
    <row r="279" spans="1:9" ht="19.5" customHeight="1" x14ac:dyDescent="0.3">
      <c r="A279" s="206">
        <f t="shared" ref="A279:A285" si="115">A278+1</f>
        <v>201</v>
      </c>
      <c r="B279" s="213" t="s">
        <v>1050</v>
      </c>
      <c r="C279" s="206" t="s">
        <v>194</v>
      </c>
      <c r="D279" s="222">
        <v>24</v>
      </c>
      <c r="E279" s="210">
        <v>0</v>
      </c>
      <c r="F279" s="211">
        <f t="shared" ref="F279" si="116">ROUND(E279*D279,2)</f>
        <v>0</v>
      </c>
      <c r="G279" s="211">
        <f t="shared" ref="G279" si="117">ROUND(F279*1.2,2)</f>
        <v>0</v>
      </c>
      <c r="I279" s="223"/>
    </row>
    <row r="280" spans="1:9" ht="19.5" customHeight="1" x14ac:dyDescent="0.3">
      <c r="A280" s="206">
        <f t="shared" si="115"/>
        <v>202</v>
      </c>
      <c r="B280" s="213" t="s">
        <v>1048</v>
      </c>
      <c r="C280" s="206" t="s">
        <v>194</v>
      </c>
      <c r="D280" s="222">
        <v>11</v>
      </c>
      <c r="E280" s="210">
        <v>0</v>
      </c>
      <c r="F280" s="211">
        <f t="shared" ref="F280" si="118">ROUND(E280*D280,2)</f>
        <v>0</v>
      </c>
      <c r="G280" s="211">
        <f t="shared" ref="G280" si="119">ROUND(F280*1.2,2)</f>
        <v>0</v>
      </c>
      <c r="I280" s="223"/>
    </row>
    <row r="281" spans="1:9" ht="19.5" customHeight="1" x14ac:dyDescent="0.3">
      <c r="A281" s="206">
        <f t="shared" si="115"/>
        <v>203</v>
      </c>
      <c r="B281" s="213" t="s">
        <v>1049</v>
      </c>
      <c r="C281" s="206" t="s">
        <v>194</v>
      </c>
      <c r="D281" s="227">
        <v>10.5</v>
      </c>
      <c r="E281" s="210">
        <v>0</v>
      </c>
      <c r="F281" s="211">
        <f t="shared" ref="F281:F282" si="120">ROUND(E281*D281,2)</f>
        <v>0</v>
      </c>
      <c r="G281" s="211">
        <f t="shared" ref="G281:G282" si="121">ROUND(F281*1.2,2)</f>
        <v>0</v>
      </c>
      <c r="H281" s="202"/>
      <c r="I281" s="223"/>
    </row>
    <row r="282" spans="1:9" ht="19.5" customHeight="1" x14ac:dyDescent="0.3">
      <c r="A282" s="206">
        <f t="shared" si="115"/>
        <v>204</v>
      </c>
      <c r="B282" s="213" t="s">
        <v>1051</v>
      </c>
      <c r="C282" s="206" t="s">
        <v>194</v>
      </c>
      <c r="D282" s="227">
        <v>2</v>
      </c>
      <c r="E282" s="210">
        <v>0</v>
      </c>
      <c r="F282" s="211">
        <f t="shared" si="120"/>
        <v>0</v>
      </c>
      <c r="G282" s="211">
        <f t="shared" si="121"/>
        <v>0</v>
      </c>
      <c r="H282" s="202"/>
      <c r="I282" s="223"/>
    </row>
    <row r="283" spans="1:9" ht="19.5" customHeight="1" x14ac:dyDescent="0.3">
      <c r="A283" s="206">
        <f t="shared" si="115"/>
        <v>205</v>
      </c>
      <c r="B283" s="213" t="s">
        <v>1039</v>
      </c>
      <c r="C283" s="206" t="s">
        <v>220</v>
      </c>
      <c r="D283" s="222">
        <f>4+12</f>
        <v>16</v>
      </c>
      <c r="E283" s="210">
        <v>0</v>
      </c>
      <c r="F283" s="211">
        <f t="shared" ref="F283:F284" si="122">ROUND(E283*D283,2)</f>
        <v>0</v>
      </c>
      <c r="G283" s="211">
        <f t="shared" ref="G283:G284" si="123">ROUND(F283*1.2,2)</f>
        <v>0</v>
      </c>
      <c r="H283" s="202"/>
      <c r="I283" s="223"/>
    </row>
    <row r="284" spans="1:9" ht="19.5" customHeight="1" x14ac:dyDescent="0.3">
      <c r="A284" s="206">
        <f t="shared" si="115"/>
        <v>206</v>
      </c>
      <c r="B284" s="213" t="s">
        <v>1052</v>
      </c>
      <c r="C284" s="206" t="s">
        <v>220</v>
      </c>
      <c r="D284" s="222">
        <v>6</v>
      </c>
      <c r="E284" s="210">
        <v>0</v>
      </c>
      <c r="F284" s="211">
        <f t="shared" si="122"/>
        <v>0</v>
      </c>
      <c r="G284" s="211">
        <f t="shared" si="123"/>
        <v>0</v>
      </c>
      <c r="H284" s="202"/>
      <c r="I284" s="223"/>
    </row>
    <row r="285" spans="1:9" ht="19.5" customHeight="1" x14ac:dyDescent="0.3">
      <c r="A285" s="206">
        <f t="shared" si="115"/>
        <v>207</v>
      </c>
      <c r="B285" s="213" t="s">
        <v>1040</v>
      </c>
      <c r="C285" s="206" t="s">
        <v>220</v>
      </c>
      <c r="D285" s="222">
        <f>4+4</f>
        <v>8</v>
      </c>
      <c r="E285" s="210">
        <v>0</v>
      </c>
      <c r="F285" s="211">
        <f t="shared" ref="F285" si="124">ROUND(E285*D285,2)</f>
        <v>0</v>
      </c>
      <c r="G285" s="211">
        <f t="shared" ref="G285" si="125">ROUND(F285*1.2,2)</f>
        <v>0</v>
      </c>
      <c r="H285" s="202"/>
      <c r="I285" s="223"/>
    </row>
    <row r="286" spans="1:9" ht="33" customHeight="1" x14ac:dyDescent="0.3">
      <c r="A286" s="206">
        <f t="shared" ref="A286:A300" si="126">A285+1</f>
        <v>208</v>
      </c>
      <c r="B286" s="213" t="s">
        <v>1041</v>
      </c>
      <c r="C286" s="206" t="s">
        <v>220</v>
      </c>
      <c r="D286" s="222">
        <f>2+2</f>
        <v>4</v>
      </c>
      <c r="E286" s="210">
        <v>0</v>
      </c>
      <c r="F286" s="211">
        <f t="shared" ref="F286" si="127">ROUND(E286*D286,2)</f>
        <v>0</v>
      </c>
      <c r="G286" s="211">
        <f t="shared" ref="G286" si="128">ROUND(F286*1.2,2)</f>
        <v>0</v>
      </c>
      <c r="I286" s="223"/>
    </row>
    <row r="287" spans="1:9" ht="33" customHeight="1" x14ac:dyDescent="0.3">
      <c r="A287" s="206">
        <f t="shared" si="126"/>
        <v>209</v>
      </c>
      <c r="B287" s="213" t="s">
        <v>1053</v>
      </c>
      <c r="C287" s="206" t="s">
        <v>220</v>
      </c>
      <c r="D287" s="222">
        <v>2</v>
      </c>
      <c r="E287" s="210">
        <v>0</v>
      </c>
      <c r="F287" s="211">
        <f t="shared" ref="F287" si="129">ROUND(E287*D287,2)</f>
        <v>0</v>
      </c>
      <c r="G287" s="211">
        <f t="shared" ref="G287" si="130">ROUND(F287*1.2,2)</f>
        <v>0</v>
      </c>
      <c r="I287" s="223"/>
    </row>
    <row r="288" spans="1:9" ht="30" customHeight="1" x14ac:dyDescent="0.3">
      <c r="A288" s="206">
        <f t="shared" si="126"/>
        <v>210</v>
      </c>
      <c r="B288" s="213" t="s">
        <v>1042</v>
      </c>
      <c r="C288" s="206" t="s">
        <v>220</v>
      </c>
      <c r="D288" s="222">
        <f>2+2</f>
        <v>4</v>
      </c>
      <c r="E288" s="210">
        <v>0</v>
      </c>
      <c r="F288" s="211">
        <f t="shared" ref="F288" si="131">ROUND(E288*D288,2)</f>
        <v>0</v>
      </c>
      <c r="G288" s="211">
        <f t="shared" ref="G288" si="132">ROUND(F288*1.2,2)</f>
        <v>0</v>
      </c>
      <c r="I288" s="223"/>
    </row>
    <row r="289" spans="1:9" ht="15.75" customHeight="1" x14ac:dyDescent="0.3">
      <c r="A289" s="206">
        <f t="shared" si="126"/>
        <v>211</v>
      </c>
      <c r="B289" s="213" t="s">
        <v>1043</v>
      </c>
      <c r="C289" s="206" t="s">
        <v>220</v>
      </c>
      <c r="D289" s="222">
        <v>24</v>
      </c>
      <c r="E289" s="210">
        <v>0</v>
      </c>
      <c r="F289" s="211">
        <f t="shared" ref="F289:F293" si="133">ROUND(E289*D289,2)</f>
        <v>0</v>
      </c>
      <c r="G289" s="211">
        <f t="shared" ref="G289:G293" si="134">ROUND(F289*1.2,2)</f>
        <v>0</v>
      </c>
      <c r="H289" s="202"/>
      <c r="I289" s="223"/>
    </row>
    <row r="290" spans="1:9" ht="15.75" customHeight="1" x14ac:dyDescent="0.3">
      <c r="A290" s="206">
        <f t="shared" ref="A290:A292" si="135">A289+1</f>
        <v>212</v>
      </c>
      <c r="B290" s="213" t="s">
        <v>1054</v>
      </c>
      <c r="C290" s="206" t="s">
        <v>220</v>
      </c>
      <c r="D290" s="222">
        <v>2</v>
      </c>
      <c r="E290" s="210">
        <v>0</v>
      </c>
      <c r="F290" s="211">
        <f t="shared" ref="F290" si="136">ROUND(E290*D290,2)</f>
        <v>0</v>
      </c>
      <c r="G290" s="211">
        <f t="shared" ref="G290" si="137">ROUND(F290*1.2,2)</f>
        <v>0</v>
      </c>
      <c r="I290" s="223"/>
    </row>
    <row r="291" spans="1:9" ht="15.75" customHeight="1" x14ac:dyDescent="0.3">
      <c r="A291" s="206">
        <f t="shared" si="135"/>
        <v>213</v>
      </c>
      <c r="B291" s="213" t="s">
        <v>1056</v>
      </c>
      <c r="C291" s="206" t="s">
        <v>220</v>
      </c>
      <c r="D291" s="222">
        <v>2</v>
      </c>
      <c r="E291" s="210">
        <v>0</v>
      </c>
      <c r="F291" s="211">
        <f t="shared" ref="F291" si="138">ROUND(E291*D291,2)</f>
        <v>0</v>
      </c>
      <c r="G291" s="211">
        <f t="shared" ref="G291" si="139">ROUND(F291*1.2,2)</f>
        <v>0</v>
      </c>
      <c r="H291" s="202"/>
      <c r="I291" s="223"/>
    </row>
    <row r="292" spans="1:9" ht="15.75" customHeight="1" x14ac:dyDescent="0.3">
      <c r="A292" s="206">
        <f t="shared" si="135"/>
        <v>214</v>
      </c>
      <c r="B292" s="213" t="s">
        <v>1045</v>
      </c>
      <c r="C292" s="206" t="s">
        <v>220</v>
      </c>
      <c r="D292" s="222">
        <v>4</v>
      </c>
      <c r="E292" s="210">
        <v>0</v>
      </c>
      <c r="F292" s="211">
        <f t="shared" si="133"/>
        <v>0</v>
      </c>
      <c r="G292" s="211">
        <f t="shared" si="134"/>
        <v>0</v>
      </c>
      <c r="I292" s="223"/>
    </row>
    <row r="293" spans="1:9" ht="15.75" customHeight="1" x14ac:dyDescent="0.3">
      <c r="A293" s="206">
        <f t="shared" si="126"/>
        <v>215</v>
      </c>
      <c r="B293" s="213" t="s">
        <v>1046</v>
      </c>
      <c r="C293" s="206" t="s">
        <v>220</v>
      </c>
      <c r="D293" s="222">
        <v>1</v>
      </c>
      <c r="E293" s="210">
        <v>0</v>
      </c>
      <c r="F293" s="211">
        <f t="shared" si="133"/>
        <v>0</v>
      </c>
      <c r="G293" s="211">
        <f t="shared" si="134"/>
        <v>0</v>
      </c>
      <c r="I293" s="223"/>
    </row>
    <row r="294" spans="1:9" ht="15.75" customHeight="1" x14ac:dyDescent="0.3">
      <c r="A294" s="206">
        <f t="shared" si="126"/>
        <v>216</v>
      </c>
      <c r="B294" s="213" t="s">
        <v>1057</v>
      </c>
      <c r="C294" s="206" t="s">
        <v>194</v>
      </c>
      <c r="D294" s="227">
        <v>2.2999999999999998</v>
      </c>
      <c r="E294" s="210">
        <v>0</v>
      </c>
      <c r="F294" s="211">
        <f t="shared" ref="F294:F300" si="140">ROUND(E294*D294,2)</f>
        <v>0</v>
      </c>
      <c r="G294" s="211">
        <f t="shared" ref="G294:G300" si="141">ROUND(F294*1.2,2)</f>
        <v>0</v>
      </c>
      <c r="I294" s="223"/>
    </row>
    <row r="295" spans="1:9" ht="15.75" customHeight="1" x14ac:dyDescent="0.3">
      <c r="A295" s="206">
        <f t="shared" si="126"/>
        <v>217</v>
      </c>
      <c r="B295" s="213" t="s">
        <v>1058</v>
      </c>
      <c r="C295" s="206" t="s">
        <v>254</v>
      </c>
      <c r="D295" s="227">
        <v>3.5</v>
      </c>
      <c r="E295" s="210">
        <v>0</v>
      </c>
      <c r="F295" s="211">
        <f t="shared" si="140"/>
        <v>0</v>
      </c>
      <c r="G295" s="211">
        <f t="shared" si="141"/>
        <v>0</v>
      </c>
      <c r="I295" s="223"/>
    </row>
    <row r="296" spans="1:9" ht="15.75" customHeight="1" x14ac:dyDescent="0.3">
      <c r="A296" s="206">
        <f t="shared" si="126"/>
        <v>218</v>
      </c>
      <c r="B296" s="213" t="s">
        <v>1059</v>
      </c>
      <c r="C296" s="206" t="s">
        <v>220</v>
      </c>
      <c r="D296" s="222">
        <v>1</v>
      </c>
      <c r="E296" s="210">
        <v>0</v>
      </c>
      <c r="F296" s="211">
        <f t="shared" si="140"/>
        <v>0</v>
      </c>
      <c r="G296" s="211">
        <f t="shared" si="141"/>
        <v>0</v>
      </c>
      <c r="I296" s="223"/>
    </row>
    <row r="297" spans="1:9" ht="15.75" customHeight="1" x14ac:dyDescent="0.3">
      <c r="A297" s="206">
        <f t="shared" si="126"/>
        <v>219</v>
      </c>
      <c r="B297" s="213" t="s">
        <v>1060</v>
      </c>
      <c r="C297" s="206" t="s">
        <v>220</v>
      </c>
      <c r="D297" s="222">
        <v>4</v>
      </c>
      <c r="E297" s="210">
        <v>0</v>
      </c>
      <c r="F297" s="211">
        <f t="shared" si="140"/>
        <v>0</v>
      </c>
      <c r="G297" s="211">
        <f t="shared" si="141"/>
        <v>0</v>
      </c>
      <c r="I297" s="223"/>
    </row>
    <row r="298" spans="1:9" ht="15.75" customHeight="1" x14ac:dyDescent="0.3">
      <c r="A298" s="206">
        <f t="shared" si="126"/>
        <v>220</v>
      </c>
      <c r="B298" s="213" t="s">
        <v>1061</v>
      </c>
      <c r="C298" s="206" t="s">
        <v>431</v>
      </c>
      <c r="D298" s="224">
        <v>1.71</v>
      </c>
      <c r="E298" s="210">
        <v>0</v>
      </c>
      <c r="F298" s="211">
        <f t="shared" si="140"/>
        <v>0</v>
      </c>
      <c r="G298" s="211">
        <f t="shared" si="141"/>
        <v>0</v>
      </c>
      <c r="I298" s="223"/>
    </row>
    <row r="299" spans="1:9" ht="15.75" customHeight="1" x14ac:dyDescent="0.3">
      <c r="A299" s="206">
        <f t="shared" si="126"/>
        <v>221</v>
      </c>
      <c r="B299" s="213" t="s">
        <v>1062</v>
      </c>
      <c r="C299" s="206" t="s">
        <v>220</v>
      </c>
      <c r="D299" s="222">
        <v>1</v>
      </c>
      <c r="E299" s="210">
        <v>0</v>
      </c>
      <c r="F299" s="211">
        <f t="shared" si="140"/>
        <v>0</v>
      </c>
      <c r="G299" s="211">
        <f t="shared" si="141"/>
        <v>0</v>
      </c>
      <c r="I299" s="223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177">
        <v>110000.00000000001</v>
      </c>
      <c r="F300" s="94">
        <f t="shared" si="140"/>
        <v>110000</v>
      </c>
      <c r="G300" s="94">
        <f t="shared" si="141"/>
        <v>132000</v>
      </c>
    </row>
    <row r="301" spans="1:9" ht="22.5" customHeight="1" x14ac:dyDescent="0.3">
      <c r="A301" s="977" t="s">
        <v>408</v>
      </c>
      <c r="B301" s="977"/>
      <c r="C301" s="977"/>
      <c r="D301" s="977"/>
      <c r="E301" s="977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J42"/>
  <sheetViews>
    <sheetView zoomScaleNormal="100" zoomScaleSheetLayoutView="90" workbookViewId="0">
      <pane ySplit="2" topLeftCell="A36" activePane="bottomLeft" state="frozen"/>
      <selection activeCell="G69" sqref="G69"/>
      <selection pane="bottomLeft" activeCell="A31" sqref="A31:XFD3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10" ht="14.4" customHeight="1" x14ac:dyDescent="0.3">
      <c r="A1" s="1005" t="s">
        <v>226</v>
      </c>
      <c r="B1" s="934" t="s">
        <v>227</v>
      </c>
      <c r="C1" s="934" t="s">
        <v>228</v>
      </c>
      <c r="D1" s="934" t="s">
        <v>229</v>
      </c>
      <c r="E1" s="934" t="s">
        <v>440</v>
      </c>
      <c r="F1" s="888" t="s">
        <v>433</v>
      </c>
      <c r="G1" s="990" t="s">
        <v>409</v>
      </c>
    </row>
    <row r="2" spans="1:10" ht="31.2" customHeight="1" x14ac:dyDescent="0.3">
      <c r="A2" s="1006"/>
      <c r="B2" s="935"/>
      <c r="C2" s="935"/>
      <c r="D2" s="935"/>
      <c r="E2" s="935"/>
      <c r="F2" s="888"/>
      <c r="G2" s="990"/>
      <c r="J2" s="335"/>
    </row>
    <row r="3" spans="1:10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5"/>
    </row>
    <row r="4" spans="1:10" ht="27.6" x14ac:dyDescent="0.3">
      <c r="B4" s="708" t="s">
        <v>1331</v>
      </c>
      <c r="C4" s="708"/>
      <c r="D4" s="708"/>
      <c r="E4" s="135"/>
      <c r="F4" s="135"/>
      <c r="G4" s="127"/>
      <c r="J4" s="335"/>
    </row>
    <row r="5" spans="1:10" x14ac:dyDescent="0.3">
      <c r="A5" s="1003" t="s">
        <v>1330</v>
      </c>
      <c r="B5" s="1003"/>
      <c r="C5" s="1003"/>
      <c r="D5" s="1003"/>
      <c r="E5" s="258"/>
      <c r="F5" s="258"/>
      <c r="G5" s="259"/>
    </row>
    <row r="6" spans="1:10" ht="21" customHeight="1" x14ac:dyDescent="0.3">
      <c r="A6" s="340">
        <v>1</v>
      </c>
      <c r="B6" s="341" t="s">
        <v>1284</v>
      </c>
      <c r="C6" s="342" t="s">
        <v>1285</v>
      </c>
      <c r="D6" s="343">
        <v>432.9</v>
      </c>
      <c r="E6" s="344">
        <v>1945.13184</v>
      </c>
      <c r="F6" s="270">
        <f t="shared" ref="F6:F21" si="0">ROUND(E6*D6,2)</f>
        <v>842047.57</v>
      </c>
      <c r="G6" s="270">
        <f>ROUND(F6*1.2,2)</f>
        <v>1010457.08</v>
      </c>
      <c r="H6" s="202" t="s">
        <v>1597</v>
      </c>
    </row>
    <row r="7" spans="1:10" ht="20.25" customHeight="1" x14ac:dyDescent="0.3">
      <c r="A7" s="340">
        <f>A6+1</f>
        <v>2</v>
      </c>
      <c r="B7" s="341" t="s">
        <v>1286</v>
      </c>
      <c r="C7" s="342" t="s">
        <v>220</v>
      </c>
      <c r="D7" s="345">
        <v>1</v>
      </c>
      <c r="E7" s="344">
        <v>3363.933888</v>
      </c>
      <c r="F7" s="270">
        <f t="shared" si="0"/>
        <v>3363.93</v>
      </c>
      <c r="G7" s="270">
        <f t="shared" ref="G7:G41" si="1">ROUND(F7*1.2,2)</f>
        <v>4036.72</v>
      </c>
    </row>
    <row r="8" spans="1:10" x14ac:dyDescent="0.3">
      <c r="A8" s="340">
        <f>A6+1</f>
        <v>2</v>
      </c>
      <c r="B8" s="341" t="s">
        <v>1598</v>
      </c>
      <c r="C8" s="342" t="s">
        <v>220</v>
      </c>
      <c r="D8" s="345">
        <v>1</v>
      </c>
      <c r="E8" s="344">
        <v>1896.5035439999999</v>
      </c>
      <c r="F8" s="270">
        <f t="shared" si="0"/>
        <v>1896.5</v>
      </c>
      <c r="G8" s="270">
        <f t="shared" si="1"/>
        <v>2275.8000000000002</v>
      </c>
    </row>
    <row r="9" spans="1:10" ht="27.6" x14ac:dyDescent="0.3">
      <c r="A9" s="340">
        <f>A7+1</f>
        <v>3</v>
      </c>
      <c r="B9" s="341" t="s">
        <v>1332</v>
      </c>
      <c r="C9" s="342" t="s">
        <v>220</v>
      </c>
      <c r="D9" s="345">
        <v>1</v>
      </c>
      <c r="E9" s="344">
        <v>11062.93734</v>
      </c>
      <c r="F9" s="270">
        <f t="shared" si="0"/>
        <v>11062.94</v>
      </c>
      <c r="G9" s="270">
        <f t="shared" si="1"/>
        <v>13275.53</v>
      </c>
    </row>
    <row r="10" spans="1:10" ht="27.6" x14ac:dyDescent="0.3">
      <c r="A10" s="340">
        <f t="shared" ref="A10:A41" si="2">A9+1</f>
        <v>4</v>
      </c>
      <c r="B10" s="341" t="s">
        <v>1287</v>
      </c>
      <c r="C10" s="342" t="s">
        <v>220</v>
      </c>
      <c r="D10" s="345">
        <v>1</v>
      </c>
      <c r="E10" s="344">
        <v>7381.4892839999993</v>
      </c>
      <c r="F10" s="270">
        <f t="shared" si="0"/>
        <v>7381.49</v>
      </c>
      <c r="G10" s="270">
        <f t="shared" si="1"/>
        <v>8857.7900000000009</v>
      </c>
    </row>
    <row r="11" spans="1:10" ht="27.6" x14ac:dyDescent="0.3">
      <c r="A11" s="340">
        <f t="shared" si="2"/>
        <v>5</v>
      </c>
      <c r="B11" s="341" t="s">
        <v>1288</v>
      </c>
      <c r="C11" s="342" t="s">
        <v>220</v>
      </c>
      <c r="D11" s="345">
        <v>2</v>
      </c>
      <c r="E11" s="344">
        <v>11583.546156</v>
      </c>
      <c r="F11" s="270">
        <f t="shared" si="0"/>
        <v>23167.09</v>
      </c>
      <c r="G11" s="270">
        <f t="shared" si="1"/>
        <v>27800.51</v>
      </c>
    </row>
    <row r="12" spans="1:10" ht="27.6" x14ac:dyDescent="0.3">
      <c r="A12" s="340">
        <f t="shared" si="2"/>
        <v>6</v>
      </c>
      <c r="B12" s="341" t="s">
        <v>1289</v>
      </c>
      <c r="C12" s="342" t="s">
        <v>220</v>
      </c>
      <c r="D12" s="345">
        <v>2</v>
      </c>
      <c r="E12" s="344">
        <v>11583.546156</v>
      </c>
      <c r="F12" s="270">
        <f t="shared" si="0"/>
        <v>23167.09</v>
      </c>
      <c r="G12" s="270">
        <f t="shared" si="1"/>
        <v>27800.51</v>
      </c>
    </row>
    <row r="13" spans="1:10" ht="27.6" x14ac:dyDescent="0.3">
      <c r="A13" s="340">
        <f t="shared" si="2"/>
        <v>7</v>
      </c>
      <c r="B13" s="341" t="s">
        <v>1290</v>
      </c>
      <c r="C13" s="342" t="s">
        <v>1285</v>
      </c>
      <c r="D13" s="345">
        <v>85</v>
      </c>
      <c r="E13" s="344">
        <v>1367.3132639999999</v>
      </c>
      <c r="F13" s="270">
        <f t="shared" si="0"/>
        <v>116221.63</v>
      </c>
      <c r="G13" s="270">
        <f t="shared" si="1"/>
        <v>139465.96</v>
      </c>
    </row>
    <row r="14" spans="1:10" ht="21.75" customHeight="1" x14ac:dyDescent="0.3">
      <c r="A14" s="340">
        <f t="shared" si="2"/>
        <v>8</v>
      </c>
      <c r="B14" s="341" t="s">
        <v>1291</v>
      </c>
      <c r="C14" s="342" t="s">
        <v>220</v>
      </c>
      <c r="D14" s="345">
        <v>32</v>
      </c>
      <c r="E14" s="344">
        <v>1367.3132639999999</v>
      </c>
      <c r="F14" s="270">
        <f t="shared" si="0"/>
        <v>43754.02</v>
      </c>
      <c r="G14" s="270">
        <f t="shared" si="1"/>
        <v>52504.82</v>
      </c>
    </row>
    <row r="15" spans="1:10" ht="21.75" customHeight="1" x14ac:dyDescent="0.3">
      <c r="A15" s="340">
        <f t="shared" si="2"/>
        <v>9</v>
      </c>
      <c r="B15" s="341" t="s">
        <v>1601</v>
      </c>
      <c r="C15" s="342" t="s">
        <v>254</v>
      </c>
      <c r="D15" s="345">
        <v>45</v>
      </c>
      <c r="E15" s="344">
        <v>441.05546640000006</v>
      </c>
      <c r="F15" s="270">
        <f t="shared" si="0"/>
        <v>19847.5</v>
      </c>
      <c r="G15" s="270">
        <f t="shared" si="1"/>
        <v>23817</v>
      </c>
    </row>
    <row r="16" spans="1:10" x14ac:dyDescent="0.3">
      <c r="A16" s="340">
        <f t="shared" si="2"/>
        <v>10</v>
      </c>
      <c r="B16" s="339" t="s">
        <v>1292</v>
      </c>
      <c r="C16" s="342" t="s">
        <v>1285</v>
      </c>
      <c r="D16" s="346">
        <v>427.9</v>
      </c>
      <c r="E16" s="344">
        <v>14.302440000000001</v>
      </c>
      <c r="F16" s="270">
        <f t="shared" si="0"/>
        <v>6120.01</v>
      </c>
      <c r="G16" s="270">
        <f t="shared" si="1"/>
        <v>7344.01</v>
      </c>
    </row>
    <row r="17" spans="1:8" ht="27.6" x14ac:dyDescent="0.3">
      <c r="A17" s="340">
        <f t="shared" si="2"/>
        <v>11</v>
      </c>
      <c r="B17" s="339" t="s">
        <v>1293</v>
      </c>
      <c r="C17" s="342" t="s">
        <v>220</v>
      </c>
      <c r="D17" s="340">
        <v>72</v>
      </c>
      <c r="E17" s="344">
        <v>9383.8308839999991</v>
      </c>
      <c r="F17" s="270">
        <f t="shared" si="0"/>
        <v>675635.82</v>
      </c>
      <c r="G17" s="270">
        <f t="shared" si="1"/>
        <v>810762.98</v>
      </c>
    </row>
    <row r="18" spans="1:8" ht="27.6" x14ac:dyDescent="0.3">
      <c r="A18" s="340">
        <f t="shared" si="2"/>
        <v>12</v>
      </c>
      <c r="B18" s="339" t="s">
        <v>1294</v>
      </c>
      <c r="C18" s="342" t="s">
        <v>220</v>
      </c>
      <c r="D18" s="340">
        <v>17</v>
      </c>
      <c r="E18" s="344">
        <v>15146.283960000001</v>
      </c>
      <c r="F18" s="270">
        <f t="shared" si="0"/>
        <v>257486.83</v>
      </c>
      <c r="G18" s="270">
        <f t="shared" si="1"/>
        <v>308984.2</v>
      </c>
    </row>
    <row r="19" spans="1:8" ht="27.6" x14ac:dyDescent="0.3">
      <c r="A19" s="340">
        <f t="shared" si="2"/>
        <v>13</v>
      </c>
      <c r="B19" s="339" t="s">
        <v>1295</v>
      </c>
      <c r="C19" s="342" t="s">
        <v>1285</v>
      </c>
      <c r="D19" s="340">
        <v>3</v>
      </c>
      <c r="E19" s="344">
        <v>6394.6209239999998</v>
      </c>
      <c r="F19" s="270">
        <f t="shared" si="0"/>
        <v>19183.86</v>
      </c>
      <c r="G19" s="270">
        <f t="shared" si="1"/>
        <v>23020.63</v>
      </c>
      <c r="H19" s="202" t="s">
        <v>1599</v>
      </c>
    </row>
    <row r="20" spans="1:8" x14ac:dyDescent="0.3">
      <c r="A20" s="340">
        <f t="shared" si="2"/>
        <v>14</v>
      </c>
      <c r="B20" s="339" t="s">
        <v>1296</v>
      </c>
      <c r="C20" s="342" t="s">
        <v>194</v>
      </c>
      <c r="D20" s="340">
        <v>560</v>
      </c>
      <c r="E20" s="344">
        <v>185.93172000000001</v>
      </c>
      <c r="F20" s="270">
        <f t="shared" si="0"/>
        <v>104121.76</v>
      </c>
      <c r="G20" s="270">
        <f t="shared" si="1"/>
        <v>124946.11</v>
      </c>
      <c r="H20" s="202" t="s">
        <v>1600</v>
      </c>
    </row>
    <row r="21" spans="1:8" x14ac:dyDescent="0.3">
      <c r="A21" s="340">
        <f t="shared" si="2"/>
        <v>15</v>
      </c>
      <c r="B21" s="339" t="s">
        <v>1333</v>
      </c>
      <c r="C21" s="342" t="s">
        <v>220</v>
      </c>
      <c r="D21" s="340">
        <v>3</v>
      </c>
      <c r="E21" s="344">
        <v>14727.222467999998</v>
      </c>
      <c r="F21" s="270">
        <f t="shared" si="0"/>
        <v>44181.67</v>
      </c>
      <c r="G21" s="270">
        <f t="shared" si="1"/>
        <v>53018</v>
      </c>
    </row>
    <row r="22" spans="1:8" x14ac:dyDescent="0.3">
      <c r="A22" s="1004" t="s">
        <v>513</v>
      </c>
      <c r="B22" s="1004" t="s">
        <v>1334</v>
      </c>
      <c r="C22" s="1004"/>
      <c r="D22" s="1004"/>
      <c r="E22" s="344">
        <v>0</v>
      </c>
      <c r="F22" s="344"/>
      <c r="G22" s="338"/>
    </row>
    <row r="23" spans="1:8" ht="27.6" x14ac:dyDescent="0.3">
      <c r="A23" s="340">
        <f>A21+1</f>
        <v>16</v>
      </c>
      <c r="B23" s="339" t="s">
        <v>1305</v>
      </c>
      <c r="C23" s="342" t="s">
        <v>193</v>
      </c>
      <c r="D23" s="346">
        <v>428.7</v>
      </c>
      <c r="E23" s="344">
        <v>464.82929999999999</v>
      </c>
      <c r="F23" s="270">
        <f t="shared" ref="F23:F36" si="3">ROUND(E23*D23,2)</f>
        <v>199272.32000000001</v>
      </c>
      <c r="G23" s="270">
        <f t="shared" si="1"/>
        <v>239126.78</v>
      </c>
    </row>
    <row r="24" spans="1:8" x14ac:dyDescent="0.3">
      <c r="A24" s="340">
        <f>A23+1</f>
        <v>17</v>
      </c>
      <c r="B24" s="339" t="s">
        <v>1306</v>
      </c>
      <c r="C24" s="342" t="s">
        <v>193</v>
      </c>
      <c r="D24" s="346">
        <v>32.200000000000003</v>
      </c>
      <c r="E24" s="344">
        <v>2541.5435879999995</v>
      </c>
      <c r="F24" s="270">
        <f t="shared" si="3"/>
        <v>81837.7</v>
      </c>
      <c r="G24" s="270">
        <f t="shared" si="1"/>
        <v>98205.24</v>
      </c>
    </row>
    <row r="25" spans="1:8" x14ac:dyDescent="0.3">
      <c r="A25" s="340">
        <f t="shared" si="2"/>
        <v>18</v>
      </c>
      <c r="B25" s="339" t="s">
        <v>1592</v>
      </c>
      <c r="C25" s="342" t="s">
        <v>220</v>
      </c>
      <c r="D25" s="340">
        <v>6</v>
      </c>
      <c r="E25" s="344">
        <v>314.65368000000001</v>
      </c>
      <c r="F25" s="270">
        <f t="shared" si="3"/>
        <v>1887.92</v>
      </c>
      <c r="G25" s="270">
        <f t="shared" si="1"/>
        <v>2265.5</v>
      </c>
    </row>
    <row r="26" spans="1:8" ht="27.6" x14ac:dyDescent="0.3">
      <c r="A26" s="340">
        <f t="shared" si="2"/>
        <v>19</v>
      </c>
      <c r="B26" s="339" t="s">
        <v>1307</v>
      </c>
      <c r="C26" s="342" t="s">
        <v>193</v>
      </c>
      <c r="D26" s="347">
        <v>21.43</v>
      </c>
      <c r="E26" s="344">
        <v>1972.306476</v>
      </c>
      <c r="F26" s="270">
        <f t="shared" si="3"/>
        <v>42266.53</v>
      </c>
      <c r="G26" s="270">
        <f t="shared" si="1"/>
        <v>50719.839999999997</v>
      </c>
    </row>
    <row r="27" spans="1:8" ht="27.6" x14ac:dyDescent="0.3">
      <c r="A27" s="340">
        <f t="shared" si="2"/>
        <v>20</v>
      </c>
      <c r="B27" s="339" t="s">
        <v>1308</v>
      </c>
      <c r="C27" s="342" t="s">
        <v>193</v>
      </c>
      <c r="D27" s="346">
        <v>42.9</v>
      </c>
      <c r="E27" s="344">
        <v>1972.306476</v>
      </c>
      <c r="F27" s="270">
        <f t="shared" si="3"/>
        <v>84611.95</v>
      </c>
      <c r="G27" s="270">
        <f t="shared" si="1"/>
        <v>101534.34</v>
      </c>
    </row>
    <row r="28" spans="1:8" x14ac:dyDescent="0.3">
      <c r="A28" s="340">
        <f t="shared" si="2"/>
        <v>21</v>
      </c>
      <c r="B28" s="339" t="s">
        <v>1335</v>
      </c>
      <c r="C28" s="342" t="s">
        <v>239</v>
      </c>
      <c r="D28" s="348">
        <v>141.63999999999999</v>
      </c>
      <c r="E28" s="344">
        <v>631</v>
      </c>
      <c r="F28" s="270">
        <f t="shared" si="3"/>
        <v>89374.84</v>
      </c>
      <c r="G28" s="270">
        <f t="shared" si="1"/>
        <v>107249.81</v>
      </c>
      <c r="H28" s="202" t="s">
        <v>1593</v>
      </c>
    </row>
    <row r="29" spans="1:8" x14ac:dyDescent="0.3">
      <c r="A29" s="340">
        <f t="shared" si="2"/>
        <v>22</v>
      </c>
      <c r="B29" s="339" t="s">
        <v>1337</v>
      </c>
      <c r="C29" s="342" t="s">
        <v>1336</v>
      </c>
      <c r="D29" s="349" t="s">
        <v>586</v>
      </c>
      <c r="E29" s="344">
        <v>1772.0723159999998</v>
      </c>
      <c r="F29" s="270">
        <f t="shared" si="3"/>
        <v>7088.29</v>
      </c>
      <c r="G29" s="270">
        <f t="shared" si="1"/>
        <v>8505.9500000000007</v>
      </c>
    </row>
    <row r="30" spans="1:8" ht="18" customHeight="1" x14ac:dyDescent="0.3">
      <c r="A30" s="340">
        <f t="shared" si="2"/>
        <v>23</v>
      </c>
      <c r="B30" s="339" t="s">
        <v>1309</v>
      </c>
      <c r="C30" s="342" t="s">
        <v>1285</v>
      </c>
      <c r="D30" s="340">
        <v>85</v>
      </c>
      <c r="E30" s="344">
        <v>1842.1542719999998</v>
      </c>
      <c r="F30" s="270">
        <f t="shared" si="3"/>
        <v>156583.10999999999</v>
      </c>
      <c r="G30" s="270">
        <f t="shared" si="1"/>
        <v>187899.73</v>
      </c>
    </row>
    <row r="31" spans="1:8" ht="18" customHeight="1" x14ac:dyDescent="0.3">
      <c r="A31" s="340"/>
      <c r="B31" s="339" t="s">
        <v>1594</v>
      </c>
      <c r="C31" s="342" t="s">
        <v>217</v>
      </c>
      <c r="D31" s="340">
        <v>4</v>
      </c>
      <c r="E31" s="344">
        <v>3708.6226919999999</v>
      </c>
      <c r="F31" s="270">
        <f t="shared" si="3"/>
        <v>14834.49</v>
      </c>
      <c r="G31" s="270">
        <f t="shared" si="1"/>
        <v>17801.39</v>
      </c>
      <c r="H31" s="202" t="s">
        <v>1595</v>
      </c>
    </row>
    <row r="32" spans="1:8" x14ac:dyDescent="0.3">
      <c r="A32" s="340">
        <f>A30+1</f>
        <v>24</v>
      </c>
      <c r="B32" s="339" t="s">
        <v>1310</v>
      </c>
      <c r="C32" s="342" t="s">
        <v>194</v>
      </c>
      <c r="D32" s="350">
        <f>433+3</f>
        <v>436</v>
      </c>
      <c r="E32" s="344">
        <v>429.07319999999999</v>
      </c>
      <c r="F32" s="270">
        <f t="shared" si="3"/>
        <v>187075.92</v>
      </c>
      <c r="G32" s="270">
        <f t="shared" si="1"/>
        <v>224491.1</v>
      </c>
    </row>
    <row r="33" spans="1:8" x14ac:dyDescent="0.3">
      <c r="A33" s="340">
        <f t="shared" si="2"/>
        <v>25</v>
      </c>
      <c r="B33" s="339" t="s">
        <v>1311</v>
      </c>
      <c r="C33" s="342" t="s">
        <v>193</v>
      </c>
      <c r="D33" s="346">
        <v>420.1</v>
      </c>
      <c r="E33" s="344">
        <v>178.78050000000002</v>
      </c>
      <c r="F33" s="270">
        <f t="shared" si="3"/>
        <v>75105.69</v>
      </c>
      <c r="G33" s="270">
        <f t="shared" si="1"/>
        <v>90126.83</v>
      </c>
    </row>
    <row r="34" spans="1:8" ht="27.6" x14ac:dyDescent="0.3">
      <c r="A34" s="340">
        <f t="shared" si="2"/>
        <v>26</v>
      </c>
      <c r="B34" s="339" t="s">
        <v>1312</v>
      </c>
      <c r="C34" s="342" t="s">
        <v>1313</v>
      </c>
      <c r="D34" s="340">
        <v>7</v>
      </c>
      <c r="E34" s="344">
        <v>29717.609831999995</v>
      </c>
      <c r="F34" s="270">
        <f t="shared" si="3"/>
        <v>208023.27</v>
      </c>
      <c r="G34" s="270">
        <f t="shared" si="1"/>
        <v>249627.92</v>
      </c>
    </row>
    <row r="35" spans="1:8" x14ac:dyDescent="0.3">
      <c r="A35" s="340">
        <f t="shared" si="2"/>
        <v>27</v>
      </c>
      <c r="B35" s="339" t="s">
        <v>1314</v>
      </c>
      <c r="C35" s="342" t="s">
        <v>194</v>
      </c>
      <c r="D35" s="340">
        <v>432</v>
      </c>
      <c r="E35" s="344">
        <v>97.392332749999994</v>
      </c>
      <c r="F35" s="270">
        <f t="shared" si="3"/>
        <v>42073.49</v>
      </c>
      <c r="G35" s="270">
        <f t="shared" si="1"/>
        <v>50488.19</v>
      </c>
    </row>
    <row r="36" spans="1:8" x14ac:dyDescent="0.3">
      <c r="A36" s="340">
        <f t="shared" si="2"/>
        <v>28</v>
      </c>
      <c r="B36" s="339" t="s">
        <v>1315</v>
      </c>
      <c r="C36" s="342" t="s">
        <v>194</v>
      </c>
      <c r="D36" s="340">
        <v>432</v>
      </c>
      <c r="E36" s="344">
        <v>143.02440000000001</v>
      </c>
      <c r="F36" s="270">
        <f t="shared" si="3"/>
        <v>61786.54</v>
      </c>
      <c r="G36" s="270">
        <f t="shared" si="1"/>
        <v>74143.850000000006</v>
      </c>
      <c r="H36" s="202"/>
    </row>
    <row r="37" spans="1:8" x14ac:dyDescent="0.3">
      <c r="A37" s="340"/>
      <c r="B37" s="351" t="s">
        <v>713</v>
      </c>
      <c r="C37" s="342"/>
      <c r="D37" s="340"/>
      <c r="E37" s="344">
        <v>0</v>
      </c>
      <c r="F37" s="344"/>
      <c r="G37" s="338"/>
    </row>
    <row r="38" spans="1:8" x14ac:dyDescent="0.3">
      <c r="A38" s="340">
        <f>A36+1</f>
        <v>29</v>
      </c>
      <c r="B38" s="339" t="s">
        <v>1316</v>
      </c>
      <c r="C38" s="342" t="s">
        <v>239</v>
      </c>
      <c r="D38" s="347">
        <v>0.16</v>
      </c>
      <c r="E38" s="344">
        <v>111210.410025</v>
      </c>
      <c r="F38" s="270">
        <f>ROUND(E38*D38,2)</f>
        <v>17793.669999999998</v>
      </c>
      <c r="G38" s="270">
        <f t="shared" si="1"/>
        <v>21352.400000000001</v>
      </c>
    </row>
    <row r="39" spans="1:8" x14ac:dyDescent="0.3">
      <c r="A39" s="340">
        <f t="shared" si="2"/>
        <v>30</v>
      </c>
      <c r="B39" s="339" t="s">
        <v>1338</v>
      </c>
      <c r="C39" s="342" t="s">
        <v>194</v>
      </c>
      <c r="D39" s="348">
        <v>312</v>
      </c>
      <c r="E39" s="344">
        <v>1158.49764</v>
      </c>
      <c r="F39" s="270">
        <f>ROUND(E39*D39,2)</f>
        <v>361451.26</v>
      </c>
      <c r="G39" s="270">
        <f t="shared" si="1"/>
        <v>433741.51</v>
      </c>
    </row>
    <row r="40" spans="1:8" x14ac:dyDescent="0.3">
      <c r="A40" s="340">
        <f t="shared" si="2"/>
        <v>31</v>
      </c>
      <c r="B40" s="339" t="s">
        <v>1317</v>
      </c>
      <c r="C40" s="342" t="s">
        <v>239</v>
      </c>
      <c r="D40" s="347">
        <v>0.35</v>
      </c>
      <c r="E40" s="344">
        <v>111211.68702857142</v>
      </c>
      <c r="F40" s="270">
        <f>ROUND(E40*D40,2)</f>
        <v>38924.089999999997</v>
      </c>
      <c r="G40" s="270">
        <f t="shared" si="1"/>
        <v>46708.91</v>
      </c>
    </row>
    <row r="41" spans="1:8" ht="27.6" x14ac:dyDescent="0.3">
      <c r="A41" s="340">
        <f t="shared" si="2"/>
        <v>32</v>
      </c>
      <c r="B41" s="339" t="s">
        <v>1646</v>
      </c>
      <c r="C41" s="342" t="s">
        <v>239</v>
      </c>
      <c r="D41" s="347">
        <v>0.18</v>
      </c>
      <c r="E41" s="344">
        <v>631</v>
      </c>
      <c r="F41" s="270">
        <f>ROUND(E41*D41,2)</f>
        <v>113.58</v>
      </c>
      <c r="G41" s="270">
        <f t="shared" si="1"/>
        <v>136.30000000000001</v>
      </c>
      <c r="H41" s="202" t="s">
        <v>1596</v>
      </c>
    </row>
    <row r="42" spans="1:8" s="1" customFormat="1" x14ac:dyDescent="0.3">
      <c r="A42" s="114"/>
      <c r="B42" s="989" t="s">
        <v>439</v>
      </c>
      <c r="C42" s="989"/>
      <c r="D42" s="989"/>
      <c r="E42" s="989"/>
      <c r="F42" s="140">
        <f>SUM(F4:F41)</f>
        <v>3868744.37</v>
      </c>
      <c r="G42" s="283">
        <f>SUM(G4:G41)</f>
        <v>4642493.24</v>
      </c>
    </row>
  </sheetData>
  <mergeCells count="10">
    <mergeCell ref="B42:E42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11" activePane="bottomLeft" state="frozen"/>
      <selection activeCell="G69" sqref="G69"/>
      <selection pane="bottomLeft" activeCell="D7" sqref="D7:D31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993" t="s">
        <v>226</v>
      </c>
      <c r="B1" s="888" t="s">
        <v>227</v>
      </c>
      <c r="C1" s="888" t="s">
        <v>228</v>
      </c>
      <c r="D1" s="888" t="s">
        <v>229</v>
      </c>
      <c r="E1" s="1013" t="s">
        <v>196</v>
      </c>
      <c r="F1" s="1007" t="s">
        <v>197</v>
      </c>
      <c r="G1" s="1010" t="s">
        <v>199</v>
      </c>
    </row>
    <row r="2" spans="1:10" x14ac:dyDescent="0.3">
      <c r="A2" s="993"/>
      <c r="B2" s="888"/>
      <c r="C2" s="888"/>
      <c r="D2" s="888"/>
      <c r="E2" s="1014"/>
      <c r="F2" s="1008"/>
      <c r="G2" s="1011"/>
      <c r="J2" s="335"/>
    </row>
    <row r="3" spans="1:10" ht="27.6" customHeight="1" x14ac:dyDescent="0.3">
      <c r="A3" s="993"/>
      <c r="B3" s="888"/>
      <c r="C3" s="888"/>
      <c r="D3" s="888"/>
      <c r="E3" s="1015"/>
      <c r="F3" s="1009"/>
      <c r="G3" s="1012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5"/>
    </row>
    <row r="5" spans="1:10" ht="15" customHeight="1" x14ac:dyDescent="0.3">
      <c r="A5" s="992" t="s">
        <v>1331</v>
      </c>
      <c r="B5" s="992"/>
      <c r="C5" s="992"/>
      <c r="D5" s="992"/>
      <c r="E5" s="130"/>
      <c r="F5" s="130"/>
      <c r="G5" s="130"/>
    </row>
    <row r="6" spans="1:10" x14ac:dyDescent="0.3">
      <c r="A6" s="260"/>
      <c r="B6" s="260" t="s">
        <v>1268</v>
      </c>
      <c r="C6" s="260"/>
      <c r="D6" s="260"/>
      <c r="E6" s="96"/>
      <c r="F6" s="96"/>
      <c r="G6" s="96"/>
    </row>
    <row r="7" spans="1:10" x14ac:dyDescent="0.3">
      <c r="A7" s="114">
        <v>1</v>
      </c>
      <c r="B7" s="67" t="s">
        <v>1267</v>
      </c>
      <c r="C7" s="119" t="s">
        <v>220</v>
      </c>
      <c r="D7" s="1020">
        <v>1</v>
      </c>
      <c r="E7" s="277">
        <v>47942.244000000006</v>
      </c>
      <c r="F7" s="270">
        <f>ROUND(E7*D7,2)</f>
        <v>47942.239999999998</v>
      </c>
      <c r="G7" s="270">
        <f>ROUND(F7*1.2,2)</f>
        <v>57530.69</v>
      </c>
    </row>
    <row r="8" spans="1:10" x14ac:dyDescent="0.3">
      <c r="A8" s="278"/>
      <c r="B8" s="278" t="s">
        <v>1269</v>
      </c>
      <c r="C8" s="278"/>
      <c r="D8" s="1021"/>
      <c r="E8" s="277">
        <v>0</v>
      </c>
      <c r="F8" s="93"/>
      <c r="G8" s="93"/>
    </row>
    <row r="9" spans="1:10" x14ac:dyDescent="0.3">
      <c r="A9" s="114">
        <f>A7+1</f>
        <v>2</v>
      </c>
      <c r="B9" s="67" t="s">
        <v>1297</v>
      </c>
      <c r="C9" s="119" t="s">
        <v>194</v>
      </c>
      <c r="D9" s="1020">
        <v>85</v>
      </c>
      <c r="E9" s="277">
        <v>8750.7483000000011</v>
      </c>
      <c r="F9" s="270">
        <f t="shared" ref="F9:F22" si="0">ROUND(E9*D9,2)</f>
        <v>743813.61</v>
      </c>
      <c r="G9" s="270">
        <f t="shared" ref="G9:G31" si="1">ROUND(F9*1.2,2)</f>
        <v>892576.33</v>
      </c>
    </row>
    <row r="10" spans="1:10" x14ac:dyDescent="0.3">
      <c r="A10" s="114">
        <f>A9+1</f>
        <v>3</v>
      </c>
      <c r="B10" s="67" t="s">
        <v>1298</v>
      </c>
      <c r="C10" s="119" t="s">
        <v>194</v>
      </c>
      <c r="D10" s="1022">
        <v>432.9</v>
      </c>
      <c r="E10" s="277">
        <v>1902.2245200000002</v>
      </c>
      <c r="F10" s="270">
        <f t="shared" si="0"/>
        <v>823472.99</v>
      </c>
      <c r="G10" s="270">
        <f t="shared" si="1"/>
        <v>988167.59</v>
      </c>
    </row>
    <row r="11" spans="1:10" x14ac:dyDescent="0.3">
      <c r="A11" s="114">
        <f>A10+1</f>
        <v>4</v>
      </c>
      <c r="B11" s="126" t="s">
        <v>1270</v>
      </c>
      <c r="C11" s="119" t="s">
        <v>194</v>
      </c>
      <c r="D11" s="1020">
        <v>3</v>
      </c>
      <c r="E11" s="277">
        <v>8960.8178100000005</v>
      </c>
      <c r="F11" s="270">
        <f t="shared" si="0"/>
        <v>26882.45</v>
      </c>
      <c r="G11" s="270">
        <f t="shared" si="1"/>
        <v>32258.94</v>
      </c>
    </row>
    <row r="12" spans="1:10" x14ac:dyDescent="0.3">
      <c r="A12" s="114">
        <f>A11+1</f>
        <v>5</v>
      </c>
      <c r="B12" s="134" t="s">
        <v>1299</v>
      </c>
      <c r="C12" s="119" t="s">
        <v>220</v>
      </c>
      <c r="D12" s="279">
        <v>1</v>
      </c>
      <c r="E12" s="277">
        <v>4124.0640000000003</v>
      </c>
      <c r="F12" s="270">
        <f t="shared" si="0"/>
        <v>4124.0600000000004</v>
      </c>
      <c r="G12" s="270">
        <f t="shared" si="1"/>
        <v>4948.87</v>
      </c>
    </row>
    <row r="13" spans="1:10" x14ac:dyDescent="0.3">
      <c r="A13" s="114">
        <f t="shared" ref="A13:A15" si="2">A12+1</f>
        <v>6</v>
      </c>
      <c r="B13" s="134" t="s">
        <v>1271</v>
      </c>
      <c r="C13" s="119" t="s">
        <v>220</v>
      </c>
      <c r="D13" s="279">
        <v>1</v>
      </c>
      <c r="E13" s="277">
        <v>3350.8020000000006</v>
      </c>
      <c r="F13" s="270">
        <f t="shared" si="0"/>
        <v>3350.8</v>
      </c>
      <c r="G13" s="270">
        <f t="shared" si="1"/>
        <v>4020.96</v>
      </c>
    </row>
    <row r="14" spans="1:10" x14ac:dyDescent="0.3">
      <c r="A14" s="114">
        <f t="shared" si="2"/>
        <v>7</v>
      </c>
      <c r="B14" s="126" t="s">
        <v>1300</v>
      </c>
      <c r="C14" s="119" t="s">
        <v>220</v>
      </c>
      <c r="D14" s="1020">
        <v>2</v>
      </c>
      <c r="E14" s="277">
        <v>7429.7590500000006</v>
      </c>
      <c r="F14" s="270">
        <f t="shared" si="0"/>
        <v>14859.52</v>
      </c>
      <c r="G14" s="270">
        <f t="shared" si="1"/>
        <v>17831.419999999998</v>
      </c>
    </row>
    <row r="15" spans="1:10" x14ac:dyDescent="0.3">
      <c r="A15" s="114">
        <f t="shared" si="2"/>
        <v>8</v>
      </c>
      <c r="B15" s="126" t="s">
        <v>1301</v>
      </c>
      <c r="C15" s="119" t="s">
        <v>220</v>
      </c>
      <c r="D15" s="1020">
        <v>2</v>
      </c>
      <c r="E15" s="277">
        <v>7217.1120000000001</v>
      </c>
      <c r="F15" s="270">
        <f t="shared" si="0"/>
        <v>14434.22</v>
      </c>
      <c r="G15" s="270">
        <f t="shared" si="1"/>
        <v>17321.060000000001</v>
      </c>
    </row>
    <row r="16" spans="1:10" x14ac:dyDescent="0.3">
      <c r="A16" s="114">
        <f t="shared" ref="A16" si="3">A14+1</f>
        <v>8</v>
      </c>
      <c r="B16" s="280" t="s">
        <v>1302</v>
      </c>
      <c r="C16" s="119" t="s">
        <v>220</v>
      </c>
      <c r="D16" s="1020">
        <v>72</v>
      </c>
      <c r="E16" s="277">
        <v>4020.9624000000003</v>
      </c>
      <c r="F16" s="270">
        <f t="shared" si="0"/>
        <v>289509.28999999998</v>
      </c>
      <c r="G16" s="270">
        <f t="shared" si="1"/>
        <v>347411.15</v>
      </c>
    </row>
    <row r="17" spans="1:7" x14ac:dyDescent="0.3">
      <c r="A17" s="114">
        <f t="shared" ref="A17:A31" si="4">A16+1</f>
        <v>9</v>
      </c>
      <c r="B17" s="280" t="s">
        <v>1303</v>
      </c>
      <c r="C17" s="119" t="s">
        <v>220</v>
      </c>
      <c r="D17" s="1020">
        <v>15</v>
      </c>
      <c r="E17" s="277">
        <v>11856.684000000001</v>
      </c>
      <c r="F17" s="270">
        <f t="shared" si="0"/>
        <v>177850.26</v>
      </c>
      <c r="G17" s="270">
        <f t="shared" si="1"/>
        <v>213420.31</v>
      </c>
    </row>
    <row r="18" spans="1:7" x14ac:dyDescent="0.3">
      <c r="A18" s="114">
        <f t="shared" si="4"/>
        <v>10</v>
      </c>
      <c r="B18" s="280" t="s">
        <v>1272</v>
      </c>
      <c r="C18" s="119" t="s">
        <v>220</v>
      </c>
      <c r="D18" s="1020">
        <v>32</v>
      </c>
      <c r="E18" s="277">
        <v>1933.155</v>
      </c>
      <c r="F18" s="270">
        <f t="shared" si="0"/>
        <v>61860.959999999999</v>
      </c>
      <c r="G18" s="270">
        <f t="shared" si="1"/>
        <v>74233.149999999994</v>
      </c>
    </row>
    <row r="19" spans="1:7" x14ac:dyDescent="0.3">
      <c r="A19" s="114">
        <f t="shared" si="4"/>
        <v>11</v>
      </c>
      <c r="B19" s="280" t="s">
        <v>1273</v>
      </c>
      <c r="C19" s="119" t="s">
        <v>194</v>
      </c>
      <c r="D19" s="1020">
        <v>427.9</v>
      </c>
      <c r="E19" s="277">
        <v>24.873261000000003</v>
      </c>
      <c r="F19" s="270">
        <f t="shared" si="0"/>
        <v>10643.27</v>
      </c>
      <c r="G19" s="270">
        <f t="shared" si="1"/>
        <v>12771.92</v>
      </c>
    </row>
    <row r="20" spans="1:7" x14ac:dyDescent="0.3">
      <c r="A20" s="114">
        <f t="shared" si="4"/>
        <v>12</v>
      </c>
      <c r="B20" s="280" t="s">
        <v>1274</v>
      </c>
      <c r="C20" s="119" t="s">
        <v>194</v>
      </c>
      <c r="D20" s="1020">
        <v>560</v>
      </c>
      <c r="E20" s="277">
        <v>140.47593000000001</v>
      </c>
      <c r="F20" s="270">
        <f t="shared" si="0"/>
        <v>78666.52</v>
      </c>
      <c r="G20" s="270">
        <f t="shared" si="1"/>
        <v>94399.82</v>
      </c>
    </row>
    <row r="21" spans="1:7" x14ac:dyDescent="0.3">
      <c r="A21" s="114">
        <f t="shared" si="4"/>
        <v>13</v>
      </c>
      <c r="B21" s="280" t="s">
        <v>1278</v>
      </c>
      <c r="C21" s="119" t="s">
        <v>220</v>
      </c>
      <c r="D21" s="1020">
        <v>6</v>
      </c>
      <c r="E21" s="277">
        <v>2964.1710000000003</v>
      </c>
      <c r="F21" s="270">
        <f t="shared" si="0"/>
        <v>17785.03</v>
      </c>
      <c r="G21" s="270">
        <f t="shared" si="1"/>
        <v>21342.04</v>
      </c>
    </row>
    <row r="22" spans="1:7" x14ac:dyDescent="0.3">
      <c r="A22" s="114">
        <f t="shared" si="4"/>
        <v>14</v>
      </c>
      <c r="B22" s="280" t="s">
        <v>1279</v>
      </c>
      <c r="C22" s="119" t="s">
        <v>1283</v>
      </c>
      <c r="D22" s="1020">
        <v>327</v>
      </c>
      <c r="E22" s="277">
        <v>244.86630000000002</v>
      </c>
      <c r="F22" s="270">
        <f t="shared" si="0"/>
        <v>80071.28</v>
      </c>
      <c r="G22" s="270">
        <f t="shared" si="1"/>
        <v>96085.54</v>
      </c>
    </row>
    <row r="23" spans="1:7" x14ac:dyDescent="0.3">
      <c r="A23" s="278"/>
      <c r="B23" s="278" t="s">
        <v>1340</v>
      </c>
      <c r="C23" s="278"/>
      <c r="D23" s="1021"/>
      <c r="E23" s="277">
        <v>0</v>
      </c>
      <c r="F23" s="93"/>
      <c r="G23" s="93"/>
    </row>
    <row r="24" spans="1:7" x14ac:dyDescent="0.3">
      <c r="A24" s="114">
        <f>A22+1</f>
        <v>15</v>
      </c>
      <c r="B24" s="280" t="s">
        <v>1304</v>
      </c>
      <c r="C24" s="119" t="s">
        <v>194</v>
      </c>
      <c r="D24" s="1020">
        <v>8</v>
      </c>
      <c r="E24" s="277">
        <v>170.11764000000002</v>
      </c>
      <c r="F24" s="270">
        <f t="shared" ref="F24:F31" si="5">ROUND(E24*D24,2)</f>
        <v>1360.94</v>
      </c>
      <c r="G24" s="270">
        <f t="shared" si="1"/>
        <v>1633.13</v>
      </c>
    </row>
    <row r="25" spans="1:7" x14ac:dyDescent="0.3">
      <c r="A25" s="114">
        <f t="shared" si="4"/>
        <v>16</v>
      </c>
      <c r="B25" s="280" t="s">
        <v>1339</v>
      </c>
      <c r="C25" s="119" t="s">
        <v>220</v>
      </c>
      <c r="D25" s="1020">
        <v>3</v>
      </c>
      <c r="E25" s="277">
        <v>11856.684000000001</v>
      </c>
      <c r="F25" s="270">
        <f t="shared" si="5"/>
        <v>35570.050000000003</v>
      </c>
      <c r="G25" s="270">
        <f t="shared" si="1"/>
        <v>42684.06</v>
      </c>
    </row>
    <row r="26" spans="1:7" x14ac:dyDescent="0.3">
      <c r="A26" s="114">
        <f t="shared" si="4"/>
        <v>17</v>
      </c>
      <c r="B26" s="280" t="s">
        <v>1275</v>
      </c>
      <c r="C26" s="119" t="s">
        <v>220</v>
      </c>
      <c r="D26" s="1020">
        <v>3</v>
      </c>
      <c r="E26" s="277">
        <v>840.27804000000003</v>
      </c>
      <c r="F26" s="270">
        <f t="shared" si="5"/>
        <v>2520.83</v>
      </c>
      <c r="G26" s="270">
        <f t="shared" si="1"/>
        <v>3025</v>
      </c>
    </row>
    <row r="27" spans="1:7" x14ac:dyDescent="0.3">
      <c r="A27" s="114">
        <f t="shared" si="4"/>
        <v>18</v>
      </c>
      <c r="B27" s="280" t="s">
        <v>1282</v>
      </c>
      <c r="C27" s="119" t="s">
        <v>220</v>
      </c>
      <c r="D27" s="1020">
        <v>6</v>
      </c>
      <c r="E27" s="277">
        <v>554.17110000000002</v>
      </c>
      <c r="F27" s="270">
        <f t="shared" si="5"/>
        <v>3325.03</v>
      </c>
      <c r="G27" s="270">
        <f t="shared" si="1"/>
        <v>3990.04</v>
      </c>
    </row>
    <row r="28" spans="1:7" x14ac:dyDescent="0.3">
      <c r="A28" s="114">
        <f t="shared" si="4"/>
        <v>19</v>
      </c>
      <c r="B28" s="280" t="s">
        <v>1281</v>
      </c>
      <c r="C28" s="119" t="s">
        <v>220</v>
      </c>
      <c r="D28" s="1020">
        <v>3</v>
      </c>
      <c r="E28" s="277">
        <v>82.481280000000012</v>
      </c>
      <c r="F28" s="270">
        <f t="shared" si="5"/>
        <v>247.44</v>
      </c>
      <c r="G28" s="270">
        <f t="shared" si="1"/>
        <v>296.93</v>
      </c>
    </row>
    <row r="29" spans="1:7" x14ac:dyDescent="0.3">
      <c r="A29" s="114">
        <f t="shared" si="4"/>
        <v>20</v>
      </c>
      <c r="B29" s="280" t="s">
        <v>1280</v>
      </c>
      <c r="C29" s="119" t="s">
        <v>220</v>
      </c>
      <c r="D29" s="1020">
        <v>3</v>
      </c>
      <c r="E29" s="277">
        <v>229.40106</v>
      </c>
      <c r="F29" s="270">
        <f t="shared" si="5"/>
        <v>688.2</v>
      </c>
      <c r="G29" s="270">
        <f t="shared" si="1"/>
        <v>825.84</v>
      </c>
    </row>
    <row r="30" spans="1:7" x14ac:dyDescent="0.3">
      <c r="A30" s="114">
        <f t="shared" si="4"/>
        <v>21</v>
      </c>
      <c r="B30" s="280" t="s">
        <v>1276</v>
      </c>
      <c r="C30" s="119" t="s">
        <v>220</v>
      </c>
      <c r="D30" s="1020">
        <v>3</v>
      </c>
      <c r="E30" s="277">
        <v>170.11764000000002</v>
      </c>
      <c r="F30" s="270">
        <f t="shared" si="5"/>
        <v>510.35</v>
      </c>
      <c r="G30" s="270">
        <f t="shared" si="1"/>
        <v>612.41999999999996</v>
      </c>
    </row>
    <row r="31" spans="1:7" x14ac:dyDescent="0.3">
      <c r="A31" s="114">
        <f t="shared" si="4"/>
        <v>22</v>
      </c>
      <c r="B31" s="280" t="s">
        <v>1277</v>
      </c>
      <c r="C31" s="119" t="s">
        <v>220</v>
      </c>
      <c r="D31" s="1020">
        <v>3</v>
      </c>
      <c r="E31" s="277">
        <v>128.87700000000001</v>
      </c>
      <c r="F31" s="270">
        <f t="shared" si="5"/>
        <v>386.63</v>
      </c>
      <c r="G31" s="270">
        <f t="shared" si="1"/>
        <v>463.96</v>
      </c>
    </row>
    <row r="32" spans="1:7" s="1" customFormat="1" ht="18.75" customHeight="1" x14ac:dyDescent="0.3">
      <c r="A32" s="97"/>
      <c r="B32" s="1000" t="s">
        <v>721</v>
      </c>
      <c r="C32" s="1001"/>
      <c r="D32" s="1001"/>
      <c r="E32" s="1002"/>
      <c r="F32" s="106">
        <f>SUM(F7:F31)</f>
        <v>2439875.9699999993</v>
      </c>
      <c r="G32" s="106">
        <f>SUM(G7:G31)</f>
        <v>2927851.1699999995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topLeftCell="A97" zoomScaleNormal="100" zoomScaleSheetLayoutView="80" workbookViewId="0">
      <selection activeCell="B25" sqref="B25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441</v>
      </c>
      <c r="F1" s="970" t="s">
        <v>433</v>
      </c>
      <c r="G1" s="968" t="s">
        <v>409</v>
      </c>
    </row>
    <row r="2" spans="1:10" ht="14.55" customHeight="1" x14ac:dyDescent="0.3">
      <c r="A2" s="964"/>
      <c r="B2" s="966"/>
      <c r="C2" s="954"/>
      <c r="D2" s="954"/>
      <c r="E2" s="972"/>
      <c r="F2" s="970"/>
      <c r="G2" s="968"/>
      <c r="J2" s="335"/>
    </row>
    <row r="3" spans="1:10" ht="31.8" customHeight="1" x14ac:dyDescent="0.3">
      <c r="A3" s="935"/>
      <c r="B3" s="967"/>
      <c r="C3" s="954"/>
      <c r="D3" s="954"/>
      <c r="E3" s="973"/>
      <c r="F3" s="971"/>
      <c r="G3" s="969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5"/>
    </row>
    <row r="5" spans="1:10" ht="20.25" customHeight="1" x14ac:dyDescent="0.3">
      <c r="A5" s="169"/>
      <c r="B5" s="957" t="s">
        <v>1509</v>
      </c>
      <c r="C5" s="958"/>
      <c r="D5" s="958"/>
      <c r="E5" s="170"/>
      <c r="F5" s="171"/>
      <c r="G5" s="171"/>
      <c r="H5" s="286">
        <f>SUM(G7:G54)</f>
        <v>6629349.4099999992</v>
      </c>
    </row>
    <row r="6" spans="1:10" ht="27.6" x14ac:dyDescent="0.3">
      <c r="A6" s="236"/>
      <c r="B6" s="337" t="s">
        <v>1510</v>
      </c>
      <c r="C6" s="352"/>
      <c r="D6" s="352"/>
      <c r="E6" s="353"/>
      <c r="F6" s="354"/>
      <c r="G6" s="338"/>
    </row>
    <row r="7" spans="1:10" ht="15.6" x14ac:dyDescent="0.3">
      <c r="A7" s="66"/>
      <c r="B7" s="355" t="s">
        <v>1511</v>
      </c>
      <c r="C7" s="102"/>
      <c r="D7" s="288"/>
      <c r="E7" s="271"/>
      <c r="F7" s="270"/>
      <c r="G7" s="270"/>
    </row>
    <row r="8" spans="1:10" ht="15.6" x14ac:dyDescent="0.3">
      <c r="A8" s="66">
        <v>1</v>
      </c>
      <c r="B8" s="356" t="s">
        <v>1613</v>
      </c>
      <c r="C8" s="102" t="s">
        <v>431</v>
      </c>
      <c r="D8" s="288">
        <v>280</v>
      </c>
      <c r="E8" s="271">
        <v>1132.9248772799999</v>
      </c>
      <c r="F8" s="270">
        <f t="shared" ref="F8:F15" si="0">ROUND(E8*D8,2)</f>
        <v>317218.96999999997</v>
      </c>
      <c r="G8" s="270">
        <f t="shared" ref="G8:G15" si="1">ROUND(F8*1.2,2)</f>
        <v>380662.76</v>
      </c>
    </row>
    <row r="9" spans="1:10" ht="15.6" x14ac:dyDescent="0.3">
      <c r="A9" s="520">
        <f>A8+1</f>
        <v>2</v>
      </c>
      <c r="B9" s="521" t="s">
        <v>1602</v>
      </c>
      <c r="C9" s="512" t="s">
        <v>193</v>
      </c>
      <c r="D9" s="515">
        <f>47.98/1.6</f>
        <v>29.987499999999997</v>
      </c>
      <c r="E9" s="516">
        <v>1350</v>
      </c>
      <c r="F9" s="511">
        <f t="shared" si="0"/>
        <v>40483.129999999997</v>
      </c>
      <c r="G9" s="511">
        <f t="shared" ref="G9" si="2">ROUND(F9*1.2,2)</f>
        <v>48579.76</v>
      </c>
    </row>
    <row r="10" spans="1:10" ht="15.6" x14ac:dyDescent="0.3">
      <c r="A10" s="236">
        <f>A9+1</f>
        <v>3</v>
      </c>
      <c r="B10" s="287" t="s">
        <v>1512</v>
      </c>
      <c r="C10" s="102" t="s">
        <v>193</v>
      </c>
      <c r="D10" s="288">
        <v>259.2</v>
      </c>
      <c r="E10" s="271">
        <v>464.82929999999999</v>
      </c>
      <c r="F10" s="270">
        <f t="shared" si="0"/>
        <v>120483.75</v>
      </c>
      <c r="G10" s="270">
        <f t="shared" si="1"/>
        <v>144580.5</v>
      </c>
    </row>
    <row r="11" spans="1:10" ht="15.6" x14ac:dyDescent="0.3">
      <c r="A11" s="66">
        <f>A10+1</f>
        <v>4</v>
      </c>
      <c r="B11" s="287" t="s">
        <v>444</v>
      </c>
      <c r="C11" s="102" t="s">
        <v>193</v>
      </c>
      <c r="D11" s="288">
        <v>4.54</v>
      </c>
      <c r="E11" s="271">
        <v>2541.5435879999995</v>
      </c>
      <c r="F11" s="270">
        <f t="shared" si="0"/>
        <v>11538.61</v>
      </c>
      <c r="G11" s="270">
        <f t="shared" si="1"/>
        <v>13846.33</v>
      </c>
    </row>
    <row r="12" spans="1:10" ht="15.6" x14ac:dyDescent="0.3">
      <c r="A12" s="66">
        <f t="shared" ref="A12:A15" si="3">A11+1</f>
        <v>5</v>
      </c>
      <c r="B12" s="287" t="s">
        <v>518</v>
      </c>
      <c r="C12" s="102" t="s">
        <v>239</v>
      </c>
      <c r="D12" s="336">
        <v>34.799999999999997</v>
      </c>
      <c r="E12" s="271">
        <v>464.82929999999999</v>
      </c>
      <c r="F12" s="270">
        <f t="shared" si="0"/>
        <v>16176.06</v>
      </c>
      <c r="G12" s="270">
        <f t="shared" si="1"/>
        <v>19411.27</v>
      </c>
    </row>
    <row r="13" spans="1:10" ht="15.6" x14ac:dyDescent="0.3">
      <c r="A13" s="507">
        <f t="shared" si="3"/>
        <v>6</v>
      </c>
      <c r="B13" s="514" t="s">
        <v>503</v>
      </c>
      <c r="C13" s="512" t="s">
        <v>193</v>
      </c>
      <c r="D13" s="517">
        <f>34.8/1.6</f>
        <v>21.749999999999996</v>
      </c>
      <c r="E13" s="516">
        <v>1350</v>
      </c>
      <c r="F13" s="511">
        <f t="shared" si="0"/>
        <v>29362.5</v>
      </c>
      <c r="G13" s="511">
        <f t="shared" si="1"/>
        <v>35235</v>
      </c>
    </row>
    <row r="14" spans="1:10" ht="15.6" x14ac:dyDescent="0.3">
      <c r="A14" s="66">
        <f t="shared" si="3"/>
        <v>7</v>
      </c>
      <c r="B14" s="287" t="s">
        <v>537</v>
      </c>
      <c r="C14" s="357" t="s">
        <v>193</v>
      </c>
      <c r="D14" s="288">
        <v>193.6</v>
      </c>
      <c r="E14" s="271">
        <v>464.82929999999999</v>
      </c>
      <c r="F14" s="270">
        <f t="shared" si="0"/>
        <v>89990.95</v>
      </c>
      <c r="G14" s="270">
        <f t="shared" si="1"/>
        <v>107989.14</v>
      </c>
    </row>
    <row r="15" spans="1:10" ht="15.6" x14ac:dyDescent="0.3">
      <c r="A15" s="66">
        <f t="shared" si="3"/>
        <v>8</v>
      </c>
      <c r="B15" s="287" t="s">
        <v>696</v>
      </c>
      <c r="C15" s="102" t="s">
        <v>193</v>
      </c>
      <c r="D15" s="288">
        <v>48.4</v>
      </c>
      <c r="E15" s="271">
        <v>1285.789356</v>
      </c>
      <c r="F15" s="270">
        <f t="shared" si="0"/>
        <v>62232.2</v>
      </c>
      <c r="G15" s="270">
        <f t="shared" si="1"/>
        <v>74678.64</v>
      </c>
    </row>
    <row r="16" spans="1:10" ht="15.6" x14ac:dyDescent="0.3">
      <c r="A16" s="66"/>
      <c r="B16" s="355" t="s">
        <v>1345</v>
      </c>
      <c r="C16" s="102"/>
      <c r="D16" s="358"/>
      <c r="E16" s="271">
        <v>0</v>
      </c>
      <c r="F16" s="270"/>
      <c r="G16" s="270"/>
    </row>
    <row r="17" spans="1:7" ht="27.6" x14ac:dyDescent="0.3">
      <c r="A17" s="236">
        <f>A15+1</f>
        <v>9</v>
      </c>
      <c r="B17" s="287" t="s">
        <v>1513</v>
      </c>
      <c r="C17" s="102" t="s">
        <v>193</v>
      </c>
      <c r="D17" s="288">
        <v>21.2</v>
      </c>
      <c r="E17" s="271">
        <v>12458.855484</v>
      </c>
      <c r="F17" s="270">
        <f>ROUND(E17*D17,2)</f>
        <v>264127.74</v>
      </c>
      <c r="G17" s="270">
        <f t="shared" ref="G17:G21" si="4">ROUND(F17*1.2,2)</f>
        <v>316953.28999999998</v>
      </c>
    </row>
    <row r="18" spans="1:7" ht="27.6" x14ac:dyDescent="0.3">
      <c r="A18" s="66">
        <f>A17+1</f>
        <v>10</v>
      </c>
      <c r="B18" s="287" t="s">
        <v>1514</v>
      </c>
      <c r="C18" s="102" t="s">
        <v>193</v>
      </c>
      <c r="D18" s="288">
        <v>4.05</v>
      </c>
      <c r="E18" s="271">
        <v>3970.3573439999996</v>
      </c>
      <c r="F18" s="270">
        <f>ROUND(E18*D18,2)</f>
        <v>16079.95</v>
      </c>
      <c r="G18" s="270">
        <f t="shared" si="4"/>
        <v>19295.939999999999</v>
      </c>
    </row>
    <row r="19" spans="1:7" ht="27.6" x14ac:dyDescent="0.3">
      <c r="A19" s="66">
        <f t="shared" ref="A19:A21" si="5">A18+1</f>
        <v>11</v>
      </c>
      <c r="B19" s="287" t="s">
        <v>1515</v>
      </c>
      <c r="C19" s="102" t="s">
        <v>1516</v>
      </c>
      <c r="D19" s="288">
        <v>81.91</v>
      </c>
      <c r="E19" s="271">
        <v>1441.2535526511631</v>
      </c>
      <c r="F19" s="270">
        <f>ROUND(E19*D19,2)</f>
        <v>118053.08</v>
      </c>
      <c r="G19" s="270">
        <f t="shared" si="4"/>
        <v>141663.70000000001</v>
      </c>
    </row>
    <row r="20" spans="1:7" ht="27.6" x14ac:dyDescent="0.3">
      <c r="A20" s="66">
        <f t="shared" si="5"/>
        <v>12</v>
      </c>
      <c r="B20" s="287" t="s">
        <v>930</v>
      </c>
      <c r="C20" s="357" t="s">
        <v>431</v>
      </c>
      <c r="D20" s="288">
        <v>81.91</v>
      </c>
      <c r="E20" s="271">
        <v>217.397088</v>
      </c>
      <c r="F20" s="270">
        <f>ROUND(E20*D20,2)</f>
        <v>17807</v>
      </c>
      <c r="G20" s="270">
        <f t="shared" si="4"/>
        <v>21368.400000000001</v>
      </c>
    </row>
    <row r="21" spans="1:7" ht="27.6" x14ac:dyDescent="0.3">
      <c r="A21" s="66">
        <f t="shared" si="5"/>
        <v>13</v>
      </c>
      <c r="B21" s="287" t="s">
        <v>931</v>
      </c>
      <c r="C21" s="102" t="s">
        <v>431</v>
      </c>
      <c r="D21" s="288">
        <v>81.91</v>
      </c>
      <c r="E21" s="271">
        <v>451.29919176000004</v>
      </c>
      <c r="F21" s="270">
        <f>ROUND(E21*D21,2)</f>
        <v>36965.919999999998</v>
      </c>
      <c r="G21" s="270">
        <f t="shared" si="4"/>
        <v>44359.1</v>
      </c>
    </row>
    <row r="22" spans="1:7" ht="15.6" x14ac:dyDescent="0.3">
      <c r="A22" s="236"/>
      <c r="B22" s="355" t="s">
        <v>1517</v>
      </c>
      <c r="C22" s="102"/>
      <c r="D22" s="359"/>
      <c r="E22" s="271">
        <v>0</v>
      </c>
      <c r="F22" s="270"/>
      <c r="G22" s="270"/>
    </row>
    <row r="23" spans="1:7" ht="15.6" x14ac:dyDescent="0.3">
      <c r="A23" s="66">
        <f>A21+1</f>
        <v>14</v>
      </c>
      <c r="B23" s="287" t="s">
        <v>1518</v>
      </c>
      <c r="C23" s="102" t="s">
        <v>220</v>
      </c>
      <c r="D23" s="360">
        <v>2</v>
      </c>
      <c r="E23" s="271">
        <v>218418.28221599999</v>
      </c>
      <c r="F23" s="270">
        <f t="shared" ref="F23:F32" si="6">ROUND(E23*D23,2)</f>
        <v>436836.56</v>
      </c>
      <c r="G23" s="270">
        <f t="shared" ref="G23:G32" si="7">ROUND(F23*1.2,2)</f>
        <v>524203.87</v>
      </c>
    </row>
    <row r="24" spans="1:7" ht="18" customHeight="1" x14ac:dyDescent="0.3">
      <c r="A24" s="66">
        <f>A23+1</f>
        <v>15</v>
      </c>
      <c r="B24" s="287" t="s">
        <v>1519</v>
      </c>
      <c r="C24" s="102" t="s">
        <v>220</v>
      </c>
      <c r="D24" s="360">
        <v>2</v>
      </c>
      <c r="E24" s="271">
        <v>223364.06596799998</v>
      </c>
      <c r="F24" s="270">
        <f t="shared" si="6"/>
        <v>446728.13</v>
      </c>
      <c r="G24" s="270">
        <f t="shared" si="7"/>
        <v>536073.76</v>
      </c>
    </row>
    <row r="25" spans="1:7" ht="15.6" x14ac:dyDescent="0.3">
      <c r="A25" s="66">
        <f t="shared" ref="A25:A32" si="8">A24+1</f>
        <v>16</v>
      </c>
      <c r="B25" s="287" t="s">
        <v>1520</v>
      </c>
      <c r="C25" s="102" t="s">
        <v>220</v>
      </c>
      <c r="D25" s="360">
        <v>1</v>
      </c>
      <c r="E25" s="271">
        <v>278587.21705199999</v>
      </c>
      <c r="F25" s="270">
        <f t="shared" si="6"/>
        <v>278587.21999999997</v>
      </c>
      <c r="G25" s="270">
        <f t="shared" si="7"/>
        <v>334304.65999999997</v>
      </c>
    </row>
    <row r="26" spans="1:7" ht="27.6" x14ac:dyDescent="0.3">
      <c r="A26" s="66">
        <f t="shared" si="8"/>
        <v>17</v>
      </c>
      <c r="B26" s="287" t="s">
        <v>1521</v>
      </c>
      <c r="C26" s="102" t="s">
        <v>220</v>
      </c>
      <c r="D26" s="360">
        <v>1</v>
      </c>
      <c r="E26" s="271">
        <v>320773.69407599996</v>
      </c>
      <c r="F26" s="270">
        <f t="shared" si="6"/>
        <v>320773.69</v>
      </c>
      <c r="G26" s="270">
        <f t="shared" si="7"/>
        <v>384928.43</v>
      </c>
    </row>
    <row r="27" spans="1:7" ht="27.6" x14ac:dyDescent="0.3">
      <c r="A27" s="66">
        <f t="shared" si="8"/>
        <v>18</v>
      </c>
      <c r="B27" s="287" t="s">
        <v>1522</v>
      </c>
      <c r="C27" s="102" t="s">
        <v>220</v>
      </c>
      <c r="D27" s="360">
        <v>1</v>
      </c>
      <c r="E27" s="271">
        <v>195517.21528799998</v>
      </c>
      <c r="F27" s="270">
        <f t="shared" si="6"/>
        <v>195517.22</v>
      </c>
      <c r="G27" s="270">
        <f t="shared" si="7"/>
        <v>234620.66</v>
      </c>
    </row>
    <row r="28" spans="1:7" ht="15.6" x14ac:dyDescent="0.3">
      <c r="A28" s="66">
        <f t="shared" si="8"/>
        <v>19</v>
      </c>
      <c r="B28" s="287" t="s">
        <v>1523</v>
      </c>
      <c r="C28" s="102" t="s">
        <v>239</v>
      </c>
      <c r="D28" s="361">
        <v>0.379</v>
      </c>
      <c r="E28" s="271">
        <v>69281.925055408967</v>
      </c>
      <c r="F28" s="270">
        <f t="shared" si="6"/>
        <v>26257.85</v>
      </c>
      <c r="G28" s="270">
        <f t="shared" si="7"/>
        <v>31509.42</v>
      </c>
    </row>
    <row r="29" spans="1:7" ht="15.6" x14ac:dyDescent="0.3">
      <c r="A29" s="66">
        <f t="shared" si="8"/>
        <v>20</v>
      </c>
      <c r="B29" s="287" t="s">
        <v>1524</v>
      </c>
      <c r="C29" s="102" t="s">
        <v>220</v>
      </c>
      <c r="D29" s="360">
        <v>5</v>
      </c>
      <c r="E29" s="271">
        <v>7537.9579775999991</v>
      </c>
      <c r="F29" s="270">
        <f t="shared" si="6"/>
        <v>37689.79</v>
      </c>
      <c r="G29" s="270">
        <f t="shared" si="7"/>
        <v>45227.75</v>
      </c>
    </row>
    <row r="30" spans="1:7" ht="27.6" x14ac:dyDescent="0.3">
      <c r="A30" s="66">
        <f t="shared" si="8"/>
        <v>21</v>
      </c>
      <c r="B30" s="287" t="s">
        <v>547</v>
      </c>
      <c r="C30" s="102" t="s">
        <v>431</v>
      </c>
      <c r="D30" s="290">
        <v>37</v>
      </c>
      <c r="E30" s="271">
        <v>260.30440800000002</v>
      </c>
      <c r="F30" s="270">
        <f t="shared" si="6"/>
        <v>9631.26</v>
      </c>
      <c r="G30" s="270">
        <f t="shared" si="7"/>
        <v>11557.51</v>
      </c>
    </row>
    <row r="31" spans="1:7" ht="15.6" x14ac:dyDescent="0.3">
      <c r="A31" s="66">
        <f t="shared" si="8"/>
        <v>22</v>
      </c>
      <c r="B31" s="287" t="s">
        <v>548</v>
      </c>
      <c r="C31" s="102" t="s">
        <v>431</v>
      </c>
      <c r="D31" s="290">
        <v>37</v>
      </c>
      <c r="E31" s="271">
        <v>260.30440800000002</v>
      </c>
      <c r="F31" s="270">
        <f t="shared" si="6"/>
        <v>9631.26</v>
      </c>
      <c r="G31" s="270">
        <f t="shared" si="7"/>
        <v>11557.51</v>
      </c>
    </row>
    <row r="32" spans="1:7" ht="27.6" x14ac:dyDescent="0.3">
      <c r="A32" s="66">
        <f t="shared" si="8"/>
        <v>23</v>
      </c>
      <c r="B32" s="287" t="s">
        <v>930</v>
      </c>
      <c r="C32" s="102" t="s">
        <v>431</v>
      </c>
      <c r="D32" s="290">
        <v>37</v>
      </c>
      <c r="E32" s="271">
        <v>217.397088</v>
      </c>
      <c r="F32" s="270">
        <f t="shared" si="6"/>
        <v>8043.69</v>
      </c>
      <c r="G32" s="270">
        <f t="shared" si="7"/>
        <v>9652.43</v>
      </c>
    </row>
    <row r="33" spans="1:7" ht="27.6" x14ac:dyDescent="0.3">
      <c r="A33" s="66"/>
      <c r="B33" s="355" t="s">
        <v>1525</v>
      </c>
      <c r="C33" s="102"/>
      <c r="D33" s="288"/>
      <c r="E33" s="271">
        <v>0</v>
      </c>
      <c r="F33" s="270"/>
      <c r="G33" s="270"/>
    </row>
    <row r="34" spans="1:7" ht="18.75" customHeight="1" x14ac:dyDescent="0.3">
      <c r="A34" s="66"/>
      <c r="B34" s="337" t="s">
        <v>1526</v>
      </c>
      <c r="C34" s="102"/>
      <c r="D34" s="359"/>
      <c r="E34" s="271">
        <v>0</v>
      </c>
      <c r="F34" s="270"/>
      <c r="G34" s="270"/>
    </row>
    <row r="35" spans="1:7" ht="15.6" x14ac:dyDescent="0.3">
      <c r="A35" s="236">
        <f>A32+1</f>
        <v>24</v>
      </c>
      <c r="B35" s="287" t="s">
        <v>1613</v>
      </c>
      <c r="C35" s="102" t="s">
        <v>431</v>
      </c>
      <c r="D35" s="360">
        <v>280</v>
      </c>
      <c r="E35" s="271">
        <v>1132.9248772799999</v>
      </c>
      <c r="F35" s="270">
        <f t="shared" ref="F35:F42" si="9">ROUND(E35*D35,2)</f>
        <v>317218.96999999997</v>
      </c>
      <c r="G35" s="270">
        <f t="shared" ref="G35" si="10">ROUND(F35*1.2,2)</f>
        <v>380662.76</v>
      </c>
    </row>
    <row r="36" spans="1:7" ht="15.6" x14ac:dyDescent="0.3">
      <c r="A36" s="520">
        <f>A35+1</f>
        <v>25</v>
      </c>
      <c r="B36" s="521" t="s">
        <v>1602</v>
      </c>
      <c r="C36" s="512" t="s">
        <v>193</v>
      </c>
      <c r="D36" s="515">
        <f>47.98/1.6</f>
        <v>29.987499999999997</v>
      </c>
      <c r="E36" s="516">
        <v>1350</v>
      </c>
      <c r="F36" s="511">
        <f t="shared" si="9"/>
        <v>40483.129999999997</v>
      </c>
      <c r="G36" s="511">
        <f t="shared" ref="G36:G42" si="11">ROUND(F36*1.2,2)</f>
        <v>48579.76</v>
      </c>
    </row>
    <row r="37" spans="1:7" ht="15.6" x14ac:dyDescent="0.3">
      <c r="A37" s="236">
        <f>A35+1</f>
        <v>25</v>
      </c>
      <c r="B37" s="287" t="s">
        <v>1512</v>
      </c>
      <c r="C37" s="102" t="s">
        <v>193</v>
      </c>
      <c r="D37" s="362">
        <v>259.2</v>
      </c>
      <c r="E37" s="271">
        <v>464.82929999999999</v>
      </c>
      <c r="F37" s="270">
        <f t="shared" si="9"/>
        <v>120483.75</v>
      </c>
      <c r="G37" s="270">
        <f t="shared" si="11"/>
        <v>144580.5</v>
      </c>
    </row>
    <row r="38" spans="1:7" ht="15.6" x14ac:dyDescent="0.3">
      <c r="A38" s="236">
        <f t="shared" ref="A38:A42" si="12">A37+1</f>
        <v>26</v>
      </c>
      <c r="B38" s="287" t="s">
        <v>444</v>
      </c>
      <c r="C38" s="102" t="s">
        <v>193</v>
      </c>
      <c r="D38" s="363">
        <v>4.54</v>
      </c>
      <c r="E38" s="271">
        <v>2541.5435879999995</v>
      </c>
      <c r="F38" s="270">
        <f t="shared" si="9"/>
        <v>11538.61</v>
      </c>
      <c r="G38" s="270">
        <f t="shared" si="11"/>
        <v>13846.33</v>
      </c>
    </row>
    <row r="39" spans="1:7" ht="15.6" x14ac:dyDescent="0.3">
      <c r="A39" s="236">
        <f t="shared" si="12"/>
        <v>27</v>
      </c>
      <c r="B39" s="287" t="s">
        <v>518</v>
      </c>
      <c r="C39" s="102" t="s">
        <v>239</v>
      </c>
      <c r="D39" s="336">
        <v>34.799999999999997</v>
      </c>
      <c r="E39" s="271">
        <v>464.82929999999999</v>
      </c>
      <c r="F39" s="270">
        <f t="shared" si="9"/>
        <v>16176.06</v>
      </c>
      <c r="G39" s="270">
        <f t="shared" si="11"/>
        <v>19411.27</v>
      </c>
    </row>
    <row r="40" spans="1:7" ht="15.6" x14ac:dyDescent="0.3">
      <c r="A40" s="520">
        <f t="shared" si="12"/>
        <v>28</v>
      </c>
      <c r="B40" s="514" t="s">
        <v>503</v>
      </c>
      <c r="C40" s="512" t="s">
        <v>193</v>
      </c>
      <c r="D40" s="517">
        <f>34.8/1.6</f>
        <v>21.749999999999996</v>
      </c>
      <c r="E40" s="516">
        <v>1350</v>
      </c>
      <c r="F40" s="511">
        <f t="shared" si="9"/>
        <v>29362.5</v>
      </c>
      <c r="G40" s="511">
        <f t="shared" si="11"/>
        <v>35235</v>
      </c>
    </row>
    <row r="41" spans="1:7" ht="15.6" x14ac:dyDescent="0.3">
      <c r="A41" s="236">
        <f t="shared" si="12"/>
        <v>29</v>
      </c>
      <c r="B41" s="287" t="s">
        <v>537</v>
      </c>
      <c r="C41" s="102" t="s">
        <v>193</v>
      </c>
      <c r="D41" s="363">
        <v>228.41</v>
      </c>
      <c r="E41" s="271">
        <v>464.82929999999999</v>
      </c>
      <c r="F41" s="270">
        <f t="shared" si="9"/>
        <v>106171.66</v>
      </c>
      <c r="G41" s="270">
        <f t="shared" si="11"/>
        <v>127405.99</v>
      </c>
    </row>
    <row r="42" spans="1:7" ht="15.6" x14ac:dyDescent="0.3">
      <c r="A42" s="236">
        <f t="shared" si="12"/>
        <v>30</v>
      </c>
      <c r="B42" s="287" t="s">
        <v>696</v>
      </c>
      <c r="C42" s="102" t="s">
        <v>193</v>
      </c>
      <c r="D42" s="362">
        <v>57.1</v>
      </c>
      <c r="E42" s="271">
        <v>1285.789356</v>
      </c>
      <c r="F42" s="270">
        <f t="shared" si="9"/>
        <v>73418.570000000007</v>
      </c>
      <c r="G42" s="270">
        <f t="shared" si="11"/>
        <v>88102.28</v>
      </c>
    </row>
    <row r="43" spans="1:7" ht="15.6" x14ac:dyDescent="0.3">
      <c r="A43" s="236"/>
      <c r="B43" s="355" t="s">
        <v>1527</v>
      </c>
      <c r="C43" s="102"/>
      <c r="D43" s="359"/>
      <c r="E43" s="271">
        <v>0</v>
      </c>
      <c r="F43" s="270"/>
      <c r="G43" s="270"/>
    </row>
    <row r="44" spans="1:7" ht="15.6" x14ac:dyDescent="0.3">
      <c r="A44" s="66">
        <f>A42+1</f>
        <v>31</v>
      </c>
      <c r="B44" s="287" t="s">
        <v>1528</v>
      </c>
      <c r="C44" s="102" t="s">
        <v>193</v>
      </c>
      <c r="D44" s="362">
        <v>21.2</v>
      </c>
      <c r="E44" s="271">
        <v>9592.6465079999998</v>
      </c>
      <c r="F44" s="270">
        <f>ROUND(E44*D44,2)</f>
        <v>203364.11</v>
      </c>
      <c r="G44" s="270">
        <f t="shared" ref="G44" si="13">ROUND(F44*1.2,2)</f>
        <v>244036.93</v>
      </c>
    </row>
    <row r="45" spans="1:7" ht="15.6" x14ac:dyDescent="0.3">
      <c r="A45" s="66"/>
      <c r="B45" s="355" t="s">
        <v>1529</v>
      </c>
      <c r="C45" s="102"/>
      <c r="D45" s="359"/>
      <c r="E45" s="271">
        <v>0</v>
      </c>
      <c r="F45" s="270"/>
      <c r="G45" s="270"/>
    </row>
    <row r="46" spans="1:7" ht="15.6" x14ac:dyDescent="0.3">
      <c r="A46" s="236">
        <f>A44+1</f>
        <v>32</v>
      </c>
      <c r="B46" s="287" t="s">
        <v>1530</v>
      </c>
      <c r="C46" s="102" t="s">
        <v>220</v>
      </c>
      <c r="D46" s="364" t="s">
        <v>586</v>
      </c>
      <c r="E46" s="271">
        <v>104872.6413</v>
      </c>
      <c r="F46" s="270">
        <f t="shared" ref="F46:F54" si="14">ROUND(E46*D46,2)</f>
        <v>419490.57</v>
      </c>
      <c r="G46" s="270">
        <f t="shared" ref="G46:G54" si="15">ROUND(F46*1.2,2)</f>
        <v>503388.68</v>
      </c>
    </row>
    <row r="47" spans="1:7" ht="27.6" x14ac:dyDescent="0.3">
      <c r="A47" s="66">
        <f>A46+1</f>
        <v>33</v>
      </c>
      <c r="B47" s="287" t="s">
        <v>1531</v>
      </c>
      <c r="C47" s="102" t="s">
        <v>220</v>
      </c>
      <c r="D47" s="364" t="s">
        <v>777</v>
      </c>
      <c r="E47" s="271">
        <v>12344.435963999998</v>
      </c>
      <c r="F47" s="270">
        <f t="shared" si="14"/>
        <v>74066.62</v>
      </c>
      <c r="G47" s="270">
        <f t="shared" si="15"/>
        <v>88879.94</v>
      </c>
    </row>
    <row r="48" spans="1:7" ht="15.6" x14ac:dyDescent="0.3">
      <c r="A48" s="66">
        <f t="shared" ref="A48:A54" si="16">A47+1</f>
        <v>34</v>
      </c>
      <c r="B48" s="287" t="s">
        <v>1532</v>
      </c>
      <c r="C48" s="102" t="s">
        <v>254</v>
      </c>
      <c r="D48" s="360">
        <v>1480</v>
      </c>
      <c r="E48" s="271">
        <v>47.222211527027035</v>
      </c>
      <c r="F48" s="270">
        <f t="shared" si="14"/>
        <v>69888.87</v>
      </c>
      <c r="G48" s="270">
        <f t="shared" si="15"/>
        <v>83866.64</v>
      </c>
    </row>
    <row r="49" spans="1:8" ht="15.6" x14ac:dyDescent="0.3">
      <c r="A49" s="66">
        <f t="shared" si="16"/>
        <v>35</v>
      </c>
      <c r="B49" s="287" t="s">
        <v>1533</v>
      </c>
      <c r="C49" s="102" t="s">
        <v>220</v>
      </c>
      <c r="D49" s="364" t="s">
        <v>758</v>
      </c>
      <c r="E49" s="271">
        <v>342088.62040799996</v>
      </c>
      <c r="F49" s="270">
        <f t="shared" si="14"/>
        <v>342088.62</v>
      </c>
      <c r="G49" s="270">
        <f t="shared" si="15"/>
        <v>410506.34</v>
      </c>
    </row>
    <row r="50" spans="1:8" ht="15.6" x14ac:dyDescent="0.3">
      <c r="A50" s="66">
        <f t="shared" si="16"/>
        <v>36</v>
      </c>
      <c r="B50" s="287" t="s">
        <v>1534</v>
      </c>
      <c r="C50" s="102" t="s">
        <v>220</v>
      </c>
      <c r="D50" s="364" t="s">
        <v>758</v>
      </c>
      <c r="E50" s="271">
        <v>361438.39148399996</v>
      </c>
      <c r="F50" s="270">
        <f t="shared" si="14"/>
        <v>361438.39</v>
      </c>
      <c r="G50" s="270">
        <f t="shared" si="15"/>
        <v>433726.07</v>
      </c>
    </row>
    <row r="51" spans="1:8" ht="15.6" x14ac:dyDescent="0.3">
      <c r="A51" s="66">
        <f t="shared" si="16"/>
        <v>37</v>
      </c>
      <c r="B51" s="287" t="s">
        <v>1535</v>
      </c>
      <c r="C51" s="102" t="s">
        <v>220</v>
      </c>
      <c r="D51" s="364" t="s">
        <v>758</v>
      </c>
      <c r="E51" s="271">
        <v>335859.90778800001</v>
      </c>
      <c r="F51" s="270">
        <f t="shared" si="14"/>
        <v>335859.91</v>
      </c>
      <c r="G51" s="270">
        <f t="shared" si="15"/>
        <v>403031.89</v>
      </c>
    </row>
    <row r="52" spans="1:8" ht="15.6" x14ac:dyDescent="0.3">
      <c r="A52" s="66">
        <f t="shared" si="16"/>
        <v>38</v>
      </c>
      <c r="B52" s="287" t="s">
        <v>1536</v>
      </c>
      <c r="C52" s="102" t="s">
        <v>220</v>
      </c>
      <c r="D52" s="364" t="s">
        <v>792</v>
      </c>
      <c r="E52" s="271">
        <v>5616.2106270000004</v>
      </c>
      <c r="F52" s="270">
        <f t="shared" si="14"/>
        <v>67394.53</v>
      </c>
      <c r="G52" s="270">
        <f t="shared" si="15"/>
        <v>80873.440000000002</v>
      </c>
    </row>
    <row r="53" spans="1:8" ht="15.6" x14ac:dyDescent="0.3">
      <c r="A53" s="66">
        <f t="shared" si="16"/>
        <v>39</v>
      </c>
      <c r="B53" s="287" t="s">
        <v>917</v>
      </c>
      <c r="C53" s="102" t="s">
        <v>239</v>
      </c>
      <c r="D53" s="336">
        <f>3.772+0.69+1.48+3.076+3.25+3.02+0.606</f>
        <v>15.894</v>
      </c>
      <c r="E53" s="271">
        <v>779.2823103057757</v>
      </c>
      <c r="F53" s="270">
        <f t="shared" si="14"/>
        <v>12385.91</v>
      </c>
      <c r="G53" s="270">
        <f t="shared" si="15"/>
        <v>14863.09</v>
      </c>
      <c r="H53" s="202" t="s">
        <v>1614</v>
      </c>
    </row>
    <row r="54" spans="1:8" ht="27.6" x14ac:dyDescent="0.3">
      <c r="A54" s="507">
        <f t="shared" si="16"/>
        <v>40</v>
      </c>
      <c r="B54" s="514" t="s">
        <v>1537</v>
      </c>
      <c r="C54" s="512" t="s">
        <v>193</v>
      </c>
      <c r="D54" s="517">
        <f>(3.772+0.69+1.48+3.076+3.25+3.02+0.606)/1.6</f>
        <v>9.9337499999999999</v>
      </c>
      <c r="E54" s="516">
        <v>1350</v>
      </c>
      <c r="F54" s="511">
        <f t="shared" si="14"/>
        <v>13410.56</v>
      </c>
      <c r="G54" s="511">
        <f t="shared" si="15"/>
        <v>16092.67</v>
      </c>
      <c r="H54" s="202" t="s">
        <v>1614</v>
      </c>
    </row>
    <row r="55" spans="1:8" ht="15.6" x14ac:dyDescent="0.3">
      <c r="A55" s="66"/>
      <c r="B55" s="365" t="s">
        <v>1538</v>
      </c>
      <c r="C55" s="366"/>
      <c r="D55" s="367"/>
      <c r="E55" s="271">
        <v>0</v>
      </c>
      <c r="F55" s="270"/>
      <c r="G55" s="289"/>
      <c r="H55" s="282">
        <f>SUM(G57:G99)</f>
        <v>2906556.8799999994</v>
      </c>
    </row>
    <row r="56" spans="1:8" ht="15.6" x14ac:dyDescent="0.3">
      <c r="A56" s="236"/>
      <c r="B56" s="368" t="s">
        <v>1539</v>
      </c>
      <c r="C56" s="366"/>
      <c r="D56" s="367"/>
      <c r="E56" s="271">
        <v>0</v>
      </c>
      <c r="F56" s="270"/>
      <c r="G56" s="270"/>
    </row>
    <row r="57" spans="1:8" ht="27.6" x14ac:dyDescent="0.3">
      <c r="A57" s="66">
        <f>A54+1</f>
        <v>41</v>
      </c>
      <c r="B57" s="287" t="s">
        <v>1540</v>
      </c>
      <c r="C57" s="102" t="s">
        <v>220</v>
      </c>
      <c r="D57" s="359">
        <v>3</v>
      </c>
      <c r="E57" s="271">
        <v>74560.049964000005</v>
      </c>
      <c r="F57" s="270">
        <f>ROUND(E57*D57,2)</f>
        <v>223680.15</v>
      </c>
      <c r="G57" s="270">
        <f t="shared" ref="G57" si="17">ROUND(F57*1.2,2)</f>
        <v>268416.18</v>
      </c>
    </row>
    <row r="58" spans="1:8" ht="15.6" x14ac:dyDescent="0.3">
      <c r="A58" s="66"/>
      <c r="B58" s="355" t="s">
        <v>513</v>
      </c>
      <c r="C58" s="102"/>
      <c r="D58" s="359"/>
      <c r="E58" s="271">
        <v>0</v>
      </c>
      <c r="F58" s="270"/>
      <c r="G58" s="270"/>
    </row>
    <row r="59" spans="1:8" ht="15.6" x14ac:dyDescent="0.3">
      <c r="A59" s="236">
        <f>A57+1</f>
        <v>42</v>
      </c>
      <c r="B59" s="287" t="s">
        <v>1512</v>
      </c>
      <c r="C59" s="102" t="s">
        <v>193</v>
      </c>
      <c r="D59" s="362">
        <v>259.2</v>
      </c>
      <c r="E59" s="271">
        <v>464.82929999999999</v>
      </c>
      <c r="F59" s="270">
        <f t="shared" ref="F59:F64" si="18">ROUND(E59*D59,2)</f>
        <v>120483.75</v>
      </c>
      <c r="G59" s="270">
        <f t="shared" ref="G59:G64" si="19">ROUND(F59*1.2,2)</f>
        <v>144580.5</v>
      </c>
    </row>
    <row r="60" spans="1:8" ht="15.6" x14ac:dyDescent="0.3">
      <c r="A60" s="66">
        <f>A59+1</f>
        <v>43</v>
      </c>
      <c r="B60" s="287" t="s">
        <v>444</v>
      </c>
      <c r="C60" s="102" t="s">
        <v>193</v>
      </c>
      <c r="D60" s="363">
        <v>11</v>
      </c>
      <c r="E60" s="271">
        <v>2541.5435879999995</v>
      </c>
      <c r="F60" s="270">
        <f t="shared" si="18"/>
        <v>27956.98</v>
      </c>
      <c r="G60" s="270">
        <f t="shared" si="19"/>
        <v>33548.379999999997</v>
      </c>
    </row>
    <row r="61" spans="1:8" ht="15.6" x14ac:dyDescent="0.3">
      <c r="A61" s="66">
        <f t="shared" ref="A61:A64" si="20">A60+1</f>
        <v>44</v>
      </c>
      <c r="B61" s="287" t="s">
        <v>518</v>
      </c>
      <c r="C61" s="102" t="s">
        <v>239</v>
      </c>
      <c r="D61" s="288">
        <v>16.32</v>
      </c>
      <c r="E61" s="271">
        <v>464.82929999999999</v>
      </c>
      <c r="F61" s="270">
        <f t="shared" si="18"/>
        <v>7586.01</v>
      </c>
      <c r="G61" s="270">
        <f t="shared" si="19"/>
        <v>9103.2099999999991</v>
      </c>
    </row>
    <row r="62" spans="1:8" ht="15.6" x14ac:dyDescent="0.3">
      <c r="A62" s="507">
        <f t="shared" si="20"/>
        <v>45</v>
      </c>
      <c r="B62" s="514" t="s">
        <v>503</v>
      </c>
      <c r="C62" s="512" t="s">
        <v>193</v>
      </c>
      <c r="D62" s="515">
        <f>16.32/1.6</f>
        <v>10.199999999999999</v>
      </c>
      <c r="E62" s="516">
        <v>1350</v>
      </c>
      <c r="F62" s="511">
        <f t="shared" si="18"/>
        <v>13770</v>
      </c>
      <c r="G62" s="511">
        <f t="shared" si="19"/>
        <v>16524</v>
      </c>
    </row>
    <row r="63" spans="1:8" ht="15.6" x14ac:dyDescent="0.3">
      <c r="A63" s="66">
        <f t="shared" si="20"/>
        <v>46</v>
      </c>
      <c r="B63" s="287" t="s">
        <v>537</v>
      </c>
      <c r="C63" s="102" t="s">
        <v>193</v>
      </c>
      <c r="D63" s="363">
        <v>521</v>
      </c>
      <c r="E63" s="271">
        <v>464.82929999999999</v>
      </c>
      <c r="F63" s="270">
        <f t="shared" si="18"/>
        <v>242176.07</v>
      </c>
      <c r="G63" s="270">
        <f t="shared" si="19"/>
        <v>290611.28000000003</v>
      </c>
    </row>
    <row r="64" spans="1:8" ht="15.6" x14ac:dyDescent="0.3">
      <c r="A64" s="66">
        <f t="shared" si="20"/>
        <v>47</v>
      </c>
      <c r="B64" s="287" t="s">
        <v>696</v>
      </c>
      <c r="C64" s="102" t="s">
        <v>193</v>
      </c>
      <c r="D64" s="362">
        <v>130.19999999999999</v>
      </c>
      <c r="E64" s="271">
        <v>1285.789356</v>
      </c>
      <c r="F64" s="270">
        <f t="shared" si="18"/>
        <v>167409.76999999999</v>
      </c>
      <c r="G64" s="270">
        <f t="shared" si="19"/>
        <v>200891.72</v>
      </c>
    </row>
    <row r="65" spans="1:8" ht="19.5" customHeight="1" x14ac:dyDescent="0.3">
      <c r="A65" s="66"/>
      <c r="B65" s="368" t="s">
        <v>1541</v>
      </c>
      <c r="C65" s="102"/>
      <c r="D65" s="359"/>
      <c r="E65" s="271">
        <v>0</v>
      </c>
      <c r="F65" s="270"/>
      <c r="G65" s="270"/>
    </row>
    <row r="66" spans="1:8" ht="27.6" x14ac:dyDescent="0.3">
      <c r="A66" s="66">
        <f>A64+1</f>
        <v>48</v>
      </c>
      <c r="B66" s="287" t="s">
        <v>1604</v>
      </c>
      <c r="C66" s="102" t="s">
        <v>220</v>
      </c>
      <c r="D66" s="360">
        <v>3</v>
      </c>
      <c r="E66" s="271">
        <v>97256.592000000004</v>
      </c>
      <c r="F66" s="270">
        <f>ROUND(E66*D66,2)</f>
        <v>291769.78000000003</v>
      </c>
      <c r="G66" s="270">
        <f t="shared" ref="G66" si="21">ROUND(F66*1.2,2)</f>
        <v>350123.74</v>
      </c>
    </row>
    <row r="67" spans="1:8" ht="21.75" customHeight="1" x14ac:dyDescent="0.3">
      <c r="A67" s="66"/>
      <c r="B67" s="368" t="s">
        <v>1542</v>
      </c>
      <c r="C67" s="102"/>
      <c r="D67" s="359"/>
      <c r="E67" s="271">
        <v>0</v>
      </c>
      <c r="F67" s="270"/>
      <c r="G67" s="270"/>
    </row>
    <row r="68" spans="1:8" ht="15.6" x14ac:dyDescent="0.3">
      <c r="A68" s="66"/>
      <c r="B68" s="368" t="s">
        <v>1543</v>
      </c>
      <c r="C68" s="102"/>
      <c r="D68" s="359"/>
      <c r="E68" s="271">
        <v>0</v>
      </c>
      <c r="F68" s="270"/>
      <c r="G68" s="270"/>
    </row>
    <row r="69" spans="1:8" ht="15.6" x14ac:dyDescent="0.3">
      <c r="A69" s="66">
        <f>A66+1</f>
        <v>49</v>
      </c>
      <c r="B69" s="287" t="s">
        <v>1603</v>
      </c>
      <c r="C69" s="102" t="s">
        <v>220</v>
      </c>
      <c r="D69" s="360">
        <v>1</v>
      </c>
      <c r="E69" s="271">
        <v>70111.991123999993</v>
      </c>
      <c r="F69" s="270">
        <f>ROUND(E69*D69,2)</f>
        <v>70111.990000000005</v>
      </c>
      <c r="G69" s="270">
        <f t="shared" ref="G69" si="22">ROUND(F69*1.2,2)</f>
        <v>84134.39</v>
      </c>
    </row>
    <row r="70" spans="1:8" ht="15.6" x14ac:dyDescent="0.3">
      <c r="A70" s="66"/>
      <c r="B70" s="368" t="s">
        <v>1544</v>
      </c>
      <c r="C70" s="102"/>
      <c r="D70" s="359"/>
      <c r="E70" s="271">
        <v>0</v>
      </c>
      <c r="F70" s="270"/>
      <c r="G70" s="270"/>
    </row>
    <row r="71" spans="1:8" ht="27.6" x14ac:dyDescent="0.3">
      <c r="A71" s="66">
        <f>A69+1</f>
        <v>50</v>
      </c>
      <c r="B71" s="287" t="s">
        <v>1605</v>
      </c>
      <c r="C71" s="102" t="s">
        <v>220</v>
      </c>
      <c r="D71" s="360">
        <v>1</v>
      </c>
      <c r="E71" s="271">
        <v>107597.25611999999</v>
      </c>
      <c r="F71" s="270">
        <f>ROUND(E71*D71,2)</f>
        <v>107597.26</v>
      </c>
      <c r="G71" s="270">
        <f t="shared" ref="G71:G73" si="23">ROUND(F71*1.2,2)</f>
        <v>129116.71</v>
      </c>
    </row>
    <row r="72" spans="1:8" ht="15.6" x14ac:dyDescent="0.3">
      <c r="A72" s="66">
        <f t="shared" ref="A72:A73" si="24">A71+1</f>
        <v>51</v>
      </c>
      <c r="B72" s="287" t="s">
        <v>917</v>
      </c>
      <c r="C72" s="102" t="s">
        <v>239</v>
      </c>
      <c r="D72" s="336">
        <f>25.2+2.52+1.3</f>
        <v>29.02</v>
      </c>
      <c r="E72" s="271">
        <v>623.91534012</v>
      </c>
      <c r="F72" s="270">
        <f>ROUND(E72*D72,2)</f>
        <v>18106.02</v>
      </c>
      <c r="G72" s="270">
        <f t="shared" si="23"/>
        <v>21727.22</v>
      </c>
      <c r="H72" s="202" t="s">
        <v>1614</v>
      </c>
    </row>
    <row r="73" spans="1:8" ht="27.6" x14ac:dyDescent="0.3">
      <c r="A73" s="507">
        <f t="shared" si="24"/>
        <v>52</v>
      </c>
      <c r="B73" s="514" t="s">
        <v>851</v>
      </c>
      <c r="C73" s="512" t="s">
        <v>193</v>
      </c>
      <c r="D73" s="517">
        <f>(25.2+2.52+1.3)/1.2</f>
        <v>24.183333333333334</v>
      </c>
      <c r="E73" s="516">
        <v>1350</v>
      </c>
      <c r="F73" s="511">
        <f>ROUND(E73*D73,2)</f>
        <v>32647.5</v>
      </c>
      <c r="G73" s="511">
        <f t="shared" si="23"/>
        <v>39177</v>
      </c>
      <c r="H73" s="202" t="s">
        <v>1614</v>
      </c>
    </row>
    <row r="74" spans="1:8" ht="21.75" customHeight="1" x14ac:dyDescent="0.3">
      <c r="A74" s="66"/>
      <c r="B74" s="368" t="s">
        <v>1545</v>
      </c>
      <c r="C74" s="102"/>
      <c r="D74" s="359"/>
      <c r="E74" s="271">
        <v>0</v>
      </c>
      <c r="F74" s="270"/>
      <c r="G74" s="270"/>
    </row>
    <row r="75" spans="1:8" ht="19.5" customHeight="1" x14ac:dyDescent="0.3">
      <c r="A75" s="66"/>
      <c r="B75" s="355" t="s">
        <v>513</v>
      </c>
      <c r="C75" s="102"/>
      <c r="D75" s="359"/>
      <c r="E75" s="271">
        <v>0</v>
      </c>
      <c r="F75" s="270"/>
      <c r="G75" s="270"/>
    </row>
    <row r="76" spans="1:8" ht="15.6" x14ac:dyDescent="0.3">
      <c r="A76" s="66">
        <f>A73+1</f>
        <v>53</v>
      </c>
      <c r="B76" s="287" t="s">
        <v>1512</v>
      </c>
      <c r="C76" s="102" t="s">
        <v>193</v>
      </c>
      <c r="D76" s="362">
        <v>259.2</v>
      </c>
      <c r="E76" s="271">
        <v>464.82929999999999</v>
      </c>
      <c r="F76" s="270">
        <f t="shared" ref="F76:F81" si="25">ROUND(E76*D76,2)</f>
        <v>120483.75</v>
      </c>
      <c r="G76" s="270">
        <f t="shared" ref="G76:G81" si="26">ROUND(F76*1.2,2)</f>
        <v>144580.5</v>
      </c>
    </row>
    <row r="77" spans="1:8" ht="15.6" x14ac:dyDescent="0.3">
      <c r="A77" s="66">
        <f>A76+1</f>
        <v>54</v>
      </c>
      <c r="B77" s="287" t="s">
        <v>444</v>
      </c>
      <c r="C77" s="102" t="s">
        <v>193</v>
      </c>
      <c r="D77" s="363">
        <v>11</v>
      </c>
      <c r="E77" s="271">
        <v>2541.5435879999995</v>
      </c>
      <c r="F77" s="270">
        <f t="shared" si="25"/>
        <v>27956.98</v>
      </c>
      <c r="G77" s="270">
        <f t="shared" si="26"/>
        <v>33548.379999999997</v>
      </c>
    </row>
    <row r="78" spans="1:8" ht="15.6" x14ac:dyDescent="0.3">
      <c r="A78" s="66">
        <f t="shared" ref="A78:A81" si="27">A77+1</f>
        <v>55</v>
      </c>
      <c r="B78" s="287" t="s">
        <v>518</v>
      </c>
      <c r="C78" s="102" t="s">
        <v>239</v>
      </c>
      <c r="D78" s="288">
        <v>5.44</v>
      </c>
      <c r="E78" s="271">
        <v>464.82929999999999</v>
      </c>
      <c r="F78" s="270">
        <f t="shared" si="25"/>
        <v>2528.67</v>
      </c>
      <c r="G78" s="270">
        <f t="shared" si="26"/>
        <v>3034.4</v>
      </c>
    </row>
    <row r="79" spans="1:8" ht="15.6" x14ac:dyDescent="0.3">
      <c r="A79" s="507">
        <f t="shared" si="27"/>
        <v>56</v>
      </c>
      <c r="B79" s="514" t="s">
        <v>503</v>
      </c>
      <c r="C79" s="512" t="s">
        <v>193</v>
      </c>
      <c r="D79" s="515">
        <f>5.44/1.2</f>
        <v>4.5333333333333341</v>
      </c>
      <c r="E79" s="516">
        <v>1350</v>
      </c>
      <c r="F79" s="511">
        <f t="shared" si="25"/>
        <v>6120</v>
      </c>
      <c r="G79" s="511">
        <f t="shared" si="26"/>
        <v>7344</v>
      </c>
    </row>
    <row r="80" spans="1:8" ht="15.6" x14ac:dyDescent="0.3">
      <c r="A80" s="66">
        <f t="shared" si="27"/>
        <v>57</v>
      </c>
      <c r="B80" s="287" t="s">
        <v>537</v>
      </c>
      <c r="C80" s="102" t="s">
        <v>193</v>
      </c>
      <c r="D80" s="363">
        <v>166.64</v>
      </c>
      <c r="E80" s="271">
        <v>464.82929999999999</v>
      </c>
      <c r="F80" s="270">
        <f t="shared" si="25"/>
        <v>77459.149999999994</v>
      </c>
      <c r="G80" s="270">
        <f t="shared" si="26"/>
        <v>92950.98</v>
      </c>
    </row>
    <row r="81" spans="1:8" ht="15.6" x14ac:dyDescent="0.3">
      <c r="A81" s="66">
        <f t="shared" si="27"/>
        <v>58</v>
      </c>
      <c r="B81" s="287" t="s">
        <v>696</v>
      </c>
      <c r="C81" s="102" t="s">
        <v>193</v>
      </c>
      <c r="D81" s="363">
        <v>41.66</v>
      </c>
      <c r="E81" s="271">
        <v>1285.789356</v>
      </c>
      <c r="F81" s="270">
        <f t="shared" si="25"/>
        <v>53565.98</v>
      </c>
      <c r="G81" s="270">
        <f t="shared" si="26"/>
        <v>64279.18</v>
      </c>
    </row>
    <row r="82" spans="1:8" ht="15.6" x14ac:dyDescent="0.3">
      <c r="A82" s="66"/>
      <c r="B82" s="355" t="s">
        <v>1546</v>
      </c>
      <c r="C82" s="102"/>
      <c r="D82" s="359"/>
      <c r="E82" s="271">
        <v>0</v>
      </c>
      <c r="F82" s="270"/>
      <c r="G82" s="270"/>
    </row>
    <row r="83" spans="1:8" ht="27.6" x14ac:dyDescent="0.3">
      <c r="A83" s="236">
        <f>A81+1</f>
        <v>59</v>
      </c>
      <c r="B83" s="287" t="s">
        <v>1547</v>
      </c>
      <c r="C83" s="102" t="s">
        <v>193</v>
      </c>
      <c r="D83" s="363">
        <v>0.46</v>
      </c>
      <c r="E83" s="271">
        <v>3970.3573439999996</v>
      </c>
      <c r="F83" s="270">
        <f>ROUND(E83*D83,2)</f>
        <v>1826.36</v>
      </c>
      <c r="G83" s="270">
        <f t="shared" ref="G83:G86" si="28">ROUND(F83*1.2,2)</f>
        <v>2191.63</v>
      </c>
      <c r="H83" s="255"/>
    </row>
    <row r="84" spans="1:8" ht="27.6" x14ac:dyDescent="0.3">
      <c r="A84" s="236">
        <f>A83+1</f>
        <v>60</v>
      </c>
      <c r="B84" s="287" t="s">
        <v>1606</v>
      </c>
      <c r="C84" s="102" t="s">
        <v>220</v>
      </c>
      <c r="D84" s="360">
        <v>3</v>
      </c>
      <c r="E84" s="271">
        <v>97256.592000000004</v>
      </c>
      <c r="F84" s="270">
        <f>ROUND(E84*D84,2)</f>
        <v>291769.78000000003</v>
      </c>
      <c r="G84" s="270">
        <f t="shared" si="28"/>
        <v>350123.74</v>
      </c>
      <c r="H84" s="268"/>
    </row>
    <row r="85" spans="1:8" ht="27.6" x14ac:dyDescent="0.3">
      <c r="A85" s="66">
        <f t="shared" ref="A85:A86" si="29">A84+1</f>
        <v>61</v>
      </c>
      <c r="B85" s="287" t="s">
        <v>930</v>
      </c>
      <c r="C85" s="357" t="s">
        <v>431</v>
      </c>
      <c r="D85" s="288">
        <v>50.4</v>
      </c>
      <c r="E85" s="271">
        <v>217.397088</v>
      </c>
      <c r="F85" s="270">
        <f>ROUND(E85*D85,2)</f>
        <v>10956.81</v>
      </c>
      <c r="G85" s="270">
        <f t="shared" si="28"/>
        <v>13148.17</v>
      </c>
    </row>
    <row r="86" spans="1:8" ht="27.6" x14ac:dyDescent="0.3">
      <c r="A86" s="66">
        <f t="shared" si="29"/>
        <v>62</v>
      </c>
      <c r="B86" s="287" t="s">
        <v>931</v>
      </c>
      <c r="C86" s="102" t="s">
        <v>431</v>
      </c>
      <c r="D86" s="288">
        <v>50.4</v>
      </c>
      <c r="E86" s="271">
        <v>451.29919176000004</v>
      </c>
      <c r="F86" s="270">
        <f>ROUND(E86*D86,2)</f>
        <v>22745.48</v>
      </c>
      <c r="G86" s="270">
        <f t="shared" si="28"/>
        <v>27294.58</v>
      </c>
    </row>
    <row r="87" spans="1:8" ht="15.6" x14ac:dyDescent="0.3">
      <c r="A87" s="236"/>
      <c r="B87" s="355" t="s">
        <v>1548</v>
      </c>
      <c r="C87" s="102"/>
      <c r="D87" s="359"/>
      <c r="E87" s="271">
        <v>0</v>
      </c>
      <c r="F87" s="270"/>
      <c r="G87" s="270"/>
    </row>
    <row r="88" spans="1:8" ht="35.25" customHeight="1" x14ac:dyDescent="0.3">
      <c r="A88" s="236">
        <f>A86+1</f>
        <v>63</v>
      </c>
      <c r="B88" s="287" t="s">
        <v>1549</v>
      </c>
      <c r="C88" s="102" t="s">
        <v>220</v>
      </c>
      <c r="D88" s="360">
        <v>3</v>
      </c>
      <c r="E88" s="271">
        <v>88603.6158</v>
      </c>
      <c r="F88" s="270">
        <f>ROUND(E88*D88,2)</f>
        <v>265810.84999999998</v>
      </c>
      <c r="G88" s="270">
        <f t="shared" ref="G88:G90" si="30">ROUND(F88*1.2,2)</f>
        <v>318973.02</v>
      </c>
    </row>
    <row r="89" spans="1:8" ht="27.6" x14ac:dyDescent="0.3">
      <c r="A89" s="66">
        <f t="shared" ref="A89:A90" si="31">A88+1</f>
        <v>64</v>
      </c>
      <c r="B89" s="287" t="s">
        <v>547</v>
      </c>
      <c r="C89" s="102" t="s">
        <v>431</v>
      </c>
      <c r="D89" s="336">
        <v>45.3</v>
      </c>
      <c r="E89" s="271">
        <v>260.30440800000002</v>
      </c>
      <c r="F89" s="270">
        <f>ROUND(E89*D89,2)</f>
        <v>11791.79</v>
      </c>
      <c r="G89" s="270">
        <f t="shared" si="30"/>
        <v>14150.15</v>
      </c>
    </row>
    <row r="90" spans="1:8" ht="15.6" x14ac:dyDescent="0.3">
      <c r="A90" s="66">
        <f t="shared" si="31"/>
        <v>65</v>
      </c>
      <c r="B90" s="287" t="s">
        <v>548</v>
      </c>
      <c r="C90" s="102" t="s">
        <v>431</v>
      </c>
      <c r="D90" s="336">
        <v>45.3</v>
      </c>
      <c r="E90" s="271">
        <v>260.30440800000002</v>
      </c>
      <c r="F90" s="270">
        <f>ROUND(E90*D90,2)</f>
        <v>11791.79</v>
      </c>
      <c r="G90" s="270">
        <f t="shared" si="30"/>
        <v>14150.15</v>
      </c>
    </row>
    <row r="91" spans="1:8" ht="22.5" customHeight="1" x14ac:dyDescent="0.3">
      <c r="A91" s="236"/>
      <c r="B91" s="355" t="s">
        <v>1550</v>
      </c>
      <c r="C91" s="102"/>
      <c r="D91" s="359"/>
      <c r="E91" s="271">
        <v>0</v>
      </c>
      <c r="F91" s="270"/>
      <c r="G91" s="270"/>
    </row>
    <row r="92" spans="1:8" ht="15.6" x14ac:dyDescent="0.3">
      <c r="A92" s="236"/>
      <c r="B92" s="355" t="s">
        <v>513</v>
      </c>
      <c r="C92" s="102"/>
      <c r="D92" s="359"/>
      <c r="E92" s="271">
        <v>0</v>
      </c>
      <c r="F92" s="270"/>
      <c r="G92" s="270"/>
    </row>
    <row r="93" spans="1:8" ht="15.6" x14ac:dyDescent="0.3">
      <c r="A93" s="236">
        <f>A90+1</f>
        <v>66</v>
      </c>
      <c r="B93" s="287" t="s">
        <v>1551</v>
      </c>
      <c r="C93" s="102" t="s">
        <v>220</v>
      </c>
      <c r="D93" s="360">
        <v>1</v>
      </c>
      <c r="E93" s="271">
        <v>8542.8474119999992</v>
      </c>
      <c r="F93" s="270">
        <f>ROUND(E93*D93,2)</f>
        <v>8542.85</v>
      </c>
      <c r="G93" s="270">
        <f t="shared" ref="G93:G95" si="32">ROUND(F93*1.2,2)</f>
        <v>10251.42</v>
      </c>
    </row>
    <row r="94" spans="1:8" ht="15.6" x14ac:dyDescent="0.3">
      <c r="A94" s="236">
        <f>A93+1</f>
        <v>67</v>
      </c>
      <c r="B94" s="287" t="s">
        <v>518</v>
      </c>
      <c r="C94" s="102" t="s">
        <v>239</v>
      </c>
      <c r="D94" s="288">
        <v>1.02</v>
      </c>
      <c r="E94" s="271">
        <v>464.82929999999999</v>
      </c>
      <c r="F94" s="270">
        <f>ROUND(E94*D94,2)</f>
        <v>474.13</v>
      </c>
      <c r="G94" s="270">
        <f t="shared" si="32"/>
        <v>568.96</v>
      </c>
    </row>
    <row r="95" spans="1:8" ht="15.6" x14ac:dyDescent="0.3">
      <c r="A95" s="520">
        <f>A94+1</f>
        <v>68</v>
      </c>
      <c r="B95" s="514" t="s">
        <v>503</v>
      </c>
      <c r="C95" s="512" t="s">
        <v>193</v>
      </c>
      <c r="D95" s="515">
        <f>1.02/1.2</f>
        <v>0.85000000000000009</v>
      </c>
      <c r="E95" s="516">
        <v>1350</v>
      </c>
      <c r="F95" s="511">
        <f>ROUND(E95*D95,2)</f>
        <v>1147.5</v>
      </c>
      <c r="G95" s="511">
        <f t="shared" si="32"/>
        <v>1377</v>
      </c>
    </row>
    <row r="96" spans="1:8" ht="15.6" x14ac:dyDescent="0.3">
      <c r="A96" s="236"/>
      <c r="B96" s="355" t="s">
        <v>1552</v>
      </c>
      <c r="C96" s="102"/>
      <c r="D96" s="359"/>
      <c r="E96" s="271">
        <v>0</v>
      </c>
      <c r="F96" s="270"/>
      <c r="G96" s="270"/>
    </row>
    <row r="97" spans="1:7" ht="41.4" x14ac:dyDescent="0.3">
      <c r="A97" s="236">
        <f>A95+1</f>
        <v>69</v>
      </c>
      <c r="B97" s="287" t="s">
        <v>1607</v>
      </c>
      <c r="C97" s="102" t="s">
        <v>220</v>
      </c>
      <c r="D97" s="360">
        <v>1</v>
      </c>
      <c r="E97" s="271">
        <v>85834.663415999996</v>
      </c>
      <c r="F97" s="270">
        <f>ROUND(E97*D97,2)</f>
        <v>85834.66</v>
      </c>
      <c r="G97" s="270">
        <f t="shared" ref="G97" si="33">ROUND(F97*1.2,2)</f>
        <v>103001.59</v>
      </c>
    </row>
    <row r="98" spans="1:7" ht="15.6" x14ac:dyDescent="0.3">
      <c r="A98" s="236"/>
      <c r="B98" s="355" t="s">
        <v>1553</v>
      </c>
      <c r="C98" s="102"/>
      <c r="D98" s="359"/>
      <c r="E98" s="271">
        <v>0</v>
      </c>
      <c r="F98" s="270"/>
      <c r="G98" s="270"/>
    </row>
    <row r="99" spans="1:7" ht="15.6" x14ac:dyDescent="0.3">
      <c r="A99" s="236">
        <f>A97+1</f>
        <v>70</v>
      </c>
      <c r="B99" s="287" t="s">
        <v>1608</v>
      </c>
      <c r="C99" s="102" t="s">
        <v>220</v>
      </c>
      <c r="D99" s="360">
        <v>1</v>
      </c>
      <c r="E99" s="271">
        <v>98028.923760000005</v>
      </c>
      <c r="F99" s="270">
        <f>ROUND(E99*D99,2)</f>
        <v>98028.92</v>
      </c>
      <c r="G99" s="270">
        <f t="shared" ref="G99" si="34">ROUND(F99*1.2,2)</f>
        <v>117634.7</v>
      </c>
    </row>
    <row r="100" spans="1:7" x14ac:dyDescent="0.3">
      <c r="A100" s="974" t="s">
        <v>721</v>
      </c>
      <c r="B100" s="975"/>
      <c r="C100" s="975"/>
      <c r="D100" s="975"/>
      <c r="E100" s="976"/>
      <c r="F100" s="153">
        <f>SUM(F7:F99)</f>
        <v>7946588.6000000006</v>
      </c>
      <c r="G100" s="153">
        <f>SUM(G7:G99)</f>
        <v>9535906.290000001</v>
      </c>
    </row>
  </sheetData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A64" zoomScale="85" zoomScaleNormal="85" zoomScaleSheetLayoutView="80" workbookViewId="0">
      <selection activeCell="A67" sqref="A67:D8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  <col min="9" max="10" width="8.88671875" style="1025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72" t="s">
        <v>231</v>
      </c>
      <c r="F1" s="970" t="s">
        <v>410</v>
      </c>
      <c r="G1" s="978" t="s">
        <v>409</v>
      </c>
    </row>
    <row r="2" spans="1:10" ht="14.55" customHeight="1" x14ac:dyDescent="0.3">
      <c r="A2" s="964"/>
      <c r="B2" s="966"/>
      <c r="C2" s="954"/>
      <c r="D2" s="954"/>
      <c r="E2" s="972"/>
      <c r="F2" s="970"/>
      <c r="G2" s="978"/>
      <c r="J2" s="1026"/>
    </row>
    <row r="3" spans="1:10" ht="27.6" customHeight="1" x14ac:dyDescent="0.3">
      <c r="A3" s="935"/>
      <c r="B3" s="967"/>
      <c r="C3" s="954"/>
      <c r="D3" s="954"/>
      <c r="E3" s="973"/>
      <c r="F3" s="971"/>
      <c r="G3" s="979"/>
      <c r="J3" s="1026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1026"/>
    </row>
    <row r="5" spans="1:10" ht="20.25" customHeight="1" x14ac:dyDescent="0.3">
      <c r="A5" s="169"/>
      <c r="B5" s="957" t="s">
        <v>1509</v>
      </c>
      <c r="C5" s="958"/>
      <c r="D5" s="958"/>
      <c r="E5" s="170"/>
      <c r="F5" s="171"/>
      <c r="G5" s="172"/>
    </row>
    <row r="6" spans="1:10" ht="30" customHeight="1" x14ac:dyDescent="0.3">
      <c r="A6" s="60"/>
      <c r="B6" s="62" t="s">
        <v>1510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1554</v>
      </c>
      <c r="C7" s="66" t="s">
        <v>193</v>
      </c>
      <c r="D7" s="68">
        <v>21.2</v>
      </c>
      <c r="E7" s="167">
        <v>6314.9730000000009</v>
      </c>
      <c r="F7" s="270">
        <f t="shared" ref="F7:F15" si="0">ROUND(E7*D7,2)</f>
        <v>133877.43</v>
      </c>
      <c r="G7" s="270">
        <f t="shared" ref="G7:G15" si="1">ROUND(F7*1.2,2)</f>
        <v>160652.92000000001</v>
      </c>
    </row>
    <row r="8" spans="1:10" ht="15.6" x14ac:dyDescent="0.3">
      <c r="A8" s="66">
        <f>A7+1</f>
        <v>2</v>
      </c>
      <c r="B8" s="67" t="s">
        <v>1002</v>
      </c>
      <c r="C8" s="66" t="s">
        <v>193</v>
      </c>
      <c r="D8" s="68">
        <v>4.05</v>
      </c>
      <c r="E8" s="167">
        <v>5928.3420000000006</v>
      </c>
      <c r="F8" s="270">
        <f t="shared" si="0"/>
        <v>24009.79</v>
      </c>
      <c r="G8" s="270">
        <f t="shared" si="1"/>
        <v>28811.75</v>
      </c>
    </row>
    <row r="9" spans="1:10" ht="15.6" x14ac:dyDescent="0.3">
      <c r="A9" s="66">
        <f>A8+1</f>
        <v>3</v>
      </c>
      <c r="B9" s="67" t="s">
        <v>1555</v>
      </c>
      <c r="C9" s="74" t="s">
        <v>254</v>
      </c>
      <c r="D9" s="68">
        <v>228.4</v>
      </c>
      <c r="E9" s="167">
        <v>109.54545000000002</v>
      </c>
      <c r="F9" s="270">
        <f t="shared" si="0"/>
        <v>25020.18</v>
      </c>
      <c r="G9" s="270">
        <f t="shared" si="1"/>
        <v>30024.22</v>
      </c>
    </row>
    <row r="10" spans="1:10" ht="15.6" x14ac:dyDescent="0.3">
      <c r="A10" s="66">
        <f t="shared" ref="A10:A15" si="2">A9+1</f>
        <v>4</v>
      </c>
      <c r="B10" s="67" t="s">
        <v>1556</v>
      </c>
      <c r="C10" s="74" t="s">
        <v>254</v>
      </c>
      <c r="D10" s="68">
        <v>613.20000000000005</v>
      </c>
      <c r="E10" s="167">
        <v>109.54545000000002</v>
      </c>
      <c r="F10" s="270">
        <f t="shared" si="0"/>
        <v>67173.27</v>
      </c>
      <c r="G10" s="270">
        <f t="shared" si="1"/>
        <v>80607.92</v>
      </c>
    </row>
    <row r="11" spans="1:10" ht="15.6" x14ac:dyDescent="0.3">
      <c r="A11" s="66">
        <f t="shared" si="2"/>
        <v>5</v>
      </c>
      <c r="B11" s="269" t="s">
        <v>1557</v>
      </c>
      <c r="C11" s="74" t="s">
        <v>254</v>
      </c>
      <c r="D11" s="71">
        <v>222</v>
      </c>
      <c r="E11" s="167">
        <v>109.54545000000002</v>
      </c>
      <c r="F11" s="270">
        <f t="shared" si="0"/>
        <v>24319.09</v>
      </c>
      <c r="G11" s="270">
        <f t="shared" si="1"/>
        <v>29182.91</v>
      </c>
    </row>
    <row r="12" spans="1:10" ht="15.6" x14ac:dyDescent="0.3">
      <c r="A12" s="66">
        <f t="shared" si="2"/>
        <v>6</v>
      </c>
      <c r="B12" s="67" t="s">
        <v>1558</v>
      </c>
      <c r="C12" s="66" t="s">
        <v>254</v>
      </c>
      <c r="D12" s="68">
        <v>216.64</v>
      </c>
      <c r="E12" s="167">
        <v>109.54545000000002</v>
      </c>
      <c r="F12" s="270">
        <f t="shared" si="0"/>
        <v>23731.93</v>
      </c>
      <c r="G12" s="270">
        <f t="shared" si="1"/>
        <v>28478.32</v>
      </c>
    </row>
    <row r="13" spans="1:10" ht="15.6" x14ac:dyDescent="0.3">
      <c r="A13" s="66">
        <f t="shared" si="2"/>
        <v>7</v>
      </c>
      <c r="B13" s="67" t="s">
        <v>1559</v>
      </c>
      <c r="C13" s="66" t="s">
        <v>254</v>
      </c>
      <c r="D13" s="68">
        <v>53.12</v>
      </c>
      <c r="E13" s="167">
        <v>96.657750000000007</v>
      </c>
      <c r="F13" s="270">
        <f t="shared" si="0"/>
        <v>5134.46</v>
      </c>
      <c r="G13" s="270">
        <f t="shared" si="1"/>
        <v>6161.35</v>
      </c>
    </row>
    <row r="14" spans="1:10" ht="19.5" customHeight="1" x14ac:dyDescent="0.3">
      <c r="A14" s="66">
        <f t="shared" si="2"/>
        <v>8</v>
      </c>
      <c r="B14" s="67" t="s">
        <v>1066</v>
      </c>
      <c r="C14" s="66" t="s">
        <v>387</v>
      </c>
      <c r="D14" s="196">
        <f>24.57*20/16</f>
        <v>30.712499999999999</v>
      </c>
      <c r="E14" s="167">
        <v>322.1925</v>
      </c>
      <c r="F14" s="270">
        <f t="shared" si="0"/>
        <v>9895.34</v>
      </c>
      <c r="G14" s="270">
        <f t="shared" si="1"/>
        <v>11874.41</v>
      </c>
      <c r="H14" s="202"/>
      <c r="I14" s="1027"/>
    </row>
    <row r="15" spans="1:10" ht="19.5" customHeight="1" x14ac:dyDescent="0.3">
      <c r="A15" s="66">
        <f t="shared" si="2"/>
        <v>9</v>
      </c>
      <c r="B15" s="233" t="s">
        <v>1065</v>
      </c>
      <c r="C15" s="87" t="s">
        <v>254</v>
      </c>
      <c r="D15" s="244">
        <v>114.7</v>
      </c>
      <c r="E15" s="167">
        <v>402.09624000000002</v>
      </c>
      <c r="F15" s="99">
        <f t="shared" si="0"/>
        <v>46120.44</v>
      </c>
      <c r="G15" s="99">
        <f t="shared" si="1"/>
        <v>55344.53</v>
      </c>
      <c r="I15" s="1027"/>
    </row>
    <row r="16" spans="1:10" ht="15.6" x14ac:dyDescent="0.3">
      <c r="A16" s="66"/>
      <c r="B16" s="73" t="s">
        <v>1517</v>
      </c>
      <c r="C16" s="66"/>
      <c r="D16" s="68"/>
      <c r="E16" s="167">
        <v>0</v>
      </c>
      <c r="F16" s="94"/>
      <c r="G16" s="94"/>
    </row>
    <row r="17" spans="1:10" ht="15.6" x14ac:dyDescent="0.3">
      <c r="A17" s="87"/>
      <c r="B17" s="245" t="s">
        <v>1560</v>
      </c>
      <c r="C17" s="262" t="s">
        <v>220</v>
      </c>
      <c r="D17" s="263">
        <v>2</v>
      </c>
      <c r="E17" s="167">
        <v>0</v>
      </c>
      <c r="F17" s="99"/>
      <c r="G17" s="99"/>
    </row>
    <row r="18" spans="1:10" ht="15.6" x14ac:dyDescent="0.3">
      <c r="A18" s="66">
        <f>A15+1</f>
        <v>10</v>
      </c>
      <c r="B18" s="67" t="s">
        <v>1561</v>
      </c>
      <c r="C18" s="66" t="s">
        <v>254</v>
      </c>
      <c r="D18" s="196">
        <f>25.7*11*2</f>
        <v>565.4</v>
      </c>
      <c r="E18" s="167">
        <v>118.56684</v>
      </c>
      <c r="F18" s="270">
        <f>ROUND(E18*D18,2)</f>
        <v>67037.69</v>
      </c>
      <c r="G18" s="270">
        <f t="shared" ref="G18:G22" si="3">ROUND(F18*1.2,2)</f>
        <v>80445.23</v>
      </c>
      <c r="J18" s="1028"/>
    </row>
    <row r="19" spans="1:10" ht="15.6" x14ac:dyDescent="0.3">
      <c r="A19" s="66">
        <f>A18+1</f>
        <v>11</v>
      </c>
      <c r="B19" s="67" t="s">
        <v>1562</v>
      </c>
      <c r="C19" s="66" t="s">
        <v>254</v>
      </c>
      <c r="D19" s="196">
        <f>14.1*8.33*2</f>
        <v>234.90600000000001</v>
      </c>
      <c r="E19" s="167">
        <v>96.657750000000007</v>
      </c>
      <c r="F19" s="270">
        <f>ROUND(E19*D19,2)</f>
        <v>22705.49</v>
      </c>
      <c r="G19" s="270">
        <f t="shared" si="3"/>
        <v>27246.59</v>
      </c>
      <c r="J19" s="1028"/>
    </row>
    <row r="20" spans="1:10" ht="15.6" x14ac:dyDescent="0.3">
      <c r="A20" s="66">
        <f t="shared" ref="A20:A22" si="4">A19+1</f>
        <v>12</v>
      </c>
      <c r="B20" s="67" t="s">
        <v>1563</v>
      </c>
      <c r="C20" s="66" t="s">
        <v>254</v>
      </c>
      <c r="D20" s="196">
        <f>2.2*14.2*2</f>
        <v>62.480000000000004</v>
      </c>
      <c r="E20" s="167">
        <v>121.78876499999998</v>
      </c>
      <c r="F20" s="270">
        <f>ROUND(E20*D20,2)</f>
        <v>7609.36</v>
      </c>
      <c r="G20" s="270">
        <f t="shared" si="3"/>
        <v>9131.23</v>
      </c>
      <c r="J20" s="1028"/>
    </row>
    <row r="21" spans="1:10" ht="15.6" x14ac:dyDescent="0.3">
      <c r="A21" s="66">
        <f t="shared" si="4"/>
        <v>13</v>
      </c>
      <c r="B21" s="67" t="s">
        <v>1564</v>
      </c>
      <c r="C21" s="66" t="s">
        <v>254</v>
      </c>
      <c r="D21" s="272">
        <f>0.7*2*78.5</f>
        <v>109.89999999999999</v>
      </c>
      <c r="E21" s="167">
        <v>114.70053</v>
      </c>
      <c r="F21" s="270">
        <f>ROUND(E21*D21,2)</f>
        <v>12605.59</v>
      </c>
      <c r="G21" s="270">
        <f t="shared" si="3"/>
        <v>15126.71</v>
      </c>
      <c r="J21" s="1028"/>
    </row>
    <row r="22" spans="1:10" ht="15.6" x14ac:dyDescent="0.3">
      <c r="A22" s="66">
        <f t="shared" si="4"/>
        <v>14</v>
      </c>
      <c r="B22" s="67" t="s">
        <v>1565</v>
      </c>
      <c r="C22" s="66" t="s">
        <v>254</v>
      </c>
      <c r="D22" s="272">
        <f>0.9*2*196.25</f>
        <v>353.25</v>
      </c>
      <c r="E22" s="167">
        <v>114.70053</v>
      </c>
      <c r="F22" s="270">
        <f>ROUND(E22*D22,2)</f>
        <v>40517.96</v>
      </c>
      <c r="G22" s="270">
        <f t="shared" si="3"/>
        <v>48621.55</v>
      </c>
      <c r="J22" s="1028"/>
    </row>
    <row r="23" spans="1:10" ht="15.6" x14ac:dyDescent="0.3">
      <c r="A23" s="87"/>
      <c r="B23" s="245" t="s">
        <v>1566</v>
      </c>
      <c r="C23" s="262" t="s">
        <v>220</v>
      </c>
      <c r="D23" s="263">
        <v>2</v>
      </c>
      <c r="E23" s="167">
        <v>0</v>
      </c>
      <c r="F23" s="99"/>
      <c r="G23" s="99"/>
    </row>
    <row r="24" spans="1:10" ht="15.6" x14ac:dyDescent="0.3">
      <c r="A24" s="66">
        <f>A22+1</f>
        <v>15</v>
      </c>
      <c r="B24" s="67" t="s">
        <v>1561</v>
      </c>
      <c r="C24" s="66" t="s">
        <v>254</v>
      </c>
      <c r="D24" s="196">
        <f>25.7*11*2</f>
        <v>565.4</v>
      </c>
      <c r="E24" s="167">
        <v>118.56684</v>
      </c>
      <c r="F24" s="270">
        <f>ROUND(E24*D24,2)</f>
        <v>67037.69</v>
      </c>
      <c r="G24" s="270">
        <f t="shared" ref="G24:G28" si="5">ROUND(F24*1.2,2)</f>
        <v>80445.23</v>
      </c>
    </row>
    <row r="25" spans="1:10" ht="15.6" x14ac:dyDescent="0.3">
      <c r="A25" s="66">
        <f>A24+1</f>
        <v>16</v>
      </c>
      <c r="B25" s="67" t="s">
        <v>1562</v>
      </c>
      <c r="C25" s="66" t="s">
        <v>254</v>
      </c>
      <c r="D25" s="196">
        <f>14.1*8.33*2</f>
        <v>234.90600000000001</v>
      </c>
      <c r="E25" s="167">
        <v>96.657750000000007</v>
      </c>
      <c r="F25" s="270">
        <f>ROUND(E25*D25,2)</f>
        <v>22705.49</v>
      </c>
      <c r="G25" s="270">
        <f t="shared" si="5"/>
        <v>27246.59</v>
      </c>
    </row>
    <row r="26" spans="1:10" ht="15.6" x14ac:dyDescent="0.3">
      <c r="A26" s="66">
        <f t="shared" ref="A26:A28" si="6">A25+1</f>
        <v>17</v>
      </c>
      <c r="B26" s="67" t="s">
        <v>1563</v>
      </c>
      <c r="C26" s="66" t="s">
        <v>254</v>
      </c>
      <c r="D26" s="196">
        <f>2.2*14.2*2</f>
        <v>62.480000000000004</v>
      </c>
      <c r="E26" s="167">
        <v>121.78876499999998</v>
      </c>
      <c r="F26" s="270">
        <f>ROUND(E26*D26,2)</f>
        <v>7609.36</v>
      </c>
      <c r="G26" s="270">
        <f t="shared" si="5"/>
        <v>9131.23</v>
      </c>
    </row>
    <row r="27" spans="1:10" ht="15.6" x14ac:dyDescent="0.3">
      <c r="A27" s="66">
        <f t="shared" si="6"/>
        <v>18</v>
      </c>
      <c r="B27" s="67" t="s">
        <v>1564</v>
      </c>
      <c r="C27" s="66" t="s">
        <v>254</v>
      </c>
      <c r="D27" s="272">
        <f>0.9*2*78.5</f>
        <v>141.30000000000001</v>
      </c>
      <c r="E27" s="167">
        <v>114.70053</v>
      </c>
      <c r="F27" s="270">
        <f>ROUND(E27*D27,2)</f>
        <v>16207.18</v>
      </c>
      <c r="G27" s="270">
        <f t="shared" si="5"/>
        <v>19448.62</v>
      </c>
    </row>
    <row r="28" spans="1:10" ht="15.6" x14ac:dyDescent="0.3">
      <c r="A28" s="66">
        <f t="shared" si="6"/>
        <v>19</v>
      </c>
      <c r="B28" s="67" t="s">
        <v>1565</v>
      </c>
      <c r="C28" s="66" t="s">
        <v>431</v>
      </c>
      <c r="D28" s="272">
        <f>0.9*2*196.25</f>
        <v>353.25</v>
      </c>
      <c r="E28" s="167">
        <v>114.70053</v>
      </c>
      <c r="F28" s="270">
        <f>ROUND(E28*D28,2)</f>
        <v>40517.96</v>
      </c>
      <c r="G28" s="270">
        <f t="shared" si="5"/>
        <v>48621.55</v>
      </c>
    </row>
    <row r="29" spans="1:10" ht="15.6" x14ac:dyDescent="0.3">
      <c r="A29" s="87"/>
      <c r="B29" s="245" t="s">
        <v>1567</v>
      </c>
      <c r="C29" s="262" t="s">
        <v>220</v>
      </c>
      <c r="D29" s="263">
        <v>1</v>
      </c>
      <c r="E29" s="167">
        <v>0</v>
      </c>
      <c r="F29" s="99"/>
      <c r="G29" s="99"/>
    </row>
    <row r="30" spans="1:10" ht="15.6" x14ac:dyDescent="0.3">
      <c r="A30" s="87">
        <f>A28+1</f>
        <v>20</v>
      </c>
      <c r="B30" s="233" t="s">
        <v>1568</v>
      </c>
      <c r="C30" s="87" t="s">
        <v>254</v>
      </c>
      <c r="D30" s="244">
        <f>35.2*19.1</f>
        <v>672.32</v>
      </c>
      <c r="E30" s="167">
        <v>96.657750000000007</v>
      </c>
      <c r="F30" s="99">
        <f t="shared" ref="F30:F38" si="7">ROUND(E30*D30,2)</f>
        <v>64984.94</v>
      </c>
      <c r="G30" s="99">
        <f t="shared" ref="G30:G38" si="8">ROUND(F30*1.2,2)</f>
        <v>77981.929999999993</v>
      </c>
    </row>
    <row r="31" spans="1:10" ht="15.6" x14ac:dyDescent="0.3">
      <c r="A31" s="87">
        <f>A30+1</f>
        <v>21</v>
      </c>
      <c r="B31" s="233" t="s">
        <v>1569</v>
      </c>
      <c r="C31" s="87" t="s">
        <v>254</v>
      </c>
      <c r="D31" s="244">
        <f>12*12.25</f>
        <v>147</v>
      </c>
      <c r="E31" s="167">
        <v>96.657750000000007</v>
      </c>
      <c r="F31" s="99">
        <f t="shared" si="7"/>
        <v>14208.69</v>
      </c>
      <c r="G31" s="99">
        <f t="shared" si="8"/>
        <v>17050.43</v>
      </c>
    </row>
    <row r="32" spans="1:10" ht="15.6" x14ac:dyDescent="0.3">
      <c r="A32" s="87">
        <f t="shared" ref="A32:A38" si="9">A31+1</f>
        <v>22</v>
      </c>
      <c r="B32" s="233" t="s">
        <v>1562</v>
      </c>
      <c r="C32" s="87" t="s">
        <v>254</v>
      </c>
      <c r="D32" s="244">
        <f>20.4*8.33</f>
        <v>169.93199999999999</v>
      </c>
      <c r="E32" s="167">
        <v>96.657750000000007</v>
      </c>
      <c r="F32" s="99">
        <f t="shared" si="7"/>
        <v>16425.240000000002</v>
      </c>
      <c r="G32" s="99">
        <f t="shared" si="8"/>
        <v>19710.29</v>
      </c>
    </row>
    <row r="33" spans="1:10" ht="15.6" x14ac:dyDescent="0.3">
      <c r="A33" s="87">
        <f t="shared" si="9"/>
        <v>23</v>
      </c>
      <c r="B33" s="233" t="s">
        <v>1570</v>
      </c>
      <c r="C33" s="87" t="s">
        <v>254</v>
      </c>
      <c r="D33" s="244">
        <f>8*5.72</f>
        <v>45.76</v>
      </c>
      <c r="E33" s="167">
        <v>96.657750000000007</v>
      </c>
      <c r="F33" s="99">
        <f t="shared" si="7"/>
        <v>4423.0600000000004</v>
      </c>
      <c r="G33" s="99">
        <f t="shared" si="8"/>
        <v>5307.67</v>
      </c>
    </row>
    <row r="34" spans="1:10" ht="15.6" x14ac:dyDescent="0.3">
      <c r="A34" s="66">
        <f t="shared" si="9"/>
        <v>24</v>
      </c>
      <c r="B34" s="67" t="s">
        <v>1563</v>
      </c>
      <c r="C34" s="66" t="s">
        <v>254</v>
      </c>
      <c r="D34" s="196">
        <f>22.1*14.2</f>
        <v>313.82</v>
      </c>
      <c r="E34" s="167">
        <v>121.78876499999998</v>
      </c>
      <c r="F34" s="270">
        <f t="shared" si="7"/>
        <v>38219.75</v>
      </c>
      <c r="G34" s="270">
        <f t="shared" si="8"/>
        <v>45863.7</v>
      </c>
    </row>
    <row r="35" spans="1:10" ht="15.6" x14ac:dyDescent="0.3">
      <c r="A35" s="87">
        <f t="shared" si="9"/>
        <v>25</v>
      </c>
      <c r="B35" s="233" t="s">
        <v>1571</v>
      </c>
      <c r="C35" s="87" t="s">
        <v>254</v>
      </c>
      <c r="D35" s="247">
        <f>0.8*66.57</f>
        <v>53.256</v>
      </c>
      <c r="E35" s="167">
        <v>114.70053</v>
      </c>
      <c r="F35" s="99">
        <f t="shared" si="7"/>
        <v>6108.49</v>
      </c>
      <c r="G35" s="99">
        <f t="shared" si="8"/>
        <v>7330.19</v>
      </c>
    </row>
    <row r="36" spans="1:10" ht="15.6" x14ac:dyDescent="0.3">
      <c r="A36" s="87">
        <f t="shared" si="9"/>
        <v>26</v>
      </c>
      <c r="B36" s="233" t="s">
        <v>1564</v>
      </c>
      <c r="C36" s="87" t="s">
        <v>254</v>
      </c>
      <c r="D36" s="247">
        <f>1.3*78.5</f>
        <v>102.05</v>
      </c>
      <c r="E36" s="167">
        <v>114.70053</v>
      </c>
      <c r="F36" s="99">
        <f t="shared" si="7"/>
        <v>11705.19</v>
      </c>
      <c r="G36" s="99">
        <f t="shared" si="8"/>
        <v>14046.23</v>
      </c>
    </row>
    <row r="37" spans="1:10" ht="15.6" x14ac:dyDescent="0.3">
      <c r="A37" s="87">
        <f t="shared" si="9"/>
        <v>27</v>
      </c>
      <c r="B37" s="233" t="s">
        <v>1572</v>
      </c>
      <c r="C37" s="87" t="s">
        <v>254</v>
      </c>
      <c r="D37" s="247">
        <f>0.3*94.2</f>
        <v>28.26</v>
      </c>
      <c r="E37" s="167">
        <v>114.70053</v>
      </c>
      <c r="F37" s="99">
        <f t="shared" si="7"/>
        <v>3241.44</v>
      </c>
      <c r="G37" s="99">
        <f t="shared" si="8"/>
        <v>3889.73</v>
      </c>
    </row>
    <row r="38" spans="1:10" ht="15.6" x14ac:dyDescent="0.3">
      <c r="A38" s="87">
        <f t="shared" si="9"/>
        <v>28</v>
      </c>
      <c r="B38" s="233" t="s">
        <v>1573</v>
      </c>
      <c r="C38" s="87" t="s">
        <v>254</v>
      </c>
      <c r="D38" s="228">
        <f>1*157</f>
        <v>157</v>
      </c>
      <c r="E38" s="167">
        <v>114.70053</v>
      </c>
      <c r="F38" s="99">
        <f t="shared" si="7"/>
        <v>18007.98</v>
      </c>
      <c r="G38" s="99">
        <f t="shared" si="8"/>
        <v>21609.58</v>
      </c>
    </row>
    <row r="39" spans="1:10" ht="28.8" x14ac:dyDescent="0.3">
      <c r="A39" s="87"/>
      <c r="B39" s="245" t="s">
        <v>1574</v>
      </c>
      <c r="C39" s="262" t="s">
        <v>220</v>
      </c>
      <c r="D39" s="263">
        <v>1</v>
      </c>
      <c r="E39" s="167">
        <v>0</v>
      </c>
      <c r="F39" s="99"/>
      <c r="G39" s="99"/>
    </row>
    <row r="40" spans="1:10" ht="15.6" x14ac:dyDescent="0.3">
      <c r="A40" s="87">
        <f>A38+1</f>
        <v>29</v>
      </c>
      <c r="B40" s="233" t="s">
        <v>1568</v>
      </c>
      <c r="C40" s="87" t="s">
        <v>254</v>
      </c>
      <c r="D40" s="244">
        <f>121.6*19.1</f>
        <v>2322.56</v>
      </c>
      <c r="E40" s="167">
        <v>96.657750000000007</v>
      </c>
      <c r="F40" s="99">
        <f t="shared" ref="F40:F48" si="10">ROUND(E40*D40,2)</f>
        <v>224493.42</v>
      </c>
      <c r="G40" s="99">
        <f t="shared" ref="G40:G48" si="11">ROUND(F40*1.2,2)</f>
        <v>269392.09999999998</v>
      </c>
      <c r="J40" s="1028"/>
    </row>
    <row r="41" spans="1:10" ht="15.6" x14ac:dyDescent="0.3">
      <c r="A41" s="87">
        <f>A40+1</f>
        <v>30</v>
      </c>
      <c r="B41" s="233" t="s">
        <v>1569</v>
      </c>
      <c r="C41" s="87" t="s">
        <v>254</v>
      </c>
      <c r="D41" s="244">
        <f>35.4*12.25</f>
        <v>433.65</v>
      </c>
      <c r="E41" s="167">
        <v>96.657750000000007</v>
      </c>
      <c r="F41" s="99">
        <f t="shared" si="10"/>
        <v>41915.629999999997</v>
      </c>
      <c r="G41" s="99">
        <f t="shared" si="11"/>
        <v>50298.76</v>
      </c>
      <c r="J41" s="1028"/>
    </row>
    <row r="42" spans="1:10" ht="15.6" x14ac:dyDescent="0.3">
      <c r="A42" s="87">
        <f t="shared" ref="A42:A48" si="12">A41+1</f>
        <v>31</v>
      </c>
      <c r="B42" s="233" t="s">
        <v>1562</v>
      </c>
      <c r="C42" s="87" t="s">
        <v>254</v>
      </c>
      <c r="D42" s="244">
        <f>58.5*8.33</f>
        <v>487.30500000000001</v>
      </c>
      <c r="E42" s="167">
        <v>96.657750000000007</v>
      </c>
      <c r="F42" s="99">
        <f t="shared" si="10"/>
        <v>47101.8</v>
      </c>
      <c r="G42" s="99">
        <f t="shared" si="11"/>
        <v>56522.16</v>
      </c>
      <c r="J42" s="1028"/>
    </row>
    <row r="43" spans="1:10" ht="15.6" x14ac:dyDescent="0.3">
      <c r="A43" s="87">
        <f t="shared" si="12"/>
        <v>32</v>
      </c>
      <c r="B43" s="233" t="s">
        <v>1570</v>
      </c>
      <c r="C43" s="87" t="s">
        <v>254</v>
      </c>
      <c r="D43" s="244">
        <f>40*5.72</f>
        <v>228.79999999999998</v>
      </c>
      <c r="E43" s="167">
        <v>96.657750000000007</v>
      </c>
      <c r="F43" s="99">
        <f t="shared" si="10"/>
        <v>22115.29</v>
      </c>
      <c r="G43" s="99">
        <f t="shared" si="11"/>
        <v>26538.35</v>
      </c>
      <c r="J43" s="1028"/>
    </row>
    <row r="44" spans="1:10" ht="15.6" x14ac:dyDescent="0.3">
      <c r="A44" s="66">
        <f t="shared" si="12"/>
        <v>33</v>
      </c>
      <c r="B44" s="67" t="s">
        <v>1563</v>
      </c>
      <c r="C44" s="66" t="s">
        <v>254</v>
      </c>
      <c r="D44" s="196">
        <f>39.6*14.2</f>
        <v>562.31999999999994</v>
      </c>
      <c r="E44" s="167">
        <v>121.78876499999998</v>
      </c>
      <c r="F44" s="270">
        <f t="shared" si="10"/>
        <v>68484.259999999995</v>
      </c>
      <c r="G44" s="270">
        <f t="shared" si="11"/>
        <v>82181.11</v>
      </c>
      <c r="J44" s="1028"/>
    </row>
    <row r="45" spans="1:10" ht="15.6" x14ac:dyDescent="0.3">
      <c r="A45" s="66">
        <f t="shared" si="12"/>
        <v>34</v>
      </c>
      <c r="B45" s="67" t="s">
        <v>1571</v>
      </c>
      <c r="C45" s="66" t="s">
        <v>254</v>
      </c>
      <c r="D45" s="272">
        <f>0.8*66.57</f>
        <v>53.256</v>
      </c>
      <c r="E45" s="167">
        <v>114.70053</v>
      </c>
      <c r="F45" s="270">
        <f t="shared" si="10"/>
        <v>6108.49</v>
      </c>
      <c r="G45" s="270">
        <f t="shared" si="11"/>
        <v>7330.19</v>
      </c>
      <c r="J45" s="1028"/>
    </row>
    <row r="46" spans="1:10" ht="15.6" x14ac:dyDescent="0.3">
      <c r="A46" s="87">
        <f t="shared" si="12"/>
        <v>35</v>
      </c>
      <c r="B46" s="233" t="s">
        <v>1564</v>
      </c>
      <c r="C46" s="87" t="s">
        <v>254</v>
      </c>
      <c r="D46" s="247">
        <f>3.1*78.5</f>
        <v>243.35</v>
      </c>
      <c r="E46" s="167">
        <v>114.70053</v>
      </c>
      <c r="F46" s="99">
        <f t="shared" si="10"/>
        <v>27912.37</v>
      </c>
      <c r="G46" s="99">
        <f t="shared" si="11"/>
        <v>33494.839999999997</v>
      </c>
      <c r="J46" s="1028"/>
    </row>
    <row r="47" spans="1:10" ht="15.6" x14ac:dyDescent="0.3">
      <c r="A47" s="87">
        <f t="shared" si="12"/>
        <v>36</v>
      </c>
      <c r="B47" s="233" t="s">
        <v>1572</v>
      </c>
      <c r="C47" s="87" t="s">
        <v>254</v>
      </c>
      <c r="D47" s="247">
        <f>0.3*94.2</f>
        <v>28.26</v>
      </c>
      <c r="E47" s="167">
        <v>114.70053</v>
      </c>
      <c r="F47" s="99">
        <f t="shared" si="10"/>
        <v>3241.44</v>
      </c>
      <c r="G47" s="99">
        <f t="shared" si="11"/>
        <v>3889.73</v>
      </c>
      <c r="J47" s="1028"/>
    </row>
    <row r="48" spans="1:10" ht="15.6" x14ac:dyDescent="0.3">
      <c r="A48" s="87">
        <f t="shared" si="12"/>
        <v>37</v>
      </c>
      <c r="B48" s="233" t="s">
        <v>1573</v>
      </c>
      <c r="C48" s="87" t="s">
        <v>254</v>
      </c>
      <c r="D48" s="247">
        <f>2.1*157</f>
        <v>329.7</v>
      </c>
      <c r="E48" s="167">
        <v>114.70053</v>
      </c>
      <c r="F48" s="99">
        <f t="shared" si="10"/>
        <v>37816.76</v>
      </c>
      <c r="G48" s="99">
        <f t="shared" si="11"/>
        <v>45380.11</v>
      </c>
      <c r="J48" s="1028"/>
    </row>
    <row r="49" spans="1:10" ht="28.8" x14ac:dyDescent="0.3">
      <c r="A49" s="87"/>
      <c r="B49" s="245" t="s">
        <v>1575</v>
      </c>
      <c r="C49" s="262" t="s">
        <v>220</v>
      </c>
      <c r="D49" s="263">
        <v>1</v>
      </c>
      <c r="E49" s="167">
        <v>0</v>
      </c>
      <c r="F49" s="99"/>
      <c r="G49" s="99"/>
    </row>
    <row r="50" spans="1:10" ht="15.6" x14ac:dyDescent="0.3">
      <c r="A50" s="87">
        <f>A48+1</f>
        <v>38</v>
      </c>
      <c r="B50" s="233" t="s">
        <v>1568</v>
      </c>
      <c r="C50" s="87" t="s">
        <v>254</v>
      </c>
      <c r="D50" s="244">
        <f>62.2*19.1</f>
        <v>1188.0200000000002</v>
      </c>
      <c r="E50" s="167">
        <v>96.657750000000007</v>
      </c>
      <c r="F50" s="99">
        <f t="shared" ref="F50:F58" si="13">ROUND(E50*D50,2)</f>
        <v>114831.34</v>
      </c>
      <c r="G50" s="99">
        <f t="shared" ref="G50:G66" si="14">ROUND(F50*1.2,2)</f>
        <v>137797.60999999999</v>
      </c>
      <c r="J50" s="1028"/>
    </row>
    <row r="51" spans="1:10" ht="15.6" x14ac:dyDescent="0.3">
      <c r="A51" s="87">
        <f>A50+1</f>
        <v>39</v>
      </c>
      <c r="B51" s="233" t="s">
        <v>1569</v>
      </c>
      <c r="C51" s="87" t="s">
        <v>254</v>
      </c>
      <c r="D51" s="244">
        <f>21.6*12.25</f>
        <v>264.60000000000002</v>
      </c>
      <c r="E51" s="167">
        <v>96.657750000000007</v>
      </c>
      <c r="F51" s="99">
        <f t="shared" si="13"/>
        <v>25575.64</v>
      </c>
      <c r="G51" s="99">
        <f t="shared" si="14"/>
        <v>30690.77</v>
      </c>
      <c r="J51" s="1028"/>
    </row>
    <row r="52" spans="1:10" ht="15.6" x14ac:dyDescent="0.3">
      <c r="A52" s="87">
        <f t="shared" ref="A52:A58" si="15">A51+1</f>
        <v>40</v>
      </c>
      <c r="B52" s="233" t="s">
        <v>1562</v>
      </c>
      <c r="C52" s="87" t="s">
        <v>254</v>
      </c>
      <c r="D52" s="244">
        <f>30.5*8.33</f>
        <v>254.065</v>
      </c>
      <c r="E52" s="167">
        <v>96.657750000000007</v>
      </c>
      <c r="F52" s="99">
        <f t="shared" si="13"/>
        <v>24557.35</v>
      </c>
      <c r="G52" s="99">
        <f t="shared" si="14"/>
        <v>29468.82</v>
      </c>
      <c r="J52" s="1028"/>
    </row>
    <row r="53" spans="1:10" ht="15.6" x14ac:dyDescent="0.3">
      <c r="A53" s="87">
        <f t="shared" si="15"/>
        <v>41</v>
      </c>
      <c r="B53" s="233" t="s">
        <v>1570</v>
      </c>
      <c r="C53" s="87" t="s">
        <v>254</v>
      </c>
      <c r="D53" s="244">
        <f>24*5.72</f>
        <v>137.28</v>
      </c>
      <c r="E53" s="167">
        <v>96.657750000000007</v>
      </c>
      <c r="F53" s="99">
        <f t="shared" si="13"/>
        <v>13269.18</v>
      </c>
      <c r="G53" s="99">
        <f t="shared" si="14"/>
        <v>15923.02</v>
      </c>
      <c r="J53" s="1028"/>
    </row>
    <row r="54" spans="1:10" ht="15.6" x14ac:dyDescent="0.3">
      <c r="A54" s="66">
        <f t="shared" si="15"/>
        <v>42</v>
      </c>
      <c r="B54" s="67" t="s">
        <v>1563</v>
      </c>
      <c r="C54" s="66" t="s">
        <v>254</v>
      </c>
      <c r="D54" s="196">
        <f>22.1*14.2</f>
        <v>313.82</v>
      </c>
      <c r="E54" s="167">
        <v>121.78876499999998</v>
      </c>
      <c r="F54" s="270">
        <f t="shared" si="13"/>
        <v>38219.75</v>
      </c>
      <c r="G54" s="270">
        <f t="shared" si="14"/>
        <v>45863.7</v>
      </c>
      <c r="J54" s="1028"/>
    </row>
    <row r="55" spans="1:10" ht="15.6" x14ac:dyDescent="0.3">
      <c r="A55" s="66">
        <f t="shared" si="15"/>
        <v>43</v>
      </c>
      <c r="B55" s="67" t="s">
        <v>1571</v>
      </c>
      <c r="C55" s="66" t="s">
        <v>254</v>
      </c>
      <c r="D55" s="272">
        <f>0.3*66.57</f>
        <v>19.970999999999997</v>
      </c>
      <c r="E55" s="167">
        <v>114.70053</v>
      </c>
      <c r="F55" s="270">
        <f t="shared" si="13"/>
        <v>2290.6799999999998</v>
      </c>
      <c r="G55" s="270">
        <f t="shared" si="14"/>
        <v>2748.82</v>
      </c>
      <c r="J55" s="1028"/>
    </row>
    <row r="56" spans="1:10" ht="15.6" x14ac:dyDescent="0.3">
      <c r="A56" s="66">
        <f t="shared" si="15"/>
        <v>44</v>
      </c>
      <c r="B56" s="67" t="s">
        <v>1564</v>
      </c>
      <c r="C56" s="66" t="s">
        <v>431</v>
      </c>
      <c r="D56" s="272">
        <f>1.5*78.5</f>
        <v>117.75</v>
      </c>
      <c r="E56" s="167">
        <v>114.70053</v>
      </c>
      <c r="F56" s="270">
        <f t="shared" si="13"/>
        <v>13505.99</v>
      </c>
      <c r="G56" s="270">
        <f t="shared" si="14"/>
        <v>16207.19</v>
      </c>
      <c r="J56" s="1028"/>
    </row>
    <row r="57" spans="1:10" ht="15.6" x14ac:dyDescent="0.3">
      <c r="A57" s="66">
        <f t="shared" si="15"/>
        <v>45</v>
      </c>
      <c r="B57" s="67" t="s">
        <v>1572</v>
      </c>
      <c r="C57" s="66" t="s">
        <v>431</v>
      </c>
      <c r="D57" s="272">
        <f>0.3*94.2</f>
        <v>28.26</v>
      </c>
      <c r="E57" s="167">
        <v>114.70053</v>
      </c>
      <c r="F57" s="270">
        <f t="shared" si="13"/>
        <v>3241.44</v>
      </c>
      <c r="G57" s="270">
        <f t="shared" si="14"/>
        <v>3889.73</v>
      </c>
    </row>
    <row r="58" spans="1:10" ht="15.6" x14ac:dyDescent="0.3">
      <c r="A58" s="66">
        <f t="shared" si="15"/>
        <v>46</v>
      </c>
      <c r="B58" s="67" t="s">
        <v>1573</v>
      </c>
      <c r="C58" s="66" t="s">
        <v>254</v>
      </c>
      <c r="D58" s="272">
        <f>1.4*157</f>
        <v>219.79999999999998</v>
      </c>
      <c r="E58" s="167">
        <v>114.70053</v>
      </c>
      <c r="F58" s="270">
        <f t="shared" si="13"/>
        <v>25211.18</v>
      </c>
      <c r="G58" s="270">
        <f t="shared" si="14"/>
        <v>30253.42</v>
      </c>
    </row>
    <row r="59" spans="1:10" ht="15.6" x14ac:dyDescent="0.3">
      <c r="A59" s="87"/>
      <c r="B59" s="245" t="s">
        <v>1576</v>
      </c>
      <c r="C59" s="262" t="s">
        <v>239</v>
      </c>
      <c r="D59" s="264">
        <v>0.379</v>
      </c>
      <c r="E59" s="167">
        <v>0</v>
      </c>
      <c r="F59" s="99"/>
      <c r="G59" s="99"/>
    </row>
    <row r="60" spans="1:10" ht="15.6" x14ac:dyDescent="0.3">
      <c r="A60" s="66">
        <f>A58+1</f>
        <v>47</v>
      </c>
      <c r="B60" s="67" t="s">
        <v>1577</v>
      </c>
      <c r="C60" s="66" t="s">
        <v>254</v>
      </c>
      <c r="D60" s="196">
        <f>26*9.22</f>
        <v>239.72000000000003</v>
      </c>
      <c r="E60" s="167">
        <v>94.080210000000008</v>
      </c>
      <c r="F60" s="270">
        <f t="shared" ref="F60:F66" si="16">ROUND(E60*D60,2)</f>
        <v>22552.91</v>
      </c>
      <c r="G60" s="270">
        <f t="shared" ref="G60:G62" si="17">ROUND(F60*1.2,2)</f>
        <v>27063.49</v>
      </c>
    </row>
    <row r="61" spans="1:10" ht="15.6" x14ac:dyDescent="0.3">
      <c r="A61" s="66">
        <f>A60+1</f>
        <v>48</v>
      </c>
      <c r="B61" s="67" t="s">
        <v>1564</v>
      </c>
      <c r="C61" s="66" t="s">
        <v>431</v>
      </c>
      <c r="D61" s="272">
        <f>0.3*78.5</f>
        <v>23.55</v>
      </c>
      <c r="E61" s="167">
        <v>114.70053</v>
      </c>
      <c r="F61" s="270">
        <f t="shared" si="16"/>
        <v>2701.2</v>
      </c>
      <c r="G61" s="270">
        <f t="shared" si="17"/>
        <v>3241.44</v>
      </c>
    </row>
    <row r="62" spans="1:10" ht="15.6" x14ac:dyDescent="0.3">
      <c r="A62" s="66">
        <f>A61+1</f>
        <v>49</v>
      </c>
      <c r="B62" s="67" t="s">
        <v>1571</v>
      </c>
      <c r="C62" s="66" t="s">
        <v>254</v>
      </c>
      <c r="D62" s="272">
        <f>0.8*66.57</f>
        <v>53.256</v>
      </c>
      <c r="E62" s="167">
        <v>114.70053</v>
      </c>
      <c r="F62" s="270">
        <f t="shared" si="16"/>
        <v>6108.49</v>
      </c>
      <c r="G62" s="270">
        <f t="shared" si="17"/>
        <v>7330.19</v>
      </c>
    </row>
    <row r="63" spans="1:10" ht="15.6" x14ac:dyDescent="0.3">
      <c r="A63" s="66">
        <f>A62+1</f>
        <v>50</v>
      </c>
      <c r="B63" s="67" t="s">
        <v>1578</v>
      </c>
      <c r="C63" s="66" t="s">
        <v>220</v>
      </c>
      <c r="D63" s="82">
        <v>5</v>
      </c>
      <c r="E63" s="167">
        <v>24099.999</v>
      </c>
      <c r="F63" s="270">
        <f t="shared" si="16"/>
        <v>120500</v>
      </c>
      <c r="G63" s="270">
        <f t="shared" si="14"/>
        <v>144600</v>
      </c>
    </row>
    <row r="64" spans="1:10" ht="15.6" x14ac:dyDescent="0.3">
      <c r="A64" s="66">
        <f t="shared" ref="A64:A66" si="18">A63+1</f>
        <v>51</v>
      </c>
      <c r="B64" s="233" t="s">
        <v>402</v>
      </c>
      <c r="C64" s="87" t="s">
        <v>254</v>
      </c>
      <c r="D64" s="261">
        <v>12.754</v>
      </c>
      <c r="E64" s="167">
        <v>1773.3475200000003</v>
      </c>
      <c r="F64" s="99">
        <f t="shared" si="16"/>
        <v>22617.27</v>
      </c>
      <c r="G64" s="99">
        <f t="shared" si="14"/>
        <v>27140.720000000001</v>
      </c>
    </row>
    <row r="65" spans="1:8" ht="15.6" x14ac:dyDescent="0.3">
      <c r="A65" s="66">
        <f t="shared" si="18"/>
        <v>52</v>
      </c>
      <c r="B65" s="233" t="s">
        <v>403</v>
      </c>
      <c r="C65" s="87" t="s">
        <v>254</v>
      </c>
      <c r="D65" s="261">
        <v>12.754</v>
      </c>
      <c r="E65" s="167">
        <v>1956.3528600000004</v>
      </c>
      <c r="F65" s="99">
        <f t="shared" si="16"/>
        <v>24951.32</v>
      </c>
      <c r="G65" s="99">
        <f t="shared" si="14"/>
        <v>29941.58</v>
      </c>
    </row>
    <row r="66" spans="1:8" ht="15.6" x14ac:dyDescent="0.3">
      <c r="A66" s="66">
        <f t="shared" si="18"/>
        <v>53</v>
      </c>
      <c r="B66" s="67" t="s">
        <v>1579</v>
      </c>
      <c r="C66" s="66" t="s">
        <v>239</v>
      </c>
      <c r="D66" s="197">
        <v>12.754</v>
      </c>
      <c r="E66" s="167">
        <v>202.33689000000001</v>
      </c>
      <c r="F66" s="94">
        <f t="shared" si="16"/>
        <v>2580.6</v>
      </c>
      <c r="G66" s="94">
        <f t="shared" si="14"/>
        <v>3096.72</v>
      </c>
    </row>
    <row r="67" spans="1:8" ht="15.6" x14ac:dyDescent="0.3">
      <c r="A67" s="236"/>
      <c r="B67" s="73" t="s">
        <v>1545</v>
      </c>
      <c r="C67" s="66"/>
      <c r="D67" s="265"/>
      <c r="E67" s="167">
        <v>0</v>
      </c>
      <c r="F67" s="94"/>
      <c r="G67" s="94"/>
    </row>
    <row r="68" spans="1:8" ht="15.6" x14ac:dyDescent="0.3">
      <c r="A68" s="66">
        <f>A66+1</f>
        <v>54</v>
      </c>
      <c r="B68" s="67" t="s">
        <v>1002</v>
      </c>
      <c r="C68" s="66" t="s">
        <v>193</v>
      </c>
      <c r="D68" s="68">
        <v>0.46</v>
      </c>
      <c r="E68" s="167">
        <v>5928.3420000000006</v>
      </c>
      <c r="F68" s="274">
        <f t="shared" ref="F68:F82" si="19">ROUND(E68*D68,2)</f>
        <v>2727.04</v>
      </c>
      <c r="G68" s="274">
        <f t="shared" ref="G68:G82" si="20">ROUND(F68*1.2,2)</f>
        <v>3272.45</v>
      </c>
    </row>
    <row r="69" spans="1:8" ht="15.6" x14ac:dyDescent="0.3">
      <c r="A69" s="236">
        <f t="shared" ref="A69:A74" si="21">A68+1</f>
        <v>55</v>
      </c>
      <c r="B69" s="67" t="s">
        <v>1580</v>
      </c>
      <c r="C69" s="66" t="s">
        <v>193</v>
      </c>
      <c r="D69" s="272">
        <v>10.199999999999999</v>
      </c>
      <c r="E69" s="167">
        <v>31204.988009999997</v>
      </c>
      <c r="F69" s="274">
        <f t="shared" si="19"/>
        <v>318290.88</v>
      </c>
      <c r="G69" s="274">
        <f t="shared" si="20"/>
        <v>381949.06</v>
      </c>
      <c r="H69" s="202"/>
    </row>
    <row r="70" spans="1:8" ht="15.6" x14ac:dyDescent="0.3">
      <c r="A70" s="236">
        <f t="shared" si="21"/>
        <v>56</v>
      </c>
      <c r="B70" s="67" t="s">
        <v>1066</v>
      </c>
      <c r="C70" s="66" t="s">
        <v>387</v>
      </c>
      <c r="D70" s="196">
        <f>15.12*20/16</f>
        <v>18.899999999999999</v>
      </c>
      <c r="E70" s="167">
        <v>322.1925</v>
      </c>
      <c r="F70" s="274">
        <f t="shared" si="19"/>
        <v>6089.44</v>
      </c>
      <c r="G70" s="274">
        <f t="shared" si="20"/>
        <v>7307.33</v>
      </c>
    </row>
    <row r="71" spans="1:8" ht="15.6" x14ac:dyDescent="0.3">
      <c r="A71" s="236">
        <f t="shared" si="21"/>
        <v>57</v>
      </c>
      <c r="B71" s="67" t="s">
        <v>1065</v>
      </c>
      <c r="C71" s="66" t="s">
        <v>254</v>
      </c>
      <c r="D71" s="196">
        <v>70.599999999999994</v>
      </c>
      <c r="E71" s="167">
        <v>402.09624000000002</v>
      </c>
      <c r="F71" s="274">
        <f t="shared" si="19"/>
        <v>28387.99</v>
      </c>
      <c r="G71" s="274">
        <f t="shared" si="20"/>
        <v>34065.589999999997</v>
      </c>
    </row>
    <row r="72" spans="1:8" ht="15.6" x14ac:dyDescent="0.3">
      <c r="A72" s="236">
        <f t="shared" si="21"/>
        <v>58</v>
      </c>
      <c r="B72" s="67" t="s">
        <v>1581</v>
      </c>
      <c r="C72" s="66" t="s">
        <v>220</v>
      </c>
      <c r="D72" s="82">
        <v>3</v>
      </c>
      <c r="E72" s="167">
        <v>141764.70000000001</v>
      </c>
      <c r="F72" s="274">
        <f t="shared" si="19"/>
        <v>425294.1</v>
      </c>
      <c r="G72" s="274">
        <f t="shared" si="20"/>
        <v>510352.92</v>
      </c>
      <c r="H72" s="202"/>
    </row>
    <row r="73" spans="1:8" ht="15.6" x14ac:dyDescent="0.3">
      <c r="A73" s="236">
        <f t="shared" si="21"/>
        <v>59</v>
      </c>
      <c r="B73" s="233" t="s">
        <v>402</v>
      </c>
      <c r="C73" s="87" t="s">
        <v>254</v>
      </c>
      <c r="D73" s="218">
        <v>10.4</v>
      </c>
      <c r="E73" s="167">
        <v>1773.3475200000003</v>
      </c>
      <c r="F73" s="99">
        <f t="shared" si="19"/>
        <v>18442.810000000001</v>
      </c>
      <c r="G73" s="99">
        <f t="shared" si="20"/>
        <v>22131.37</v>
      </c>
    </row>
    <row r="74" spans="1:8" ht="15.6" x14ac:dyDescent="0.3">
      <c r="A74" s="236">
        <f t="shared" si="21"/>
        <v>60</v>
      </c>
      <c r="B74" s="233" t="s">
        <v>403</v>
      </c>
      <c r="C74" s="87" t="s">
        <v>254</v>
      </c>
      <c r="D74" s="218">
        <v>18.2</v>
      </c>
      <c r="E74" s="167">
        <v>1956.3528600000004</v>
      </c>
      <c r="F74" s="99">
        <f t="shared" si="19"/>
        <v>35605.620000000003</v>
      </c>
      <c r="G74" s="99">
        <f t="shared" si="20"/>
        <v>42726.74</v>
      </c>
    </row>
    <row r="75" spans="1:8" ht="15.6" x14ac:dyDescent="0.3">
      <c r="A75" s="236">
        <f t="shared" ref="A75:A82" si="22">A74+1</f>
        <v>61</v>
      </c>
      <c r="B75" s="67" t="s">
        <v>1582</v>
      </c>
      <c r="C75" s="87" t="s">
        <v>254</v>
      </c>
      <c r="D75" s="68">
        <f>76*0.243</f>
        <v>18.468</v>
      </c>
      <c r="E75" s="167">
        <v>163.67379</v>
      </c>
      <c r="F75" s="99">
        <f t="shared" si="19"/>
        <v>3022.73</v>
      </c>
      <c r="G75" s="99">
        <f t="shared" si="20"/>
        <v>3627.28</v>
      </c>
    </row>
    <row r="76" spans="1:8" ht="15.6" x14ac:dyDescent="0.3">
      <c r="A76" s="236">
        <f t="shared" si="22"/>
        <v>62</v>
      </c>
      <c r="B76" s="67" t="s">
        <v>1583</v>
      </c>
      <c r="C76" s="87" t="s">
        <v>254</v>
      </c>
      <c r="D76" s="68">
        <f>76*0.071</f>
        <v>5.3959999999999999</v>
      </c>
      <c r="E76" s="167">
        <v>189.44919000000002</v>
      </c>
      <c r="F76" s="99">
        <f t="shared" si="19"/>
        <v>1022.27</v>
      </c>
      <c r="G76" s="99">
        <f t="shared" si="20"/>
        <v>1226.72</v>
      </c>
    </row>
    <row r="77" spans="1:8" ht="15.6" x14ac:dyDescent="0.3">
      <c r="A77" s="236">
        <f t="shared" si="22"/>
        <v>63</v>
      </c>
      <c r="B77" s="67" t="s">
        <v>1584</v>
      </c>
      <c r="C77" s="87" t="s">
        <v>254</v>
      </c>
      <c r="D77" s="68">
        <f>76*0.0172</f>
        <v>1.3071999999999999</v>
      </c>
      <c r="E77" s="167">
        <v>253.88768999999999</v>
      </c>
      <c r="F77" s="99">
        <f t="shared" si="19"/>
        <v>331.88</v>
      </c>
      <c r="G77" s="99">
        <f t="shared" si="20"/>
        <v>398.26</v>
      </c>
    </row>
    <row r="78" spans="1:8" ht="15.6" x14ac:dyDescent="0.3">
      <c r="A78" s="236">
        <f t="shared" si="22"/>
        <v>64</v>
      </c>
      <c r="B78" s="67" t="s">
        <v>1585</v>
      </c>
      <c r="C78" s="87" t="s">
        <v>254</v>
      </c>
      <c r="D78" s="68">
        <f>76*0.015</f>
        <v>1.1399999999999999</v>
      </c>
      <c r="E78" s="167">
        <v>253.88768999999999</v>
      </c>
      <c r="F78" s="99">
        <f t="shared" si="19"/>
        <v>289.43</v>
      </c>
      <c r="G78" s="99">
        <f t="shared" si="20"/>
        <v>347.32</v>
      </c>
    </row>
    <row r="79" spans="1:8" ht="15.6" x14ac:dyDescent="0.3">
      <c r="A79" s="236">
        <f t="shared" si="22"/>
        <v>65</v>
      </c>
      <c r="B79" s="67" t="s">
        <v>1586</v>
      </c>
      <c r="C79" s="87" t="s">
        <v>254</v>
      </c>
      <c r="D79" s="68">
        <f>0.33*40</f>
        <v>13.200000000000001</v>
      </c>
      <c r="E79" s="167">
        <v>163.67379</v>
      </c>
      <c r="F79" s="99">
        <f t="shared" si="19"/>
        <v>2160.4899999999998</v>
      </c>
      <c r="G79" s="99">
        <f t="shared" si="20"/>
        <v>2592.59</v>
      </c>
    </row>
    <row r="80" spans="1:8" ht="15.6" x14ac:dyDescent="0.3">
      <c r="A80" s="236">
        <f t="shared" si="22"/>
        <v>66</v>
      </c>
      <c r="B80" s="67" t="s">
        <v>1587</v>
      </c>
      <c r="C80" s="87" t="s">
        <v>254</v>
      </c>
      <c r="D80" s="68">
        <f>40*0.107</f>
        <v>4.28</v>
      </c>
      <c r="E80" s="167">
        <v>189.44919000000002</v>
      </c>
      <c r="F80" s="99">
        <f t="shared" si="19"/>
        <v>810.84</v>
      </c>
      <c r="G80" s="99">
        <f t="shared" si="20"/>
        <v>973.01</v>
      </c>
    </row>
    <row r="81" spans="1:8" ht="15.6" x14ac:dyDescent="0.3">
      <c r="A81" s="236">
        <f t="shared" si="22"/>
        <v>67</v>
      </c>
      <c r="B81" s="67" t="s">
        <v>1588</v>
      </c>
      <c r="C81" s="87" t="s">
        <v>254</v>
      </c>
      <c r="D81" s="68">
        <f>0.03*40</f>
        <v>1.2</v>
      </c>
      <c r="E81" s="167">
        <v>253.88768999999999</v>
      </c>
      <c r="F81" s="99">
        <f t="shared" si="19"/>
        <v>304.67</v>
      </c>
      <c r="G81" s="99">
        <f t="shared" si="20"/>
        <v>365.6</v>
      </c>
    </row>
    <row r="82" spans="1:8" ht="15.6" x14ac:dyDescent="0.3">
      <c r="A82" s="236">
        <f t="shared" si="22"/>
        <v>68</v>
      </c>
      <c r="B82" s="67" t="s">
        <v>1589</v>
      </c>
      <c r="C82" s="87" t="s">
        <v>254</v>
      </c>
      <c r="D82" s="68">
        <f>40*0.068</f>
        <v>2.72</v>
      </c>
      <c r="E82" s="167">
        <v>253.88768999999999</v>
      </c>
      <c r="F82" s="99">
        <f t="shared" si="19"/>
        <v>690.57</v>
      </c>
      <c r="G82" s="99">
        <f t="shared" si="20"/>
        <v>828.68</v>
      </c>
    </row>
    <row r="83" spans="1:8" ht="15.6" x14ac:dyDescent="0.3">
      <c r="A83" s="236"/>
      <c r="B83" s="73" t="s">
        <v>1550</v>
      </c>
      <c r="C83" s="66"/>
      <c r="D83" s="265"/>
      <c r="E83" s="167">
        <v>0</v>
      </c>
      <c r="F83" s="94"/>
      <c r="G83" s="94"/>
    </row>
    <row r="84" spans="1:8" ht="27.6" x14ac:dyDescent="0.3">
      <c r="A84" s="236">
        <f>A82+1</f>
        <v>69</v>
      </c>
      <c r="B84" s="67" t="s">
        <v>1590</v>
      </c>
      <c r="C84" s="66" t="s">
        <v>193</v>
      </c>
      <c r="D84" s="196">
        <v>0.52</v>
      </c>
      <c r="E84" s="167">
        <v>31458.875700000001</v>
      </c>
      <c r="F84" s="274">
        <f>ROUND(E84*D84,2)</f>
        <v>16358.62</v>
      </c>
      <c r="G84" s="274">
        <f t="shared" ref="G84:G86" si="23">ROUND(F84*1.2,2)</f>
        <v>19630.34</v>
      </c>
      <c r="H84" s="202"/>
    </row>
    <row r="85" spans="1:8" ht="15.6" x14ac:dyDescent="0.3">
      <c r="A85" s="236">
        <f>A84+1</f>
        <v>70</v>
      </c>
      <c r="B85" s="67" t="s">
        <v>1591</v>
      </c>
      <c r="C85" s="66" t="s">
        <v>193</v>
      </c>
      <c r="D85" s="196">
        <v>2.52</v>
      </c>
      <c r="E85" s="167">
        <v>28649.357100000005</v>
      </c>
      <c r="F85" s="274">
        <f>ROUND(E85*D85,2)</f>
        <v>72196.38</v>
      </c>
      <c r="G85" s="274">
        <f t="shared" si="23"/>
        <v>86635.66</v>
      </c>
      <c r="H85" s="202"/>
    </row>
    <row r="86" spans="1:8" ht="27.6" x14ac:dyDescent="0.3">
      <c r="A86" s="66">
        <f>A85+1</f>
        <v>71</v>
      </c>
      <c r="B86" s="67" t="s">
        <v>407</v>
      </c>
      <c r="C86" s="66" t="s">
        <v>243</v>
      </c>
      <c r="D86" s="71">
        <v>1</v>
      </c>
      <c r="E86" s="167">
        <v>180427.80000000002</v>
      </c>
      <c r="F86" s="274">
        <f>ROUND(E86*D86,2)</f>
        <v>180427.8</v>
      </c>
      <c r="G86" s="274">
        <f t="shared" si="23"/>
        <v>216513.36</v>
      </c>
    </row>
    <row r="87" spans="1:8" ht="22.5" customHeight="1" x14ac:dyDescent="0.3">
      <c r="A87" s="977" t="s">
        <v>408</v>
      </c>
      <c r="B87" s="977"/>
      <c r="C87" s="977"/>
      <c r="D87" s="977"/>
      <c r="E87" s="977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topLeftCell="A79" zoomScaleNormal="100" zoomScaleSheetLayoutView="80" workbookViewId="0">
      <selection activeCell="D38" sqref="D38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54" t="s">
        <v>441</v>
      </c>
      <c r="F1" s="954" t="s">
        <v>433</v>
      </c>
      <c r="G1" s="954" t="s">
        <v>409</v>
      </c>
    </row>
    <row r="2" spans="1:10" ht="14.55" customHeight="1" x14ac:dyDescent="0.3">
      <c r="A2" s="964"/>
      <c r="B2" s="966"/>
      <c r="C2" s="954"/>
      <c r="D2" s="954"/>
      <c r="E2" s="954"/>
      <c r="F2" s="954"/>
      <c r="G2" s="954"/>
      <c r="J2" s="335"/>
    </row>
    <row r="3" spans="1:10" ht="55.95" customHeight="1" x14ac:dyDescent="0.3">
      <c r="A3" s="935"/>
      <c r="B3" s="967"/>
      <c r="C3" s="954"/>
      <c r="D3" s="954"/>
      <c r="E3" s="954"/>
      <c r="F3" s="954"/>
      <c r="G3" s="954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5"/>
    </row>
    <row r="5" spans="1:10" ht="20.25" customHeight="1" x14ac:dyDescent="0.3">
      <c r="A5" s="169"/>
      <c r="B5" s="957" t="s">
        <v>1341</v>
      </c>
      <c r="C5" s="958"/>
      <c r="D5" s="958"/>
      <c r="E5" s="170"/>
      <c r="F5" s="171"/>
      <c r="G5" s="179"/>
    </row>
    <row r="6" spans="1:10" ht="19.5" customHeight="1" x14ac:dyDescent="0.3">
      <c r="A6" s="60"/>
      <c r="B6" s="62" t="s">
        <v>1342</v>
      </c>
      <c r="C6" s="63"/>
      <c r="D6" s="63"/>
      <c r="E6" s="64"/>
      <c r="F6" s="65"/>
      <c r="G6" s="123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67">
        <v>464.82929999999999</v>
      </c>
      <c r="F7" s="270">
        <f t="shared" ref="F7:F12" si="0">ROUND(E7*D7,2)</f>
        <v>95754.84</v>
      </c>
      <c r="G7" s="270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67">
        <v>2541.5435879999995</v>
      </c>
      <c r="F8" s="270">
        <f t="shared" si="0"/>
        <v>15757.57</v>
      </c>
      <c r="G8" s="270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67">
        <v>464.82929999999999</v>
      </c>
      <c r="F9" s="270">
        <f t="shared" si="0"/>
        <v>58289.59</v>
      </c>
      <c r="G9" s="270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67">
        <v>1285.789356</v>
      </c>
      <c r="F10" s="270">
        <f t="shared" si="0"/>
        <v>40245.21</v>
      </c>
      <c r="G10" s="270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67">
        <v>464.82929999999999</v>
      </c>
      <c r="F11" s="270">
        <f t="shared" si="0"/>
        <v>38116</v>
      </c>
      <c r="G11" s="270">
        <f t="shared" si="1"/>
        <v>45739.199999999997</v>
      </c>
    </row>
    <row r="12" spans="1:10" s="52" customFormat="1" ht="15.6" x14ac:dyDescent="0.3">
      <c r="A12" s="507">
        <f t="shared" si="2"/>
        <v>6</v>
      </c>
      <c r="B12" s="508" t="s">
        <v>503</v>
      </c>
      <c r="C12" s="507" t="s">
        <v>193</v>
      </c>
      <c r="D12" s="518">
        <f>82/1.6</f>
        <v>51.25</v>
      </c>
      <c r="E12" s="510">
        <v>1350</v>
      </c>
      <c r="F12" s="511">
        <f t="shared" si="0"/>
        <v>69187.5</v>
      </c>
      <c r="G12" s="511">
        <f t="shared" si="1"/>
        <v>83025</v>
      </c>
    </row>
    <row r="13" spans="1:10" ht="24" customHeight="1" x14ac:dyDescent="0.3">
      <c r="A13" s="66"/>
      <c r="B13" s="62" t="s">
        <v>1343</v>
      </c>
      <c r="C13" s="66"/>
      <c r="D13" s="71"/>
      <c r="E13" s="167">
        <v>0</v>
      </c>
      <c r="F13" s="270"/>
      <c r="G13" s="270"/>
    </row>
    <row r="14" spans="1:10" ht="27.6" x14ac:dyDescent="0.3">
      <c r="A14" s="66">
        <f>A12+1</f>
        <v>7</v>
      </c>
      <c r="B14" s="67" t="s">
        <v>1344</v>
      </c>
      <c r="C14" s="66" t="s">
        <v>193</v>
      </c>
      <c r="D14" s="72">
        <v>9.9</v>
      </c>
      <c r="E14" s="167">
        <v>20109.230640000002</v>
      </c>
      <c r="F14" s="270">
        <f>ROUND(E14*D14,2)</f>
        <v>199081.38</v>
      </c>
      <c r="G14" s="270">
        <f t="shared" ref="G14" si="3">ROUND(F14*1.2,2)</f>
        <v>238897.66</v>
      </c>
    </row>
    <row r="15" spans="1:10" ht="23.25" customHeight="1" x14ac:dyDescent="0.3">
      <c r="A15" s="66"/>
      <c r="B15" s="62" t="s">
        <v>1345</v>
      </c>
      <c r="C15" s="66"/>
      <c r="D15" s="71"/>
      <c r="E15" s="167">
        <v>0</v>
      </c>
      <c r="F15" s="270"/>
      <c r="G15" s="270"/>
    </row>
    <row r="16" spans="1:10" ht="19.5" customHeight="1" x14ac:dyDescent="0.3">
      <c r="A16" s="66"/>
      <c r="B16" s="62" t="s">
        <v>1012</v>
      </c>
      <c r="C16" s="66"/>
      <c r="D16" s="71"/>
      <c r="E16" s="167">
        <v>0</v>
      </c>
      <c r="F16" s="270"/>
      <c r="G16" s="270"/>
    </row>
    <row r="17" spans="1:8" ht="27.6" x14ac:dyDescent="0.3">
      <c r="A17" s="66">
        <f>A14+1</f>
        <v>8</v>
      </c>
      <c r="B17" s="67" t="s">
        <v>1067</v>
      </c>
      <c r="C17" s="66" t="s">
        <v>193</v>
      </c>
      <c r="D17" s="68">
        <v>0.39</v>
      </c>
      <c r="E17" s="167">
        <v>43412.110317359999</v>
      </c>
      <c r="F17" s="270">
        <f>ROUND(E17*D17,2)</f>
        <v>16930.72</v>
      </c>
      <c r="G17" s="270">
        <f t="shared" ref="G17:G23" si="4">ROUND(F17*1.2,2)</f>
        <v>20316.86</v>
      </c>
      <c r="H17" s="203"/>
    </row>
    <row r="18" spans="1:8" ht="27.6" x14ac:dyDescent="0.3">
      <c r="A18" s="66">
        <f>A17+1</f>
        <v>9</v>
      </c>
      <c r="B18" s="67" t="s">
        <v>930</v>
      </c>
      <c r="C18" s="74" t="s">
        <v>431</v>
      </c>
      <c r="D18" s="68">
        <v>3.85</v>
      </c>
      <c r="E18" s="167">
        <v>217.397088</v>
      </c>
      <c r="F18" s="270">
        <f>ROUND(E18*D18,2)</f>
        <v>836.98</v>
      </c>
      <c r="G18" s="270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931</v>
      </c>
      <c r="C19" s="66" t="s">
        <v>431</v>
      </c>
      <c r="D19" s="68">
        <v>3.85</v>
      </c>
      <c r="E19" s="167">
        <v>451.29919176000004</v>
      </c>
      <c r="F19" s="270">
        <f>ROUND(E19*D19,2)</f>
        <v>1737.5</v>
      </c>
      <c r="G19" s="270">
        <f t="shared" si="4"/>
        <v>2085</v>
      </c>
    </row>
    <row r="20" spans="1:8" ht="21.75" customHeight="1" x14ac:dyDescent="0.3">
      <c r="A20" s="66"/>
      <c r="B20" s="73" t="s">
        <v>1013</v>
      </c>
      <c r="C20" s="66"/>
      <c r="D20" s="68"/>
      <c r="E20" s="167">
        <v>0</v>
      </c>
      <c r="F20" s="270"/>
      <c r="G20" s="270"/>
    </row>
    <row r="21" spans="1:8" ht="27.6" x14ac:dyDescent="0.3">
      <c r="A21" s="66">
        <f>A17+1</f>
        <v>9</v>
      </c>
      <c r="B21" s="67" t="s">
        <v>932</v>
      </c>
      <c r="C21" s="66" t="s">
        <v>193</v>
      </c>
      <c r="D21" s="68">
        <v>0.35</v>
      </c>
      <c r="E21" s="167">
        <v>43412.110317359999</v>
      </c>
      <c r="F21" s="270">
        <f>ROUND(E21*D21,2)</f>
        <v>15194.24</v>
      </c>
      <c r="G21" s="270">
        <f t="shared" si="4"/>
        <v>18233.09</v>
      </c>
    </row>
    <row r="22" spans="1:8" ht="27.6" x14ac:dyDescent="0.3">
      <c r="A22" s="66">
        <f>A21+1</f>
        <v>10</v>
      </c>
      <c r="B22" s="67" t="s">
        <v>930</v>
      </c>
      <c r="C22" s="74" t="s">
        <v>431</v>
      </c>
      <c r="D22" s="68">
        <v>3.5</v>
      </c>
      <c r="E22" s="167">
        <v>217.397088</v>
      </c>
      <c r="F22" s="270">
        <f>ROUND(E22*D22,2)</f>
        <v>760.89</v>
      </c>
      <c r="G22" s="270">
        <f t="shared" si="4"/>
        <v>913.07</v>
      </c>
    </row>
    <row r="23" spans="1:8" ht="27.6" x14ac:dyDescent="0.3">
      <c r="A23" s="66">
        <f t="shared" si="5"/>
        <v>11</v>
      </c>
      <c r="B23" s="67" t="s">
        <v>931</v>
      </c>
      <c r="C23" s="66" t="s">
        <v>431</v>
      </c>
      <c r="D23" s="68">
        <v>3.5</v>
      </c>
      <c r="E23" s="167">
        <v>451.29919176000004</v>
      </c>
      <c r="F23" s="270">
        <f>ROUND(E23*D23,2)</f>
        <v>1579.55</v>
      </c>
      <c r="G23" s="270">
        <f t="shared" si="4"/>
        <v>1895.46</v>
      </c>
    </row>
    <row r="24" spans="1:8" ht="19.5" customHeight="1" x14ac:dyDescent="0.3">
      <c r="A24" s="66"/>
      <c r="B24" s="62" t="s">
        <v>1346</v>
      </c>
      <c r="C24" s="66"/>
      <c r="D24" s="71"/>
      <c r="E24" s="167">
        <v>0</v>
      </c>
      <c r="F24" s="270"/>
      <c r="G24" s="270"/>
    </row>
    <row r="25" spans="1:8" ht="22.5" customHeight="1" x14ac:dyDescent="0.3">
      <c r="A25" s="66">
        <f>A23+1</f>
        <v>12</v>
      </c>
      <c r="B25" s="67" t="s">
        <v>1347</v>
      </c>
      <c r="C25" s="66" t="s">
        <v>193</v>
      </c>
      <c r="D25" s="68">
        <v>3.23</v>
      </c>
      <c r="E25" s="167">
        <v>19512.132374879999</v>
      </c>
      <c r="F25" s="270">
        <f t="shared" ref="F25:F30" si="6">ROUND(E25*D25,2)</f>
        <v>63024.19</v>
      </c>
      <c r="G25" s="270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1348</v>
      </c>
      <c r="C26" s="66" t="s">
        <v>193</v>
      </c>
      <c r="D26" s="68">
        <v>3.53</v>
      </c>
      <c r="E26" s="167">
        <v>19512.132374879999</v>
      </c>
      <c r="F26" s="270">
        <f t="shared" si="6"/>
        <v>68877.83</v>
      </c>
      <c r="G26" s="270">
        <f t="shared" si="7"/>
        <v>82653.399999999994</v>
      </c>
    </row>
    <row r="27" spans="1:8" ht="27.6" x14ac:dyDescent="0.3">
      <c r="A27" s="66">
        <f>A26+1</f>
        <v>14</v>
      </c>
      <c r="B27" s="67" t="s">
        <v>1349</v>
      </c>
      <c r="C27" s="66" t="s">
        <v>193</v>
      </c>
      <c r="D27" s="68">
        <v>2.68</v>
      </c>
      <c r="E27" s="167">
        <v>9931.2567749999998</v>
      </c>
      <c r="F27" s="270">
        <f t="shared" si="6"/>
        <v>26615.77</v>
      </c>
      <c r="G27" s="270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1350</v>
      </c>
      <c r="C28" s="66" t="s">
        <v>431</v>
      </c>
      <c r="D28" s="68">
        <v>53.3</v>
      </c>
      <c r="E28" s="167">
        <v>217.397088</v>
      </c>
      <c r="F28" s="270">
        <f t="shared" si="6"/>
        <v>11587.26</v>
      </c>
      <c r="G28" s="270">
        <f t="shared" si="7"/>
        <v>13904.71</v>
      </c>
    </row>
    <row r="29" spans="1:8" ht="27.6" x14ac:dyDescent="0.3">
      <c r="A29" s="66">
        <f t="shared" si="8"/>
        <v>16</v>
      </c>
      <c r="B29" s="67" t="s">
        <v>1351</v>
      </c>
      <c r="C29" s="66" t="s">
        <v>431</v>
      </c>
      <c r="D29" s="68">
        <v>53.3</v>
      </c>
      <c r="E29" s="167">
        <v>451.29919176000004</v>
      </c>
      <c r="F29" s="270">
        <f t="shared" si="6"/>
        <v>24054.25</v>
      </c>
      <c r="G29" s="270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1352</v>
      </c>
      <c r="C30" s="66" t="s">
        <v>194</v>
      </c>
      <c r="D30" s="71">
        <v>34</v>
      </c>
      <c r="E30" s="167">
        <v>9930.1840919999995</v>
      </c>
      <c r="F30" s="270">
        <f t="shared" si="6"/>
        <v>337626.26</v>
      </c>
      <c r="G30" s="270">
        <f t="shared" si="7"/>
        <v>405151.51</v>
      </c>
      <c r="H30" s="255"/>
    </row>
    <row r="31" spans="1:8" ht="20.25" customHeight="1" x14ac:dyDescent="0.3">
      <c r="A31" s="66"/>
      <c r="B31" s="62" t="s">
        <v>1353</v>
      </c>
      <c r="C31" s="66"/>
      <c r="D31" s="71"/>
      <c r="E31" s="167">
        <v>0</v>
      </c>
      <c r="F31" s="270"/>
      <c r="G31" s="270"/>
    </row>
    <row r="32" spans="1:8" ht="20.25" customHeight="1" x14ac:dyDescent="0.3">
      <c r="A32" s="66">
        <f>A30+1</f>
        <v>18</v>
      </c>
      <c r="B32" s="67" t="s">
        <v>1354</v>
      </c>
      <c r="C32" s="66" t="s">
        <v>193</v>
      </c>
      <c r="D32" s="72">
        <v>0.3</v>
      </c>
      <c r="E32" s="167">
        <v>19512.132374879999</v>
      </c>
      <c r="F32" s="270">
        <f>ROUND(E32*D32,2)</f>
        <v>5853.64</v>
      </c>
      <c r="G32" s="270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1355</v>
      </c>
      <c r="C33" s="66" t="s">
        <v>178</v>
      </c>
      <c r="D33" s="71">
        <v>4</v>
      </c>
      <c r="E33" s="167">
        <v>9518.2738200000003</v>
      </c>
      <c r="F33" s="270">
        <f>ROUND(E33*D33,2)</f>
        <v>38073.1</v>
      </c>
      <c r="G33" s="270">
        <f t="shared" si="9"/>
        <v>45687.72</v>
      </c>
    </row>
    <row r="34" spans="1:7" ht="20.25" customHeight="1" x14ac:dyDescent="0.3">
      <c r="A34" s="66"/>
      <c r="B34" s="62" t="s">
        <v>1356</v>
      </c>
      <c r="C34" s="66"/>
      <c r="D34" s="71"/>
      <c r="E34" s="167">
        <v>0</v>
      </c>
      <c r="F34" s="270"/>
      <c r="G34" s="270"/>
    </row>
    <row r="35" spans="1:7" ht="20.25" customHeight="1" x14ac:dyDescent="0.3">
      <c r="A35" s="66"/>
      <c r="B35" s="73" t="s">
        <v>513</v>
      </c>
      <c r="C35" s="66"/>
      <c r="D35" s="71"/>
      <c r="E35" s="167">
        <v>0</v>
      </c>
      <c r="F35" s="270"/>
      <c r="G35" s="270"/>
    </row>
    <row r="36" spans="1:7" ht="20.25" customHeight="1" x14ac:dyDescent="0.3">
      <c r="A36" s="66">
        <f>A33+1</f>
        <v>20</v>
      </c>
      <c r="B36" s="67" t="s">
        <v>1357</v>
      </c>
      <c r="C36" s="66" t="s">
        <v>193</v>
      </c>
      <c r="D36" s="72">
        <v>2.5</v>
      </c>
      <c r="E36" s="167">
        <v>2541.5435879999995</v>
      </c>
      <c r="F36" s="270">
        <f t="shared" ref="F36:F47" si="10">ROUND(E36*D36,2)</f>
        <v>6353.86</v>
      </c>
      <c r="G36" s="270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1358</v>
      </c>
      <c r="C37" s="66" t="s">
        <v>193</v>
      </c>
      <c r="D37" s="68">
        <v>2.1800000000000002</v>
      </c>
      <c r="E37" s="167">
        <v>1285.789356</v>
      </c>
      <c r="F37" s="270">
        <f t="shared" si="10"/>
        <v>2803.02</v>
      </c>
      <c r="G37" s="270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67">
        <v>464.82929999999999</v>
      </c>
      <c r="F38" s="270">
        <f t="shared" si="10"/>
        <v>232.41</v>
      </c>
      <c r="G38" s="270">
        <f t="shared" si="11"/>
        <v>278.89</v>
      </c>
    </row>
    <row r="39" spans="1:7" s="52" customFormat="1" ht="15.6" x14ac:dyDescent="0.3">
      <c r="A39" s="507">
        <f t="shared" si="12"/>
        <v>23</v>
      </c>
      <c r="B39" s="508" t="s">
        <v>503</v>
      </c>
      <c r="C39" s="507" t="s">
        <v>193</v>
      </c>
      <c r="D39" s="518">
        <f>0.5/1.2</f>
        <v>0.41666666666666669</v>
      </c>
      <c r="E39" s="510">
        <v>1350</v>
      </c>
      <c r="F39" s="511">
        <f t="shared" si="10"/>
        <v>562.5</v>
      </c>
      <c r="G39" s="511">
        <f t="shared" si="11"/>
        <v>675</v>
      </c>
    </row>
    <row r="40" spans="1:7" ht="20.25" customHeight="1" x14ac:dyDescent="0.3">
      <c r="A40" s="66">
        <f t="shared" si="12"/>
        <v>24</v>
      </c>
      <c r="B40" s="67" t="s">
        <v>1359</v>
      </c>
      <c r="C40" s="66" t="s">
        <v>254</v>
      </c>
      <c r="D40" s="68">
        <v>232.2</v>
      </c>
      <c r="E40" s="167">
        <v>92.085046511627908</v>
      </c>
      <c r="F40" s="270">
        <f t="shared" si="10"/>
        <v>21382.15</v>
      </c>
      <c r="G40" s="270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1360</v>
      </c>
      <c r="C41" s="66" t="s">
        <v>254</v>
      </c>
      <c r="D41" s="68">
        <v>5.3</v>
      </c>
      <c r="E41" s="167">
        <v>184.17009302325582</v>
      </c>
      <c r="F41" s="270">
        <f t="shared" si="10"/>
        <v>976.1</v>
      </c>
      <c r="G41" s="270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1361</v>
      </c>
      <c r="C42" s="66" t="s">
        <v>193</v>
      </c>
      <c r="D42" s="68">
        <v>0.35</v>
      </c>
      <c r="E42" s="167">
        <v>9929.9797714285723</v>
      </c>
      <c r="F42" s="270">
        <f t="shared" si="10"/>
        <v>3475.49</v>
      </c>
      <c r="G42" s="270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1611</v>
      </c>
      <c r="C43" s="66" t="s">
        <v>220</v>
      </c>
      <c r="D43" s="71">
        <v>2</v>
      </c>
      <c r="E43" s="167">
        <v>1301.5220400000001</v>
      </c>
      <c r="F43" s="270">
        <f t="shared" si="10"/>
        <v>2603.04</v>
      </c>
      <c r="G43" s="270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67">
        <v>260.30440800000002</v>
      </c>
      <c r="F44" s="270">
        <f t="shared" si="10"/>
        <v>1561.83</v>
      </c>
      <c r="G44" s="270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67">
        <v>260.30440800000002</v>
      </c>
      <c r="F45" s="270">
        <f t="shared" si="10"/>
        <v>1561.83</v>
      </c>
      <c r="G45" s="270">
        <f t="shared" si="11"/>
        <v>1874.2</v>
      </c>
    </row>
    <row r="46" spans="1:7" ht="27.6" x14ac:dyDescent="0.3">
      <c r="A46" s="66">
        <f t="shared" si="12"/>
        <v>30</v>
      </c>
      <c r="B46" s="67" t="s">
        <v>930</v>
      </c>
      <c r="C46" s="66" t="s">
        <v>431</v>
      </c>
      <c r="D46" s="68">
        <v>1.5</v>
      </c>
      <c r="E46" s="167">
        <v>217.397088</v>
      </c>
      <c r="F46" s="270">
        <f t="shared" si="10"/>
        <v>326.10000000000002</v>
      </c>
      <c r="G46" s="270">
        <f t="shared" si="11"/>
        <v>391.32</v>
      </c>
    </row>
    <row r="47" spans="1:7" ht="27.6" x14ac:dyDescent="0.3">
      <c r="A47" s="66">
        <f t="shared" si="12"/>
        <v>31</v>
      </c>
      <c r="B47" s="67" t="s">
        <v>931</v>
      </c>
      <c r="C47" s="66" t="s">
        <v>431</v>
      </c>
      <c r="D47" s="68">
        <v>1.5</v>
      </c>
      <c r="E47" s="167">
        <v>451.29919176000004</v>
      </c>
      <c r="F47" s="270">
        <f t="shared" si="10"/>
        <v>676.95</v>
      </c>
      <c r="G47" s="270">
        <f t="shared" si="11"/>
        <v>812.34</v>
      </c>
    </row>
    <row r="48" spans="1:7" ht="20.25" customHeight="1" x14ac:dyDescent="0.3">
      <c r="A48" s="66"/>
      <c r="B48" s="73" t="s">
        <v>1362</v>
      </c>
      <c r="C48" s="66"/>
      <c r="D48" s="71"/>
      <c r="E48" s="167">
        <v>0</v>
      </c>
      <c r="F48" s="270"/>
      <c r="G48" s="270"/>
    </row>
    <row r="49" spans="1:8" ht="20.25" customHeight="1" x14ac:dyDescent="0.3">
      <c r="A49" s="66">
        <f>A47+1</f>
        <v>32</v>
      </c>
      <c r="B49" s="67" t="s">
        <v>1363</v>
      </c>
      <c r="C49" s="66" t="s">
        <v>194</v>
      </c>
      <c r="D49" s="72">
        <v>15</v>
      </c>
      <c r="E49" s="167">
        <v>1520.3493719999999</v>
      </c>
      <c r="F49" s="270">
        <f t="shared" ref="F49:F58" si="13">ROUND(E49*D49,2)</f>
        <v>22805.24</v>
      </c>
      <c r="G49" s="270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1364</v>
      </c>
      <c r="C50" s="66" t="s">
        <v>194</v>
      </c>
      <c r="D50" s="71">
        <f>57.2-15</f>
        <v>42.2</v>
      </c>
      <c r="E50" s="167">
        <v>1577.5591319999999</v>
      </c>
      <c r="F50" s="270">
        <f t="shared" si="13"/>
        <v>66573</v>
      </c>
      <c r="G50" s="270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1365</v>
      </c>
      <c r="C51" s="66" t="s">
        <v>220</v>
      </c>
      <c r="D51" s="71">
        <v>9</v>
      </c>
      <c r="E51" s="167">
        <v>6217.2706679999992</v>
      </c>
      <c r="F51" s="270">
        <f t="shared" si="13"/>
        <v>55955.44</v>
      </c>
      <c r="G51" s="270">
        <f t="shared" si="14"/>
        <v>67146.53</v>
      </c>
    </row>
    <row r="52" spans="1:8" ht="15.6" x14ac:dyDescent="0.3">
      <c r="A52" s="66">
        <f t="shared" si="15"/>
        <v>35</v>
      </c>
      <c r="B52" s="221" t="s">
        <v>1366</v>
      </c>
      <c r="C52" s="66" t="s">
        <v>220</v>
      </c>
      <c r="D52" s="71">
        <v>28</v>
      </c>
      <c r="E52" s="167">
        <v>1870.7591519999999</v>
      </c>
      <c r="F52" s="270">
        <f t="shared" si="13"/>
        <v>52381.26</v>
      </c>
      <c r="G52" s="270">
        <f t="shared" si="14"/>
        <v>62857.51</v>
      </c>
      <c r="H52" s="220"/>
    </row>
    <row r="53" spans="1:8" ht="15.6" x14ac:dyDescent="0.3">
      <c r="A53" s="66">
        <f t="shared" si="15"/>
        <v>36</v>
      </c>
      <c r="B53" s="67" t="s">
        <v>1367</v>
      </c>
      <c r="C53" s="66" t="s">
        <v>220</v>
      </c>
      <c r="D53" s="71">
        <v>28</v>
      </c>
      <c r="E53" s="167">
        <v>15415.169832</v>
      </c>
      <c r="F53" s="270">
        <f t="shared" si="13"/>
        <v>431624.76</v>
      </c>
      <c r="G53" s="270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1368</v>
      </c>
      <c r="C54" s="66" t="s">
        <v>431</v>
      </c>
      <c r="D54" s="68">
        <v>3.9</v>
      </c>
      <c r="E54" s="167">
        <v>260.30440800000002</v>
      </c>
      <c r="F54" s="270">
        <f t="shared" si="13"/>
        <v>1015.19</v>
      </c>
      <c r="G54" s="270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1369</v>
      </c>
      <c r="C55" s="66" t="s">
        <v>220</v>
      </c>
      <c r="D55" s="71">
        <v>2</v>
      </c>
      <c r="E55" s="167">
        <v>37997.292347999995</v>
      </c>
      <c r="F55" s="270">
        <f t="shared" si="13"/>
        <v>75994.58</v>
      </c>
      <c r="G55" s="270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1370</v>
      </c>
      <c r="C56" s="66" t="s">
        <v>220</v>
      </c>
      <c r="D56" s="71">
        <v>4</v>
      </c>
      <c r="E56" s="167">
        <v>11645.046648</v>
      </c>
      <c r="F56" s="270">
        <f t="shared" si="13"/>
        <v>46580.19</v>
      </c>
      <c r="G56" s="270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1371</v>
      </c>
      <c r="C57" s="66" t="s">
        <v>220</v>
      </c>
      <c r="D57" s="71">
        <v>4</v>
      </c>
      <c r="E57" s="167">
        <v>6860.8804679999994</v>
      </c>
      <c r="F57" s="270">
        <f t="shared" si="13"/>
        <v>27443.52</v>
      </c>
      <c r="G57" s="270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1372</v>
      </c>
      <c r="C58" s="66" t="s">
        <v>220</v>
      </c>
      <c r="D58" s="71">
        <v>4</v>
      </c>
      <c r="E58" s="167">
        <v>1853.5962240000001</v>
      </c>
      <c r="F58" s="270">
        <f t="shared" si="13"/>
        <v>7414.38</v>
      </c>
      <c r="G58" s="270">
        <f t="shared" si="14"/>
        <v>8897.26</v>
      </c>
      <c r="H58"/>
    </row>
    <row r="59" spans="1:8" ht="23.25" customHeight="1" x14ac:dyDescent="0.3">
      <c r="A59" s="66"/>
      <c r="B59" s="73" t="s">
        <v>1373</v>
      </c>
      <c r="C59" s="66"/>
      <c r="D59" s="68"/>
      <c r="E59" s="167">
        <v>0</v>
      </c>
      <c r="F59" s="270"/>
      <c r="G59" s="270"/>
      <c r="H59"/>
    </row>
    <row r="60" spans="1:8" ht="27.6" x14ac:dyDescent="0.3">
      <c r="A60" s="66">
        <f>A58+1</f>
        <v>42</v>
      </c>
      <c r="B60" s="67" t="s">
        <v>1374</v>
      </c>
      <c r="C60" s="66" t="s">
        <v>220</v>
      </c>
      <c r="D60" s="71">
        <v>1</v>
      </c>
      <c r="E60" s="167">
        <v>32479.410995999999</v>
      </c>
      <c r="F60" s="270">
        <f t="shared" ref="F60:F73" si="16">ROUND(E60*D60,2)</f>
        <v>32479.41</v>
      </c>
      <c r="G60" s="270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1375</v>
      </c>
      <c r="C61" s="66" t="s">
        <v>194</v>
      </c>
      <c r="D61" s="68">
        <v>1.29</v>
      </c>
      <c r="E61" s="167">
        <v>1520.3493719999999</v>
      </c>
      <c r="F61" s="270">
        <f t="shared" si="16"/>
        <v>1961.25</v>
      </c>
      <c r="G61" s="270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1376</v>
      </c>
      <c r="C62" s="66" t="s">
        <v>194</v>
      </c>
      <c r="D62" s="68">
        <v>1.39</v>
      </c>
      <c r="E62" s="167">
        <v>1313.1070164</v>
      </c>
      <c r="F62" s="270">
        <f t="shared" si="16"/>
        <v>1825.22</v>
      </c>
      <c r="G62" s="270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1377</v>
      </c>
      <c r="C63" s="66" t="s">
        <v>220</v>
      </c>
      <c r="D63" s="71">
        <v>1</v>
      </c>
      <c r="E63" s="167">
        <v>4871.4110639999999</v>
      </c>
      <c r="F63" s="270">
        <f t="shared" si="16"/>
        <v>4871.41</v>
      </c>
      <c r="G63" s="270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1378</v>
      </c>
      <c r="C64" s="66" t="s">
        <v>220</v>
      </c>
      <c r="D64" s="71">
        <v>1</v>
      </c>
      <c r="E64" s="167">
        <v>393.86059272</v>
      </c>
      <c r="F64" s="270">
        <f t="shared" si="16"/>
        <v>393.86</v>
      </c>
      <c r="G64" s="270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1379</v>
      </c>
      <c r="C65" s="66" t="s">
        <v>220</v>
      </c>
      <c r="D65" s="71">
        <v>1</v>
      </c>
      <c r="E65" s="167">
        <v>32479.410995999999</v>
      </c>
      <c r="F65" s="270">
        <f t="shared" si="16"/>
        <v>32479.41</v>
      </c>
      <c r="G65" s="270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1380</v>
      </c>
      <c r="C66" s="66" t="s">
        <v>194</v>
      </c>
      <c r="D66" s="68">
        <v>1.29</v>
      </c>
      <c r="E66" s="167">
        <v>1520.3493719999999</v>
      </c>
      <c r="F66" s="270">
        <f t="shared" si="16"/>
        <v>1961.25</v>
      </c>
      <c r="G66" s="270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1381</v>
      </c>
      <c r="C67" s="66" t="s">
        <v>194</v>
      </c>
      <c r="D67" s="68">
        <v>1.07</v>
      </c>
      <c r="E67" s="167">
        <v>1313.1070164</v>
      </c>
      <c r="F67" s="270">
        <f t="shared" si="16"/>
        <v>1405.02</v>
      </c>
      <c r="G67" s="270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1377</v>
      </c>
      <c r="C68" s="66" t="s">
        <v>220</v>
      </c>
      <c r="D68" s="71">
        <v>1</v>
      </c>
      <c r="E68" s="167">
        <v>4871.4110639999999</v>
      </c>
      <c r="F68" s="270">
        <f t="shared" si="16"/>
        <v>4871.41</v>
      </c>
      <c r="G68" s="270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1378</v>
      </c>
      <c r="C69" s="66" t="s">
        <v>220</v>
      </c>
      <c r="D69" s="71">
        <v>1</v>
      </c>
      <c r="E69" s="167">
        <v>393.86059272</v>
      </c>
      <c r="F69" s="270">
        <f t="shared" si="16"/>
        <v>393.86</v>
      </c>
      <c r="G69" s="270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1382</v>
      </c>
      <c r="C70" s="66" t="s">
        <v>220</v>
      </c>
      <c r="D70" s="71">
        <v>2</v>
      </c>
      <c r="E70" s="167">
        <v>6860.8804679999994</v>
      </c>
      <c r="F70" s="270">
        <f t="shared" si="16"/>
        <v>13721.76</v>
      </c>
      <c r="G70" s="270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1383</v>
      </c>
      <c r="C71" s="66" t="s">
        <v>220</v>
      </c>
      <c r="D71" s="71">
        <v>2</v>
      </c>
      <c r="E71" s="167">
        <v>1516.05864</v>
      </c>
      <c r="F71" s="270">
        <f t="shared" si="16"/>
        <v>3032.12</v>
      </c>
      <c r="G71" s="270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1378</v>
      </c>
      <c r="C72" s="66" t="s">
        <v>220</v>
      </c>
      <c r="D72" s="71">
        <v>2</v>
      </c>
      <c r="E72" s="167">
        <v>393.86059272</v>
      </c>
      <c r="F72" s="270">
        <f t="shared" si="16"/>
        <v>787.72</v>
      </c>
      <c r="G72" s="270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1384</v>
      </c>
      <c r="C73" s="66" t="s">
        <v>220</v>
      </c>
      <c r="D73" s="71">
        <v>1</v>
      </c>
      <c r="E73" s="167">
        <v>886.75128000000007</v>
      </c>
      <c r="F73" s="270">
        <f t="shared" si="16"/>
        <v>886.75</v>
      </c>
      <c r="G73" s="270">
        <f t="shared" si="17"/>
        <v>1064.0999999999999</v>
      </c>
      <c r="H73" s="202"/>
    </row>
    <row r="74" spans="1:8" ht="15.6" x14ac:dyDescent="0.3">
      <c r="A74" s="66"/>
      <c r="B74" s="73" t="s">
        <v>1385</v>
      </c>
      <c r="C74" s="66"/>
      <c r="D74" s="68"/>
      <c r="E74" s="167">
        <v>0</v>
      </c>
      <c r="F74" s="270"/>
      <c r="G74" s="270"/>
      <c r="H74"/>
    </row>
    <row r="75" spans="1:8" ht="15.6" x14ac:dyDescent="0.3">
      <c r="A75" s="66">
        <f>A73+1</f>
        <v>56</v>
      </c>
      <c r="B75" s="67" t="s">
        <v>1386</v>
      </c>
      <c r="C75" s="66" t="s">
        <v>220</v>
      </c>
      <c r="D75" s="71">
        <v>2</v>
      </c>
      <c r="E75" s="167">
        <v>2186.8430760000001</v>
      </c>
      <c r="F75" s="270">
        <f t="shared" ref="F75:F88" si="19">ROUND(E75*D75,2)</f>
        <v>4373.6899999999996</v>
      </c>
      <c r="G75" s="270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1612</v>
      </c>
      <c r="C76" s="66" t="s">
        <v>220</v>
      </c>
      <c r="D76" s="71">
        <v>1</v>
      </c>
      <c r="E76" s="167">
        <v>6636.3321599999999</v>
      </c>
      <c r="F76" s="270">
        <f t="shared" si="19"/>
        <v>6636.33</v>
      </c>
      <c r="G76" s="270">
        <f t="shared" si="20"/>
        <v>7963.6</v>
      </c>
      <c r="H76"/>
    </row>
    <row r="77" spans="1:8" ht="15.6" x14ac:dyDescent="0.3">
      <c r="A77" s="66">
        <f>A76+1</f>
        <v>58</v>
      </c>
      <c r="B77" s="67" t="s">
        <v>1387</v>
      </c>
      <c r="C77" s="66" t="s">
        <v>220</v>
      </c>
      <c r="D77" s="71">
        <v>1</v>
      </c>
      <c r="E77" s="167">
        <v>6134.3165159999999</v>
      </c>
      <c r="F77" s="270">
        <f t="shared" si="19"/>
        <v>6134.32</v>
      </c>
      <c r="G77" s="270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1388</v>
      </c>
      <c r="C78" s="66" t="s">
        <v>220</v>
      </c>
      <c r="D78" s="71">
        <v>1</v>
      </c>
      <c r="E78" s="167">
        <v>2972.0470319999999</v>
      </c>
      <c r="F78" s="270">
        <f t="shared" si="19"/>
        <v>2972.05</v>
      </c>
      <c r="G78" s="270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1389</v>
      </c>
      <c r="C79" s="66" t="s">
        <v>220</v>
      </c>
      <c r="D79" s="71">
        <v>1</v>
      </c>
      <c r="E79" s="167">
        <v>8105.1927479999995</v>
      </c>
      <c r="F79" s="270">
        <f t="shared" si="19"/>
        <v>8105.19</v>
      </c>
      <c r="G79" s="270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1390</v>
      </c>
      <c r="C80" s="66" t="s">
        <v>220</v>
      </c>
      <c r="D80" s="71">
        <v>1</v>
      </c>
      <c r="E80" s="167">
        <v>2972.0470319999999</v>
      </c>
      <c r="F80" s="270">
        <f t="shared" si="19"/>
        <v>2972.05</v>
      </c>
      <c r="G80" s="270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1391</v>
      </c>
      <c r="C81" s="66" t="s">
        <v>220</v>
      </c>
      <c r="D81" s="71">
        <v>3</v>
      </c>
      <c r="E81" s="167">
        <v>429.07319999999999</v>
      </c>
      <c r="F81" s="270">
        <f t="shared" si="19"/>
        <v>1287.22</v>
      </c>
      <c r="G81" s="270">
        <f t="shared" si="20"/>
        <v>1544.66</v>
      </c>
      <c r="H81" s="202"/>
    </row>
    <row r="82" spans="1:8" ht="15.6" x14ac:dyDescent="0.3">
      <c r="A82" s="66">
        <f t="shared" si="21"/>
        <v>63</v>
      </c>
      <c r="B82" s="67" t="s">
        <v>1392</v>
      </c>
      <c r="C82" s="66" t="s">
        <v>220</v>
      </c>
      <c r="D82" s="71">
        <v>1</v>
      </c>
      <c r="E82" s="167">
        <v>4592.5134839999992</v>
      </c>
      <c r="F82" s="270">
        <f t="shared" si="19"/>
        <v>4592.51</v>
      </c>
      <c r="G82" s="270">
        <f t="shared" si="20"/>
        <v>5511.01</v>
      </c>
      <c r="H82" s="255"/>
    </row>
    <row r="83" spans="1:8" ht="15.6" x14ac:dyDescent="0.3">
      <c r="A83" s="66">
        <f t="shared" si="21"/>
        <v>64</v>
      </c>
      <c r="B83" s="67" t="s">
        <v>979</v>
      </c>
      <c r="C83" s="66" t="s">
        <v>193</v>
      </c>
      <c r="D83" s="68">
        <v>0.18</v>
      </c>
      <c r="E83" s="167">
        <v>1973.7367200000001</v>
      </c>
      <c r="F83" s="270">
        <f t="shared" si="19"/>
        <v>355.27</v>
      </c>
      <c r="G83" s="270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1393</v>
      </c>
      <c r="C84" s="66" t="s">
        <v>193</v>
      </c>
      <c r="D84" s="68">
        <v>0.17</v>
      </c>
      <c r="E84" s="167">
        <v>9927.5759999999991</v>
      </c>
      <c r="F84" s="270">
        <f t="shared" si="19"/>
        <v>1687.69</v>
      </c>
      <c r="G84" s="270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1394</v>
      </c>
      <c r="C85" s="66" t="s">
        <v>193</v>
      </c>
      <c r="D85" s="68">
        <v>0.05</v>
      </c>
      <c r="E85" s="167">
        <v>9927.5810479200009</v>
      </c>
      <c r="F85" s="270">
        <f t="shared" si="19"/>
        <v>496.38</v>
      </c>
      <c r="G85" s="270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1395</v>
      </c>
      <c r="C86" s="66" t="s">
        <v>431</v>
      </c>
      <c r="D86" s="68">
        <v>20.09</v>
      </c>
      <c r="E86" s="167">
        <v>193.08294000000001</v>
      </c>
      <c r="F86" s="270">
        <f t="shared" si="19"/>
        <v>3879.04</v>
      </c>
      <c r="G86" s="270">
        <f t="shared" si="20"/>
        <v>4654.8500000000004</v>
      </c>
      <c r="H86" s="202"/>
    </row>
    <row r="87" spans="1:8" ht="15.6" x14ac:dyDescent="0.3">
      <c r="A87" s="66">
        <f t="shared" si="21"/>
        <v>68</v>
      </c>
      <c r="B87" s="67" t="s">
        <v>1396</v>
      </c>
      <c r="C87" s="66" t="s">
        <v>220</v>
      </c>
      <c r="D87" s="68">
        <v>2</v>
      </c>
      <c r="E87" s="167">
        <v>9518.2738200000003</v>
      </c>
      <c r="F87" s="270">
        <f t="shared" si="19"/>
        <v>19036.55</v>
      </c>
      <c r="G87" s="270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954</v>
      </c>
      <c r="C88" s="66" t="s">
        <v>194</v>
      </c>
      <c r="D88" s="68">
        <v>12.6</v>
      </c>
      <c r="E88" s="167">
        <v>895.43286108000018</v>
      </c>
      <c r="F88" s="270">
        <f t="shared" si="19"/>
        <v>11282.45</v>
      </c>
      <c r="G88" s="270">
        <f t="shared" si="20"/>
        <v>13538.94</v>
      </c>
      <c r="H88"/>
    </row>
    <row r="89" spans="1:8" x14ac:dyDescent="0.3">
      <c r="A89" s="974" t="s">
        <v>721</v>
      </c>
      <c r="B89" s="975"/>
      <c r="C89" s="975"/>
      <c r="D89" s="975"/>
      <c r="E89" s="976"/>
      <c r="F89" s="153">
        <f>SUM(F7:F88)</f>
        <v>2134368.2999999998</v>
      </c>
      <c r="G89" s="284">
        <f>SUM(G7:G88)</f>
        <v>2561241.9499999997</v>
      </c>
    </row>
  </sheetData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zoomScaleNormal="100" zoomScaleSheetLayoutView="80" workbookViewId="0">
      <selection activeCell="D7" sqref="D7:D98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1016" t="s">
        <v>231</v>
      </c>
      <c r="F1" s="1016" t="s">
        <v>410</v>
      </c>
      <c r="G1" s="1016" t="s">
        <v>409</v>
      </c>
    </row>
    <row r="2" spans="1:10" ht="14.55" customHeight="1" x14ac:dyDescent="0.3">
      <c r="A2" s="964"/>
      <c r="B2" s="966"/>
      <c r="C2" s="954"/>
      <c r="D2" s="954"/>
      <c r="E2" s="1016"/>
      <c r="F2" s="1016"/>
      <c r="G2" s="1016"/>
      <c r="J2" s="335"/>
    </row>
    <row r="3" spans="1:10" ht="27.6" customHeight="1" x14ac:dyDescent="0.3">
      <c r="A3" s="935"/>
      <c r="B3" s="967"/>
      <c r="C3" s="954"/>
      <c r="D3" s="954"/>
      <c r="E3" s="948"/>
      <c r="F3" s="948"/>
      <c r="G3" s="948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5"/>
    </row>
    <row r="5" spans="1:10" ht="20.25" customHeight="1" x14ac:dyDescent="0.3">
      <c r="A5" s="169"/>
      <c r="B5" s="957" t="s">
        <v>1341</v>
      </c>
      <c r="C5" s="958"/>
      <c r="D5" s="958"/>
      <c r="E5" s="170"/>
      <c r="F5" s="171"/>
      <c r="G5" s="172"/>
    </row>
    <row r="6" spans="1:10" ht="20.25" customHeight="1" x14ac:dyDescent="0.3">
      <c r="A6" s="66"/>
      <c r="B6" s="73" t="s">
        <v>1343</v>
      </c>
      <c r="C6" s="66"/>
      <c r="D6" s="71"/>
      <c r="E6" s="167"/>
      <c r="F6" s="94"/>
      <c r="G6" s="94"/>
    </row>
    <row r="7" spans="1:10" ht="15.6" x14ac:dyDescent="0.3">
      <c r="A7" s="66">
        <f>A6+1</f>
        <v>1</v>
      </c>
      <c r="B7" s="67" t="s">
        <v>1397</v>
      </c>
      <c r="C7" s="66" t="s">
        <v>220</v>
      </c>
      <c r="D7" s="859">
        <v>22</v>
      </c>
      <c r="E7" s="167">
        <v>2873.9571000000001</v>
      </c>
      <c r="F7" s="270">
        <f>ROUND(E7*D7,2)</f>
        <v>63227.06</v>
      </c>
      <c r="G7" s="270">
        <f t="shared" ref="G7" si="0">ROUND(F7*1.2,2)</f>
        <v>75872.47</v>
      </c>
    </row>
    <row r="8" spans="1:10" ht="15.6" x14ac:dyDescent="0.3">
      <c r="A8" s="66"/>
      <c r="B8" s="73" t="s">
        <v>1345</v>
      </c>
      <c r="C8" s="74"/>
      <c r="D8" s="859"/>
      <c r="E8" s="167">
        <v>0</v>
      </c>
      <c r="F8" s="270"/>
      <c r="G8" s="270"/>
    </row>
    <row r="9" spans="1:10" ht="15.6" x14ac:dyDescent="0.3">
      <c r="A9" s="66"/>
      <c r="B9" s="73" t="s">
        <v>1346</v>
      </c>
      <c r="C9" s="66"/>
      <c r="D9" s="861"/>
      <c r="E9" s="167">
        <v>0</v>
      </c>
      <c r="F9" s="270"/>
      <c r="G9" s="270"/>
    </row>
    <row r="10" spans="1:10" ht="15.6" x14ac:dyDescent="0.3">
      <c r="A10" s="66">
        <f>A7+1</f>
        <v>2</v>
      </c>
      <c r="B10" s="67" t="s">
        <v>1398</v>
      </c>
      <c r="C10" s="66" t="s">
        <v>193</v>
      </c>
      <c r="D10" s="861">
        <v>6.76</v>
      </c>
      <c r="E10" s="167">
        <v>7049.5719000000008</v>
      </c>
      <c r="F10" s="270">
        <f t="shared" ref="F10:F19" si="1">ROUND(E10*D10,2)</f>
        <v>47655.11</v>
      </c>
      <c r="G10" s="270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1002</v>
      </c>
      <c r="C11" s="66" t="s">
        <v>193</v>
      </c>
      <c r="D11" s="861">
        <v>2.68</v>
      </c>
      <c r="E11" s="167">
        <v>5928.3420000000006</v>
      </c>
      <c r="F11" s="270">
        <f t="shared" si="1"/>
        <v>15887.96</v>
      </c>
      <c r="G11" s="270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1399</v>
      </c>
      <c r="C12" s="74" t="s">
        <v>239</v>
      </c>
      <c r="D12" s="861">
        <v>0.47</v>
      </c>
      <c r="E12" s="167">
        <v>109545.45</v>
      </c>
      <c r="F12" s="270">
        <f t="shared" si="1"/>
        <v>51486.36</v>
      </c>
      <c r="G12" s="270">
        <f t="shared" si="2"/>
        <v>61783.63</v>
      </c>
    </row>
    <row r="13" spans="1:10" ht="15.6" x14ac:dyDescent="0.3">
      <c r="A13" s="66">
        <f t="shared" si="3"/>
        <v>5</v>
      </c>
      <c r="B13" s="67" t="s">
        <v>1400</v>
      </c>
      <c r="C13" s="74" t="s">
        <v>239</v>
      </c>
      <c r="D13" s="861">
        <v>0.1</v>
      </c>
      <c r="E13" s="167">
        <v>109545.45</v>
      </c>
      <c r="F13" s="270">
        <f t="shared" si="1"/>
        <v>10954.55</v>
      </c>
      <c r="G13" s="270">
        <f t="shared" si="2"/>
        <v>13145.46</v>
      </c>
    </row>
    <row r="14" spans="1:10" ht="15.6" x14ac:dyDescent="0.3">
      <c r="A14" s="66">
        <f t="shared" si="3"/>
        <v>6</v>
      </c>
      <c r="B14" s="67" t="s">
        <v>1401</v>
      </c>
      <c r="C14" s="66" t="s">
        <v>239</v>
      </c>
      <c r="D14" s="861">
        <v>0.16</v>
      </c>
      <c r="E14" s="167">
        <v>109545.45</v>
      </c>
      <c r="F14" s="270">
        <f t="shared" si="1"/>
        <v>17527.27</v>
      </c>
      <c r="G14" s="270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1402</v>
      </c>
      <c r="C15" s="66" t="s">
        <v>254</v>
      </c>
      <c r="D15" s="861">
        <f>34.4*2</f>
        <v>68.8</v>
      </c>
      <c r="E15" s="167">
        <v>96.657750000000007</v>
      </c>
      <c r="F15" s="270">
        <f t="shared" si="1"/>
        <v>6650.05</v>
      </c>
      <c r="G15" s="270">
        <f t="shared" si="2"/>
        <v>7980.06</v>
      </c>
    </row>
    <row r="16" spans="1:10" ht="15.6" x14ac:dyDescent="0.3">
      <c r="A16" s="66">
        <f t="shared" si="3"/>
        <v>8</v>
      </c>
      <c r="B16" s="67" t="s">
        <v>1403</v>
      </c>
      <c r="C16" s="66" t="s">
        <v>254</v>
      </c>
      <c r="D16" s="861">
        <f>6*3.3</f>
        <v>19.799999999999997</v>
      </c>
      <c r="E16" s="167">
        <v>1933.155</v>
      </c>
      <c r="F16" s="270">
        <f t="shared" si="1"/>
        <v>38276.47</v>
      </c>
      <c r="G16" s="270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861">
        <v>26.2</v>
      </c>
      <c r="E17" s="167">
        <v>402.09624000000002</v>
      </c>
      <c r="F17" s="270">
        <f t="shared" si="1"/>
        <v>10534.92</v>
      </c>
      <c r="G17" s="270">
        <f t="shared" si="2"/>
        <v>12641.9</v>
      </c>
    </row>
    <row r="18" spans="1:7" ht="15.6" x14ac:dyDescent="0.3">
      <c r="A18" s="66">
        <f t="shared" si="3"/>
        <v>10</v>
      </c>
      <c r="B18" s="67" t="s">
        <v>1404</v>
      </c>
      <c r="C18" s="66" t="s">
        <v>387</v>
      </c>
      <c r="D18" s="861">
        <f>13.3*20/16</f>
        <v>16.625</v>
      </c>
      <c r="E18" s="167">
        <v>322.1925</v>
      </c>
      <c r="F18" s="270">
        <f t="shared" si="1"/>
        <v>5356.45</v>
      </c>
      <c r="G18" s="270">
        <f t="shared" si="2"/>
        <v>6427.74</v>
      </c>
    </row>
    <row r="19" spans="1:7" ht="15.6" x14ac:dyDescent="0.3">
      <c r="A19" s="66">
        <f t="shared" si="3"/>
        <v>11</v>
      </c>
      <c r="B19" s="67" t="s">
        <v>1405</v>
      </c>
      <c r="C19" s="66" t="s">
        <v>193</v>
      </c>
      <c r="D19" s="861">
        <v>0.7</v>
      </c>
      <c r="E19" s="167">
        <v>0</v>
      </c>
      <c r="F19" s="270">
        <f t="shared" si="1"/>
        <v>0</v>
      </c>
      <c r="G19" s="270">
        <f t="shared" si="2"/>
        <v>0</v>
      </c>
    </row>
    <row r="20" spans="1:7" ht="15.6" x14ac:dyDescent="0.3">
      <c r="A20" s="66"/>
      <c r="B20" s="73" t="s">
        <v>1012</v>
      </c>
      <c r="C20" s="66"/>
      <c r="D20" s="861"/>
      <c r="E20" s="167">
        <v>0</v>
      </c>
      <c r="F20" s="270"/>
      <c r="G20" s="270"/>
    </row>
    <row r="21" spans="1:7" ht="15.6" x14ac:dyDescent="0.3">
      <c r="A21" s="66">
        <f>A19+1</f>
        <v>12</v>
      </c>
      <c r="B21" s="67" t="s">
        <v>1406</v>
      </c>
      <c r="C21" s="66" t="s">
        <v>193</v>
      </c>
      <c r="D21" s="861">
        <v>0.39</v>
      </c>
      <c r="E21" s="167">
        <v>7049.5719000000008</v>
      </c>
      <c r="F21" s="270">
        <f>ROUND(E21*D21,2)</f>
        <v>2749.33</v>
      </c>
      <c r="G21" s="270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1401</v>
      </c>
      <c r="C22" s="66" t="s">
        <v>239</v>
      </c>
      <c r="D22" s="1024">
        <v>3.2000000000000001E-2</v>
      </c>
      <c r="E22" s="167">
        <v>109545.45</v>
      </c>
      <c r="F22" s="270">
        <f>ROUND(E22*D22,2)</f>
        <v>3505.45</v>
      </c>
      <c r="G22" s="270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861">
        <v>1.9</v>
      </c>
      <c r="E23" s="167">
        <v>402.09624000000002</v>
      </c>
      <c r="F23" s="270">
        <f>ROUND(E23*D23,2)</f>
        <v>763.98</v>
      </c>
      <c r="G23" s="270">
        <f t="shared" si="4"/>
        <v>916.78</v>
      </c>
    </row>
    <row r="24" spans="1:7" ht="15.6" x14ac:dyDescent="0.3">
      <c r="A24" s="66">
        <f>A23+1</f>
        <v>15</v>
      </c>
      <c r="B24" s="67" t="s">
        <v>1404</v>
      </c>
      <c r="C24" s="66" t="s">
        <v>387</v>
      </c>
      <c r="D24" s="861">
        <f>1*20/16</f>
        <v>1.25</v>
      </c>
      <c r="E24" s="167">
        <v>322.1925</v>
      </c>
      <c r="F24" s="270">
        <f>ROUND(E24*D24,2)</f>
        <v>402.74</v>
      </c>
      <c r="G24" s="270">
        <f t="shared" si="4"/>
        <v>483.29</v>
      </c>
    </row>
    <row r="25" spans="1:7" ht="19.5" customHeight="1" x14ac:dyDescent="0.3">
      <c r="A25" s="66"/>
      <c r="B25" s="73" t="s">
        <v>1013</v>
      </c>
      <c r="C25" s="66"/>
      <c r="D25" s="861"/>
      <c r="E25" s="167">
        <v>0</v>
      </c>
      <c r="F25" s="270"/>
      <c r="G25" s="270"/>
    </row>
    <row r="26" spans="1:7" ht="15.6" x14ac:dyDescent="0.3">
      <c r="A26" s="66">
        <f>A24+1</f>
        <v>16</v>
      </c>
      <c r="B26" s="67" t="s">
        <v>1406</v>
      </c>
      <c r="C26" s="66" t="s">
        <v>193</v>
      </c>
      <c r="D26" s="861">
        <v>0.35</v>
      </c>
      <c r="E26" s="167">
        <v>7049.5719000000008</v>
      </c>
      <c r="F26" s="270">
        <f>ROUND(E26*D26,2)</f>
        <v>2467.35</v>
      </c>
      <c r="G26" s="270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1401</v>
      </c>
      <c r="C27" s="66" t="s">
        <v>239</v>
      </c>
      <c r="D27" s="1024">
        <v>2.8000000000000001E-2</v>
      </c>
      <c r="E27" s="167">
        <v>109545.45</v>
      </c>
      <c r="F27" s="270">
        <f>ROUND(E27*D27,2)</f>
        <v>3067.27</v>
      </c>
      <c r="G27" s="270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861">
        <v>1.7</v>
      </c>
      <c r="E28" s="167">
        <v>402.09624000000002</v>
      </c>
      <c r="F28" s="270">
        <f>ROUND(E28*D28,2)</f>
        <v>683.56</v>
      </c>
      <c r="G28" s="270">
        <f t="shared" si="5"/>
        <v>820.27</v>
      </c>
    </row>
    <row r="29" spans="1:7" ht="15.6" x14ac:dyDescent="0.3">
      <c r="A29" s="66">
        <f>A28+1</f>
        <v>19</v>
      </c>
      <c r="B29" s="67" t="s">
        <v>1404</v>
      </c>
      <c r="C29" s="66" t="s">
        <v>387</v>
      </c>
      <c r="D29" s="861">
        <f>0.9*20/16</f>
        <v>1.125</v>
      </c>
      <c r="E29" s="167">
        <v>322.1925</v>
      </c>
      <c r="F29" s="270">
        <f>ROUND(E29*D29,2)</f>
        <v>362.47</v>
      </c>
      <c r="G29" s="270">
        <f t="shared" si="5"/>
        <v>434.96</v>
      </c>
    </row>
    <row r="30" spans="1:7" ht="19.5" customHeight="1" x14ac:dyDescent="0.3">
      <c r="A30" s="66"/>
      <c r="B30" s="73" t="s">
        <v>1353</v>
      </c>
      <c r="C30" s="66"/>
      <c r="D30" s="861"/>
      <c r="E30" s="167">
        <v>0</v>
      </c>
      <c r="F30" s="270"/>
      <c r="G30" s="270"/>
    </row>
    <row r="31" spans="1:7" ht="15.6" x14ac:dyDescent="0.3">
      <c r="A31" s="66">
        <f>A29+1</f>
        <v>20</v>
      </c>
      <c r="B31" s="67" t="s">
        <v>1398</v>
      </c>
      <c r="C31" s="66" t="s">
        <v>193</v>
      </c>
      <c r="D31" s="861">
        <v>0.3</v>
      </c>
      <c r="E31" s="167">
        <v>7049.5719000000008</v>
      </c>
      <c r="F31" s="270">
        <f>ROUND(E31*D31,2)</f>
        <v>2114.87</v>
      </c>
      <c r="G31" s="270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1399</v>
      </c>
      <c r="C32" s="66" t="s">
        <v>239</v>
      </c>
      <c r="D32" s="861">
        <v>0.02</v>
      </c>
      <c r="E32" s="167">
        <v>109545.45</v>
      </c>
      <c r="F32" s="270">
        <f>ROUND(E32*D32,2)</f>
        <v>2190.91</v>
      </c>
      <c r="G32" s="270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1401</v>
      </c>
      <c r="C33" s="66" t="s">
        <v>239</v>
      </c>
      <c r="D33" s="861">
        <v>0.01</v>
      </c>
      <c r="E33" s="167">
        <v>109545.45</v>
      </c>
      <c r="F33" s="270">
        <f>ROUND(E33*D33,2)</f>
        <v>1095.45</v>
      </c>
      <c r="G33" s="270">
        <f t="shared" si="6"/>
        <v>1314.54</v>
      </c>
    </row>
    <row r="34" spans="1:7" ht="15.6" x14ac:dyDescent="0.3">
      <c r="A34" s="66">
        <f t="shared" si="7"/>
        <v>23</v>
      </c>
      <c r="B34" s="67" t="s">
        <v>1407</v>
      </c>
      <c r="C34" s="66" t="s">
        <v>239</v>
      </c>
      <c r="D34" s="861">
        <v>0.01</v>
      </c>
      <c r="E34" s="167">
        <v>96657.75</v>
      </c>
      <c r="F34" s="270">
        <f>ROUND(E34*D34,2)</f>
        <v>966.58</v>
      </c>
      <c r="G34" s="270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1408</v>
      </c>
      <c r="C35" s="66" t="s">
        <v>220</v>
      </c>
      <c r="D35" s="859">
        <v>4</v>
      </c>
      <c r="E35" s="167">
        <v>0</v>
      </c>
      <c r="F35" s="270">
        <f>ROUND(E35*D35,2)</f>
        <v>0</v>
      </c>
      <c r="G35" s="270">
        <f t="shared" si="6"/>
        <v>0</v>
      </c>
    </row>
    <row r="36" spans="1:7" ht="15.6" x14ac:dyDescent="0.3">
      <c r="A36" s="66"/>
      <c r="B36" s="73" t="s">
        <v>1356</v>
      </c>
      <c r="C36" s="66"/>
      <c r="D36" s="861"/>
      <c r="E36" s="167">
        <v>0</v>
      </c>
      <c r="F36" s="270"/>
      <c r="G36" s="270"/>
    </row>
    <row r="37" spans="1:7" ht="15.6" x14ac:dyDescent="0.3">
      <c r="A37" s="66">
        <f>A35+1</f>
        <v>25</v>
      </c>
      <c r="B37" s="67" t="s">
        <v>1409</v>
      </c>
      <c r="C37" s="66" t="s">
        <v>254</v>
      </c>
      <c r="D37" s="862">
        <v>232.2</v>
      </c>
      <c r="E37" s="167">
        <v>0</v>
      </c>
      <c r="F37" s="270">
        <f t="shared" ref="F37:F45" si="8">ROUND(E37*D37,2)</f>
        <v>0</v>
      </c>
      <c r="G37" s="270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1407</v>
      </c>
      <c r="C38" s="66" t="s">
        <v>254</v>
      </c>
      <c r="D38" s="861">
        <f>5.3*2</f>
        <v>10.6</v>
      </c>
      <c r="E38" s="167">
        <v>96.657750000000007</v>
      </c>
      <c r="F38" s="270">
        <f t="shared" si="8"/>
        <v>1024.57</v>
      </c>
      <c r="G38" s="270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862">
        <v>1.1000000000000001</v>
      </c>
      <c r="E39" s="167">
        <v>1773.3475200000003</v>
      </c>
      <c r="F39" s="270">
        <f t="shared" si="8"/>
        <v>1950.68</v>
      </c>
      <c r="G39" s="270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862">
        <v>0.2</v>
      </c>
      <c r="E40" s="167">
        <v>1956.3528600000004</v>
      </c>
      <c r="F40" s="270">
        <f t="shared" si="8"/>
        <v>391.27</v>
      </c>
      <c r="G40" s="270">
        <f t="shared" si="9"/>
        <v>469.52</v>
      </c>
    </row>
    <row r="41" spans="1:7" ht="15.6" x14ac:dyDescent="0.3">
      <c r="A41" s="66">
        <f>A40+1</f>
        <v>29</v>
      </c>
      <c r="B41" s="67" t="s">
        <v>1406</v>
      </c>
      <c r="C41" s="66" t="s">
        <v>193</v>
      </c>
      <c r="D41" s="861">
        <v>0.35</v>
      </c>
      <c r="E41" s="167">
        <v>7049.5719000000008</v>
      </c>
      <c r="F41" s="270">
        <f t="shared" si="8"/>
        <v>2467.35</v>
      </c>
      <c r="G41" s="270">
        <f t="shared" si="9"/>
        <v>2960.82</v>
      </c>
    </row>
    <row r="42" spans="1:7" ht="15.6" x14ac:dyDescent="0.3">
      <c r="A42" s="66">
        <f>A41+1</f>
        <v>30</v>
      </c>
      <c r="B42" s="67" t="s">
        <v>1410</v>
      </c>
      <c r="C42" s="66" t="s">
        <v>254</v>
      </c>
      <c r="D42" s="861">
        <f>0.82*2</f>
        <v>1.64</v>
      </c>
      <c r="E42" s="167">
        <v>163.67379</v>
      </c>
      <c r="F42" s="270">
        <f t="shared" si="8"/>
        <v>268.43</v>
      </c>
      <c r="G42" s="270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1002</v>
      </c>
      <c r="C43" s="66" t="s">
        <v>193</v>
      </c>
      <c r="D43" s="861">
        <v>7.0000000000000007E-2</v>
      </c>
      <c r="E43" s="167">
        <v>5928.3420000000006</v>
      </c>
      <c r="F43" s="270">
        <f t="shared" si="8"/>
        <v>414.98</v>
      </c>
      <c r="G43" s="270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861">
        <v>0.7</v>
      </c>
      <c r="E44" s="167">
        <v>402.09624000000002</v>
      </c>
      <c r="F44" s="270">
        <f t="shared" si="8"/>
        <v>281.47000000000003</v>
      </c>
      <c r="G44" s="270">
        <f t="shared" si="9"/>
        <v>337.76</v>
      </c>
    </row>
    <row r="45" spans="1:7" ht="15.6" x14ac:dyDescent="0.3">
      <c r="A45" s="66">
        <f t="shared" si="11"/>
        <v>33</v>
      </c>
      <c r="B45" s="67" t="s">
        <v>1404</v>
      </c>
      <c r="C45" s="66" t="s">
        <v>387</v>
      </c>
      <c r="D45" s="861">
        <f>0.4*20/16</f>
        <v>0.5</v>
      </c>
      <c r="E45" s="167">
        <v>322.1925</v>
      </c>
      <c r="F45" s="270">
        <f t="shared" si="8"/>
        <v>161.1</v>
      </c>
      <c r="G45" s="270">
        <f t="shared" si="9"/>
        <v>193.32</v>
      </c>
    </row>
    <row r="46" spans="1:7" ht="15.6" x14ac:dyDescent="0.3">
      <c r="A46" s="66"/>
      <c r="B46" s="73" t="s">
        <v>1362</v>
      </c>
      <c r="C46" s="66"/>
      <c r="D46" s="861"/>
      <c r="E46" s="167">
        <v>0</v>
      </c>
      <c r="F46" s="270"/>
      <c r="G46" s="270"/>
    </row>
    <row r="47" spans="1:7" ht="15.6" x14ac:dyDescent="0.3">
      <c r="A47" s="66">
        <f>A45+1</f>
        <v>34</v>
      </c>
      <c r="B47" s="67" t="s">
        <v>1411</v>
      </c>
      <c r="C47" s="66" t="s">
        <v>194</v>
      </c>
      <c r="D47" s="861">
        <v>57.2</v>
      </c>
      <c r="E47" s="167">
        <v>3966.8340600000001</v>
      </c>
      <c r="F47" s="270">
        <f t="shared" ref="F47:F57" si="12">ROUND(E47*D47,2)</f>
        <v>226902.91</v>
      </c>
      <c r="G47" s="270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1412</v>
      </c>
      <c r="C48" s="66" t="s">
        <v>220</v>
      </c>
      <c r="D48" s="859">
        <v>28</v>
      </c>
      <c r="E48" s="167">
        <v>2345.5614</v>
      </c>
      <c r="F48" s="270">
        <f t="shared" si="12"/>
        <v>65675.72</v>
      </c>
      <c r="G48" s="270">
        <f t="shared" si="13"/>
        <v>78810.86</v>
      </c>
    </row>
    <row r="49" spans="1:7" ht="15.6" x14ac:dyDescent="0.3">
      <c r="A49" s="66">
        <f>A48+1</f>
        <v>36</v>
      </c>
      <c r="B49" s="67" t="s">
        <v>1413</v>
      </c>
      <c r="C49" s="66" t="s">
        <v>220</v>
      </c>
      <c r="D49" s="859">
        <v>9</v>
      </c>
      <c r="E49" s="167">
        <v>9781.7643000000007</v>
      </c>
      <c r="F49" s="270">
        <f t="shared" si="12"/>
        <v>88035.88</v>
      </c>
      <c r="G49" s="270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1414</v>
      </c>
      <c r="C50" s="66" t="s">
        <v>194</v>
      </c>
      <c r="D50" s="859">
        <v>4</v>
      </c>
      <c r="E50" s="167">
        <v>1054.2138599999998</v>
      </c>
      <c r="F50" s="270">
        <f t="shared" si="12"/>
        <v>4216.8599999999997</v>
      </c>
      <c r="G50" s="270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1415</v>
      </c>
      <c r="C51" s="66" t="s">
        <v>254</v>
      </c>
      <c r="D51" s="861">
        <v>0.5</v>
      </c>
      <c r="E51" s="167">
        <v>2448.663</v>
      </c>
      <c r="F51" s="270">
        <f t="shared" si="12"/>
        <v>1224.33</v>
      </c>
      <c r="G51" s="270">
        <f t="shared" si="13"/>
        <v>1469.2</v>
      </c>
    </row>
    <row r="52" spans="1:7" ht="15.6" x14ac:dyDescent="0.3">
      <c r="A52" s="66">
        <f t="shared" si="14"/>
        <v>39</v>
      </c>
      <c r="B52" s="67" t="s">
        <v>1416</v>
      </c>
      <c r="C52" s="66" t="s">
        <v>217</v>
      </c>
      <c r="D52" s="859">
        <v>8</v>
      </c>
      <c r="E52" s="167">
        <v>8660.5344000000005</v>
      </c>
      <c r="F52" s="270">
        <f t="shared" si="12"/>
        <v>69284.28</v>
      </c>
      <c r="G52" s="270">
        <f t="shared" si="13"/>
        <v>83141.14</v>
      </c>
    </row>
    <row r="53" spans="1:7" ht="15.6" x14ac:dyDescent="0.3">
      <c r="A53" s="66">
        <f t="shared" si="14"/>
        <v>40</v>
      </c>
      <c r="B53" s="67" t="s">
        <v>1417</v>
      </c>
      <c r="C53" s="66" t="s">
        <v>220</v>
      </c>
      <c r="D53" s="859">
        <v>2</v>
      </c>
      <c r="E53" s="167">
        <v>41240.639999999999</v>
      </c>
      <c r="F53" s="270">
        <f t="shared" si="12"/>
        <v>82481.279999999999</v>
      </c>
      <c r="G53" s="270">
        <f t="shared" si="13"/>
        <v>98977.54</v>
      </c>
    </row>
    <row r="54" spans="1:7" ht="15.6" x14ac:dyDescent="0.3">
      <c r="A54" s="66">
        <f t="shared" si="14"/>
        <v>41</v>
      </c>
      <c r="B54" s="67" t="s">
        <v>1370</v>
      </c>
      <c r="C54" s="66" t="s">
        <v>220</v>
      </c>
      <c r="D54" s="859">
        <v>4</v>
      </c>
      <c r="E54" s="167">
        <v>4124.0640000000003</v>
      </c>
      <c r="F54" s="270">
        <f t="shared" si="12"/>
        <v>16496.259999999998</v>
      </c>
      <c r="G54" s="270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1371</v>
      </c>
      <c r="C55" s="66" t="s">
        <v>220</v>
      </c>
      <c r="D55" s="859">
        <v>4</v>
      </c>
      <c r="E55" s="167">
        <v>5283.9570000000003</v>
      </c>
      <c r="F55" s="270">
        <f t="shared" si="12"/>
        <v>21135.83</v>
      </c>
      <c r="G55" s="270">
        <f t="shared" si="13"/>
        <v>25363</v>
      </c>
    </row>
    <row r="56" spans="1:7" ht="15.6" x14ac:dyDescent="0.3">
      <c r="A56" s="66">
        <f t="shared" si="14"/>
        <v>43</v>
      </c>
      <c r="B56" s="67" t="s">
        <v>1418</v>
      </c>
      <c r="C56" s="66" t="s">
        <v>194</v>
      </c>
      <c r="D56" s="862">
        <v>1.6</v>
      </c>
      <c r="E56" s="167">
        <v>618.6096</v>
      </c>
      <c r="F56" s="270">
        <f t="shared" si="12"/>
        <v>989.78</v>
      </c>
      <c r="G56" s="270">
        <f t="shared" si="13"/>
        <v>1187.74</v>
      </c>
    </row>
    <row r="57" spans="1:7" ht="15.6" x14ac:dyDescent="0.3">
      <c r="A57" s="66">
        <f t="shared" si="14"/>
        <v>44</v>
      </c>
      <c r="B57" s="67" t="s">
        <v>1419</v>
      </c>
      <c r="C57" s="66" t="s">
        <v>220</v>
      </c>
      <c r="D57" s="859">
        <v>2</v>
      </c>
      <c r="E57" s="167">
        <v>27064.170000000002</v>
      </c>
      <c r="F57" s="270">
        <f t="shared" si="12"/>
        <v>54128.34</v>
      </c>
      <c r="G57" s="270">
        <f t="shared" si="13"/>
        <v>64954.01</v>
      </c>
    </row>
    <row r="58" spans="1:7" ht="20.25" customHeight="1" x14ac:dyDescent="0.3">
      <c r="A58" s="66"/>
      <c r="B58" s="73" t="s">
        <v>1420</v>
      </c>
      <c r="C58" s="66"/>
      <c r="D58" s="861"/>
      <c r="E58" s="167">
        <v>0</v>
      </c>
      <c r="F58" s="270"/>
      <c r="G58" s="270"/>
    </row>
    <row r="59" spans="1:7" ht="15.6" x14ac:dyDescent="0.3">
      <c r="A59" s="66">
        <f>A55+1</f>
        <v>43</v>
      </c>
      <c r="B59" s="67" t="s">
        <v>1421</v>
      </c>
      <c r="C59" s="66" t="s">
        <v>220</v>
      </c>
      <c r="D59" s="861">
        <v>4</v>
      </c>
      <c r="E59" s="167">
        <v>2095.5400199999999</v>
      </c>
      <c r="F59" s="270">
        <f t="shared" ref="F59:F67" si="15">ROUND(E59*D59,2)</f>
        <v>8382.16</v>
      </c>
      <c r="G59" s="270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1422</v>
      </c>
      <c r="C60" s="66" t="s">
        <v>220</v>
      </c>
      <c r="D60" s="861">
        <f>2*4</f>
        <v>8</v>
      </c>
      <c r="E60" s="167">
        <v>162.38502</v>
      </c>
      <c r="F60" s="270">
        <f t="shared" si="15"/>
        <v>1299.08</v>
      </c>
      <c r="G60" s="270">
        <f t="shared" si="16"/>
        <v>1558.9</v>
      </c>
    </row>
    <row r="61" spans="1:7" ht="15.6" x14ac:dyDescent="0.3">
      <c r="A61" s="66">
        <f>A60+1</f>
        <v>45</v>
      </c>
      <c r="B61" s="67" t="s">
        <v>1423</v>
      </c>
      <c r="C61" s="66" t="s">
        <v>220</v>
      </c>
      <c r="D61" s="861">
        <v>4</v>
      </c>
      <c r="E61" s="167">
        <v>2080.0747799999999</v>
      </c>
      <c r="F61" s="270">
        <f t="shared" si="15"/>
        <v>8320.2999999999993</v>
      </c>
      <c r="G61" s="270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1424</v>
      </c>
      <c r="C62" s="66" t="s">
        <v>220</v>
      </c>
      <c r="D62" s="861">
        <v>4</v>
      </c>
      <c r="E62" s="167">
        <v>402.09624000000002</v>
      </c>
      <c r="F62" s="270">
        <f t="shared" si="15"/>
        <v>1608.38</v>
      </c>
      <c r="G62" s="270">
        <f t="shared" si="16"/>
        <v>1930.06</v>
      </c>
    </row>
    <row r="63" spans="1:7" ht="15.6" x14ac:dyDescent="0.3">
      <c r="A63" s="66">
        <f t="shared" si="17"/>
        <v>47</v>
      </c>
      <c r="B63" s="67" t="s">
        <v>1425</v>
      </c>
      <c r="C63" s="66" t="s">
        <v>194</v>
      </c>
      <c r="D63" s="861">
        <v>0.2</v>
      </c>
      <c r="E63" s="167">
        <v>618.6096</v>
      </c>
      <c r="F63" s="270">
        <f t="shared" si="15"/>
        <v>123.72</v>
      </c>
      <c r="G63" s="270">
        <f t="shared" si="16"/>
        <v>148.46</v>
      </c>
    </row>
    <row r="64" spans="1:7" ht="15.6" x14ac:dyDescent="0.3">
      <c r="A64" s="66">
        <f t="shared" si="17"/>
        <v>48</v>
      </c>
      <c r="B64" s="67" t="s">
        <v>1426</v>
      </c>
      <c r="C64" s="66" t="s">
        <v>254</v>
      </c>
      <c r="D64" s="861">
        <f>2*0.137</f>
        <v>0.27400000000000002</v>
      </c>
      <c r="E64" s="167">
        <v>163.67379</v>
      </c>
      <c r="F64" s="270">
        <f t="shared" si="15"/>
        <v>44.85</v>
      </c>
      <c r="G64" s="270">
        <f t="shared" si="16"/>
        <v>53.82</v>
      </c>
    </row>
    <row r="65" spans="1:7" ht="15.6" x14ac:dyDescent="0.3">
      <c r="A65" s="66">
        <f t="shared" si="17"/>
        <v>49</v>
      </c>
      <c r="B65" s="67" t="s">
        <v>1427</v>
      </c>
      <c r="C65" s="66" t="s">
        <v>254</v>
      </c>
      <c r="D65" s="861">
        <f>2*0.032</f>
        <v>6.4000000000000001E-2</v>
      </c>
      <c r="E65" s="167">
        <v>189.44919000000002</v>
      </c>
      <c r="F65" s="270">
        <f t="shared" si="15"/>
        <v>12.12</v>
      </c>
      <c r="G65" s="270">
        <f t="shared" si="16"/>
        <v>14.54</v>
      </c>
    </row>
    <row r="66" spans="1:7" ht="15.6" x14ac:dyDescent="0.3">
      <c r="A66" s="66">
        <f t="shared" si="17"/>
        <v>50</v>
      </c>
      <c r="B66" s="67" t="s">
        <v>1428</v>
      </c>
      <c r="C66" s="66" t="s">
        <v>254</v>
      </c>
      <c r="D66" s="861">
        <f>2*0.013</f>
        <v>2.5999999999999999E-2</v>
      </c>
      <c r="E66" s="167">
        <v>253.88768999999999</v>
      </c>
      <c r="F66" s="270">
        <f t="shared" si="15"/>
        <v>6.6</v>
      </c>
      <c r="G66" s="270">
        <f t="shared" si="16"/>
        <v>7.92</v>
      </c>
    </row>
    <row r="67" spans="1:7" ht="15.6" x14ac:dyDescent="0.3">
      <c r="A67" s="66">
        <f t="shared" si="17"/>
        <v>51</v>
      </c>
      <c r="B67" s="67" t="s">
        <v>1429</v>
      </c>
      <c r="C67" s="66" t="s">
        <v>254</v>
      </c>
      <c r="D67" s="861">
        <f>2*0.013</f>
        <v>2.5999999999999999E-2</v>
      </c>
      <c r="E67" s="167">
        <v>253.88768999999999</v>
      </c>
      <c r="F67" s="270">
        <f t="shared" si="15"/>
        <v>6.6</v>
      </c>
      <c r="G67" s="270">
        <f t="shared" si="16"/>
        <v>7.92</v>
      </c>
    </row>
    <row r="68" spans="1:7" ht="23.25" customHeight="1" x14ac:dyDescent="0.3">
      <c r="A68" s="66"/>
      <c r="B68" s="73" t="s">
        <v>1373</v>
      </c>
      <c r="C68" s="66"/>
      <c r="D68" s="861"/>
      <c r="E68" s="167">
        <v>0</v>
      </c>
      <c r="F68" s="270"/>
      <c r="G68" s="270"/>
    </row>
    <row r="69" spans="1:7" ht="27.6" x14ac:dyDescent="0.3">
      <c r="A69" s="66">
        <f>A67+1</f>
        <v>52</v>
      </c>
      <c r="B69" s="67" t="s">
        <v>1430</v>
      </c>
      <c r="C69" s="66" t="s">
        <v>220</v>
      </c>
      <c r="D69" s="859">
        <v>1</v>
      </c>
      <c r="E69" s="167">
        <v>31046.469300000001</v>
      </c>
      <c r="F69" s="270">
        <f t="shared" ref="F69:F82" si="18">ROUND(E69*D69,2)</f>
        <v>31046.47</v>
      </c>
      <c r="G69" s="270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1431</v>
      </c>
      <c r="C70" s="66" t="s">
        <v>194</v>
      </c>
      <c r="D70" s="861">
        <v>1.29</v>
      </c>
      <c r="E70" s="167">
        <v>3966.8340600000001</v>
      </c>
      <c r="F70" s="270">
        <f t="shared" si="18"/>
        <v>5117.22</v>
      </c>
      <c r="G70" s="270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1432</v>
      </c>
      <c r="C71" s="66" t="s">
        <v>194</v>
      </c>
      <c r="D71" s="861">
        <v>1.39</v>
      </c>
      <c r="E71" s="167">
        <v>2165.1336000000001</v>
      </c>
      <c r="F71" s="270">
        <f t="shared" si="18"/>
        <v>3009.54</v>
      </c>
      <c r="G71" s="270">
        <f t="shared" si="19"/>
        <v>3611.45</v>
      </c>
    </row>
    <row r="72" spans="1:7" ht="15.6" x14ac:dyDescent="0.3">
      <c r="A72" s="66">
        <f t="shared" si="20"/>
        <v>55</v>
      </c>
      <c r="B72" s="67" t="s">
        <v>1433</v>
      </c>
      <c r="C72" s="66" t="s">
        <v>220</v>
      </c>
      <c r="D72" s="859">
        <v>1</v>
      </c>
      <c r="E72" s="167">
        <v>1984.7058000000002</v>
      </c>
      <c r="F72" s="270">
        <f t="shared" si="18"/>
        <v>1984.71</v>
      </c>
      <c r="G72" s="270">
        <f t="shared" si="19"/>
        <v>2381.65</v>
      </c>
    </row>
    <row r="73" spans="1:7" ht="15.6" x14ac:dyDescent="0.3">
      <c r="A73" s="66">
        <f t="shared" si="20"/>
        <v>56</v>
      </c>
      <c r="B73" s="67" t="s">
        <v>1434</v>
      </c>
      <c r="C73" s="66" t="s">
        <v>220</v>
      </c>
      <c r="D73" s="859">
        <v>1</v>
      </c>
      <c r="E73" s="167">
        <v>6998.0211000000008</v>
      </c>
      <c r="F73" s="270">
        <f t="shared" si="18"/>
        <v>6998.02</v>
      </c>
      <c r="G73" s="270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1435</v>
      </c>
      <c r="C74" s="66" t="s">
        <v>220</v>
      </c>
      <c r="D74" s="859">
        <v>1</v>
      </c>
      <c r="E74" s="167">
        <v>33533.795400000003</v>
      </c>
      <c r="F74" s="270">
        <f t="shared" si="18"/>
        <v>33533.800000000003</v>
      </c>
      <c r="G74" s="270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1436</v>
      </c>
      <c r="C75" s="66" t="s">
        <v>194</v>
      </c>
      <c r="D75" s="861">
        <v>1.29</v>
      </c>
      <c r="E75" s="167">
        <v>3966.8340600000001</v>
      </c>
      <c r="F75" s="270">
        <f t="shared" si="18"/>
        <v>5117.22</v>
      </c>
      <c r="G75" s="270">
        <f t="shared" si="19"/>
        <v>6140.66</v>
      </c>
    </row>
    <row r="76" spans="1:7" ht="15.6" x14ac:dyDescent="0.3">
      <c r="A76" s="66">
        <f t="shared" si="20"/>
        <v>59</v>
      </c>
      <c r="B76" s="67" t="s">
        <v>1437</v>
      </c>
      <c r="C76" s="66" t="s">
        <v>194</v>
      </c>
      <c r="D76" s="861">
        <v>1.07</v>
      </c>
      <c r="E76" s="167">
        <v>2165.1336000000001</v>
      </c>
      <c r="F76" s="270">
        <f t="shared" si="18"/>
        <v>2316.69</v>
      </c>
      <c r="G76" s="270">
        <f t="shared" si="19"/>
        <v>2780.03</v>
      </c>
    </row>
    <row r="77" spans="1:7" ht="15.6" x14ac:dyDescent="0.3">
      <c r="A77" s="66">
        <f t="shared" si="20"/>
        <v>60</v>
      </c>
      <c r="B77" s="67" t="s">
        <v>1433</v>
      </c>
      <c r="C77" s="66" t="s">
        <v>220</v>
      </c>
      <c r="D77" s="859">
        <v>1</v>
      </c>
      <c r="E77" s="167">
        <v>1984.7058000000002</v>
      </c>
      <c r="F77" s="270">
        <f t="shared" si="18"/>
        <v>1984.71</v>
      </c>
      <c r="G77" s="270">
        <f t="shared" si="19"/>
        <v>2381.65</v>
      </c>
    </row>
    <row r="78" spans="1:7" ht="15.6" x14ac:dyDescent="0.3">
      <c r="A78" s="66">
        <f t="shared" si="20"/>
        <v>61</v>
      </c>
      <c r="B78" s="67" t="s">
        <v>1434</v>
      </c>
      <c r="C78" s="66" t="s">
        <v>220</v>
      </c>
      <c r="D78" s="859">
        <v>1</v>
      </c>
      <c r="E78" s="167">
        <v>6998.0211000000008</v>
      </c>
      <c r="F78" s="270">
        <f t="shared" si="18"/>
        <v>6998.02</v>
      </c>
      <c r="G78" s="270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1438</v>
      </c>
      <c r="C79" s="66" t="s">
        <v>220</v>
      </c>
      <c r="D79" s="859">
        <v>2</v>
      </c>
      <c r="E79" s="167">
        <v>25131.014999999999</v>
      </c>
      <c r="F79" s="270">
        <f t="shared" si="18"/>
        <v>50262.03</v>
      </c>
      <c r="G79" s="270">
        <f t="shared" si="19"/>
        <v>60314.44</v>
      </c>
    </row>
    <row r="80" spans="1:7" ht="27.6" x14ac:dyDescent="0.3">
      <c r="A80" s="66">
        <f t="shared" si="20"/>
        <v>63</v>
      </c>
      <c r="B80" s="67" t="s">
        <v>1439</v>
      </c>
      <c r="C80" s="66" t="s">
        <v>220</v>
      </c>
      <c r="D80" s="859">
        <v>2</v>
      </c>
      <c r="E80" s="167">
        <v>1897.06944</v>
      </c>
      <c r="F80" s="270">
        <f t="shared" si="18"/>
        <v>3794.14</v>
      </c>
      <c r="G80" s="270">
        <f t="shared" si="19"/>
        <v>4552.97</v>
      </c>
    </row>
    <row r="81" spans="1:7" ht="15.6" x14ac:dyDescent="0.3">
      <c r="A81" s="66">
        <f t="shared" si="20"/>
        <v>64</v>
      </c>
      <c r="B81" s="67" t="s">
        <v>1434</v>
      </c>
      <c r="C81" s="66" t="s">
        <v>220</v>
      </c>
      <c r="D81" s="859">
        <v>2</v>
      </c>
      <c r="E81" s="167">
        <v>6998.0211000000008</v>
      </c>
      <c r="F81" s="270">
        <f t="shared" si="18"/>
        <v>13996.04</v>
      </c>
      <c r="G81" s="270">
        <f t="shared" si="19"/>
        <v>16795.25</v>
      </c>
    </row>
    <row r="82" spans="1:7" ht="15.6" x14ac:dyDescent="0.3">
      <c r="A82" s="66">
        <f t="shared" si="20"/>
        <v>65</v>
      </c>
      <c r="B82" s="67" t="s">
        <v>1440</v>
      </c>
      <c r="C82" s="66" t="s">
        <v>220</v>
      </c>
      <c r="D82" s="859">
        <v>1</v>
      </c>
      <c r="E82" s="167">
        <v>12971.47005</v>
      </c>
      <c r="F82" s="270">
        <f t="shared" si="18"/>
        <v>12971.47</v>
      </c>
      <c r="G82" s="270">
        <f t="shared" si="19"/>
        <v>15565.76</v>
      </c>
    </row>
    <row r="83" spans="1:7" ht="15.6" x14ac:dyDescent="0.3">
      <c r="A83" s="66"/>
      <c r="B83" s="73" t="s">
        <v>1385</v>
      </c>
      <c r="C83" s="66"/>
      <c r="D83" s="861"/>
      <c r="E83" s="167">
        <v>0</v>
      </c>
      <c r="F83" s="270"/>
      <c r="G83" s="270"/>
    </row>
    <row r="84" spans="1:7" ht="15.6" x14ac:dyDescent="0.3">
      <c r="A84" s="66">
        <f>A82+1</f>
        <v>66</v>
      </c>
      <c r="B84" s="67" t="s">
        <v>1441</v>
      </c>
      <c r="C84" s="66" t="s">
        <v>220</v>
      </c>
      <c r="D84" s="859">
        <v>2</v>
      </c>
      <c r="E84" s="167">
        <v>2474.4384</v>
      </c>
      <c r="F84" s="270">
        <f t="shared" ref="F84:F98" si="21">ROUND(E84*D84,2)</f>
        <v>4948.88</v>
      </c>
      <c r="G84" s="270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1442</v>
      </c>
      <c r="C85" s="66" t="s">
        <v>220</v>
      </c>
      <c r="D85" s="859">
        <v>1</v>
      </c>
      <c r="E85" s="167">
        <v>5412.8340000000007</v>
      </c>
      <c r="F85" s="270">
        <f t="shared" si="21"/>
        <v>5412.83</v>
      </c>
      <c r="G85" s="270">
        <f t="shared" si="22"/>
        <v>6495.4</v>
      </c>
    </row>
    <row r="86" spans="1:7" ht="15.6" x14ac:dyDescent="0.3">
      <c r="A86" s="66">
        <f>A85+1</f>
        <v>68</v>
      </c>
      <c r="B86" s="67" t="s">
        <v>1443</v>
      </c>
      <c r="C86" s="66" t="s">
        <v>220</v>
      </c>
      <c r="D86" s="859">
        <v>1</v>
      </c>
      <c r="E86" s="167">
        <v>3672.9945000000002</v>
      </c>
      <c r="F86" s="270">
        <f t="shared" si="21"/>
        <v>3672.99</v>
      </c>
      <c r="G86" s="270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1444</v>
      </c>
      <c r="C87" s="66" t="s">
        <v>220</v>
      </c>
      <c r="D87" s="859">
        <v>1</v>
      </c>
      <c r="E87" s="167">
        <v>3389.4651000000003</v>
      </c>
      <c r="F87" s="270">
        <f t="shared" si="21"/>
        <v>3389.47</v>
      </c>
      <c r="G87" s="270">
        <f t="shared" si="22"/>
        <v>4067.36</v>
      </c>
    </row>
    <row r="88" spans="1:7" ht="15.6" x14ac:dyDescent="0.3">
      <c r="A88" s="66">
        <f t="shared" si="23"/>
        <v>70</v>
      </c>
      <c r="B88" s="67" t="s">
        <v>1445</v>
      </c>
      <c r="C88" s="66" t="s">
        <v>220</v>
      </c>
      <c r="D88" s="859">
        <v>1</v>
      </c>
      <c r="E88" s="167">
        <v>7513.5291000000007</v>
      </c>
      <c r="F88" s="270">
        <f t="shared" si="21"/>
        <v>7513.53</v>
      </c>
      <c r="G88" s="270">
        <f t="shared" si="22"/>
        <v>9016.24</v>
      </c>
    </row>
    <row r="89" spans="1:7" ht="15.6" x14ac:dyDescent="0.3">
      <c r="A89" s="66">
        <f t="shared" si="23"/>
        <v>71</v>
      </c>
      <c r="B89" s="67" t="s">
        <v>1446</v>
      </c>
      <c r="C89" s="66" t="s">
        <v>220</v>
      </c>
      <c r="D89" s="859">
        <v>1</v>
      </c>
      <c r="E89" s="167">
        <v>11727.807000000001</v>
      </c>
      <c r="F89" s="270">
        <f t="shared" si="21"/>
        <v>11727.81</v>
      </c>
      <c r="G89" s="270">
        <f t="shared" si="22"/>
        <v>14073.37</v>
      </c>
    </row>
    <row r="90" spans="1:7" ht="15.6" x14ac:dyDescent="0.3">
      <c r="A90" s="66">
        <f t="shared" si="23"/>
        <v>72</v>
      </c>
      <c r="B90" s="67" t="s">
        <v>1447</v>
      </c>
      <c r="C90" s="66" t="s">
        <v>220</v>
      </c>
      <c r="D90" s="859">
        <v>3</v>
      </c>
      <c r="E90" s="167">
        <v>541.28340000000003</v>
      </c>
      <c r="F90" s="270">
        <f t="shared" si="21"/>
        <v>1623.85</v>
      </c>
      <c r="G90" s="270">
        <f t="shared" si="22"/>
        <v>1948.62</v>
      </c>
    </row>
    <row r="91" spans="1:7" ht="15.6" x14ac:dyDescent="0.3">
      <c r="A91" s="66">
        <f t="shared" si="23"/>
        <v>73</v>
      </c>
      <c r="B91" s="67" t="s">
        <v>1448</v>
      </c>
      <c r="C91" s="66" t="s">
        <v>220</v>
      </c>
      <c r="D91" s="859">
        <v>1</v>
      </c>
      <c r="E91" s="167">
        <v>7345.9890000000005</v>
      </c>
      <c r="F91" s="270">
        <f t="shared" si="21"/>
        <v>7345.99</v>
      </c>
      <c r="G91" s="270">
        <f t="shared" si="22"/>
        <v>8815.19</v>
      </c>
    </row>
    <row r="92" spans="1:7" ht="15.6" x14ac:dyDescent="0.3">
      <c r="A92" s="66">
        <f t="shared" si="23"/>
        <v>74</v>
      </c>
      <c r="B92" s="67" t="s">
        <v>1449</v>
      </c>
      <c r="C92" s="66" t="s">
        <v>193</v>
      </c>
      <c r="D92" s="861">
        <v>0.18</v>
      </c>
      <c r="E92" s="167">
        <v>2706.4170000000004</v>
      </c>
      <c r="F92" s="270">
        <f t="shared" si="21"/>
        <v>487.16</v>
      </c>
      <c r="G92" s="270">
        <f t="shared" si="22"/>
        <v>584.59</v>
      </c>
    </row>
    <row r="93" spans="1:7" ht="15.6" x14ac:dyDescent="0.3">
      <c r="A93" s="66">
        <f t="shared" si="23"/>
        <v>75</v>
      </c>
      <c r="B93" s="67" t="s">
        <v>1393</v>
      </c>
      <c r="C93" s="66" t="s">
        <v>193</v>
      </c>
      <c r="D93" s="861">
        <v>0.17</v>
      </c>
      <c r="E93" s="167">
        <v>7732.62</v>
      </c>
      <c r="F93" s="270">
        <f t="shared" si="21"/>
        <v>1314.55</v>
      </c>
      <c r="G93" s="270">
        <f t="shared" si="22"/>
        <v>1577.46</v>
      </c>
    </row>
    <row r="94" spans="1:7" ht="15.6" x14ac:dyDescent="0.3">
      <c r="A94" s="66">
        <f t="shared" si="23"/>
        <v>76</v>
      </c>
      <c r="B94" s="67" t="s">
        <v>1394</v>
      </c>
      <c r="C94" s="66" t="s">
        <v>193</v>
      </c>
      <c r="D94" s="861">
        <v>0.05</v>
      </c>
      <c r="E94" s="167">
        <v>6443.85</v>
      </c>
      <c r="F94" s="270">
        <f t="shared" si="21"/>
        <v>322.19</v>
      </c>
      <c r="G94" s="270">
        <f t="shared" si="22"/>
        <v>386.63</v>
      </c>
    </row>
    <row r="95" spans="1:7" ht="15.6" x14ac:dyDescent="0.3">
      <c r="A95" s="66">
        <f t="shared" si="23"/>
        <v>77</v>
      </c>
      <c r="B95" s="67" t="s">
        <v>1615</v>
      </c>
      <c r="C95" s="66" t="s">
        <v>254</v>
      </c>
      <c r="D95" s="861">
        <v>20.09</v>
      </c>
      <c r="E95" s="167">
        <v>41.240640000000006</v>
      </c>
      <c r="F95" s="270">
        <f t="shared" si="21"/>
        <v>828.52</v>
      </c>
      <c r="G95" s="270">
        <f t="shared" si="22"/>
        <v>994.22</v>
      </c>
    </row>
    <row r="96" spans="1:7" ht="15.6" x14ac:dyDescent="0.3">
      <c r="A96" s="66">
        <f t="shared" si="23"/>
        <v>78</v>
      </c>
      <c r="B96" s="67" t="s">
        <v>1450</v>
      </c>
      <c r="C96" s="66" t="s">
        <v>220</v>
      </c>
      <c r="D96" s="861">
        <v>2</v>
      </c>
      <c r="E96" s="167">
        <v>1288.77</v>
      </c>
      <c r="F96" s="270">
        <f t="shared" si="21"/>
        <v>2577.54</v>
      </c>
      <c r="G96" s="270">
        <f t="shared" si="22"/>
        <v>3093.05</v>
      </c>
    </row>
    <row r="97" spans="1:7" ht="15.6" x14ac:dyDescent="0.3">
      <c r="A97" s="66">
        <f t="shared" si="23"/>
        <v>79</v>
      </c>
      <c r="B97" s="67" t="s">
        <v>1451</v>
      </c>
      <c r="C97" s="66" t="s">
        <v>194</v>
      </c>
      <c r="D97" s="861">
        <v>12.6</v>
      </c>
      <c r="E97" s="167">
        <v>33.508020000000002</v>
      </c>
      <c r="F97" s="270">
        <f t="shared" si="21"/>
        <v>422.2</v>
      </c>
      <c r="G97" s="270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859">
        <v>1</v>
      </c>
      <c r="E98" s="167">
        <v>154652.4</v>
      </c>
      <c r="F98" s="270">
        <f t="shared" si="21"/>
        <v>154652.4</v>
      </c>
      <c r="G98" s="270">
        <f t="shared" si="22"/>
        <v>185582.88</v>
      </c>
    </row>
    <row r="99" spans="1:7" ht="22.5" customHeight="1" x14ac:dyDescent="0.3">
      <c r="A99" s="977" t="s">
        <v>408</v>
      </c>
      <c r="B99" s="977"/>
      <c r="C99" s="977"/>
      <c r="D99" s="977"/>
      <c r="E99" s="977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0"/>
  <sheetViews>
    <sheetView topLeftCell="C1" zoomScale="85" zoomScaleNormal="85" zoomScaleSheetLayoutView="115" workbookViewId="0">
      <selection activeCell="G43" sqref="G43"/>
    </sheetView>
  </sheetViews>
  <sheetFormatPr defaultRowHeight="14.4" outlineLevelRow="1" x14ac:dyDescent="0.3"/>
  <cols>
    <col min="1" max="1" width="9.109375" bestFit="1" customWidth="1"/>
    <col min="2" max="2" width="44.21875" customWidth="1"/>
    <col min="3" max="3" width="15.44140625" bestFit="1" customWidth="1"/>
    <col min="4" max="5" width="16.21875" bestFit="1" customWidth="1"/>
    <col min="6" max="7" width="16.5546875" customWidth="1"/>
    <col min="8" max="9" width="17.109375" customWidth="1"/>
    <col min="10" max="10" width="16.6640625" style="806" bestFit="1" customWidth="1"/>
    <col min="11" max="11" width="12" style="806" bestFit="1" customWidth="1"/>
    <col min="12" max="12" width="15.33203125" style="806" bestFit="1" customWidth="1"/>
    <col min="13" max="13" width="7.33203125" style="806" customWidth="1"/>
    <col min="14" max="14" width="16.77734375" style="807" bestFit="1" customWidth="1"/>
    <col min="15" max="15" width="15" style="806" bestFit="1" customWidth="1"/>
  </cols>
  <sheetData>
    <row r="1" spans="1:16" x14ac:dyDescent="0.3">
      <c r="A1" s="884" t="s">
        <v>226</v>
      </c>
      <c r="B1" s="884" t="s">
        <v>724</v>
      </c>
      <c r="C1" s="883" t="s">
        <v>729</v>
      </c>
      <c r="D1" s="883"/>
      <c r="E1" s="883"/>
      <c r="F1" s="885" t="s">
        <v>730</v>
      </c>
      <c r="G1" s="885"/>
      <c r="H1" s="885"/>
      <c r="I1" s="840"/>
      <c r="J1" s="880" t="s">
        <v>2179</v>
      </c>
      <c r="K1" s="881"/>
      <c r="L1" s="881"/>
      <c r="M1" s="881"/>
      <c r="N1" s="882"/>
      <c r="O1" s="798"/>
    </row>
    <row r="2" spans="1:16" ht="41.4" x14ac:dyDescent="0.3">
      <c r="A2" s="884"/>
      <c r="B2" s="884"/>
      <c r="C2" s="184" t="s">
        <v>725</v>
      </c>
      <c r="D2" s="185" t="s">
        <v>726</v>
      </c>
      <c r="E2" s="185" t="s">
        <v>727</v>
      </c>
      <c r="F2" s="186" t="s">
        <v>725</v>
      </c>
      <c r="G2" s="187" t="s">
        <v>726</v>
      </c>
      <c r="H2" s="187" t="s">
        <v>727</v>
      </c>
      <c r="I2" s="187" t="s">
        <v>2292</v>
      </c>
      <c r="J2" s="799" t="s">
        <v>2178</v>
      </c>
      <c r="K2" s="799" t="s">
        <v>2290</v>
      </c>
      <c r="L2" s="799" t="s">
        <v>2180</v>
      </c>
      <c r="M2" s="799" t="s">
        <v>2290</v>
      </c>
      <c r="N2" s="799" t="s">
        <v>169</v>
      </c>
      <c r="O2" s="799" t="s">
        <v>2290</v>
      </c>
    </row>
    <row r="3" spans="1:16" x14ac:dyDescent="0.3">
      <c r="A3" s="704">
        <v>1</v>
      </c>
      <c r="B3" s="703" t="s">
        <v>2170</v>
      </c>
      <c r="C3" s="188">
        <f>'СМР 417 жд'!F36</f>
        <v>46647121.969999999</v>
      </c>
      <c r="D3" s="189">
        <f>'мат 417 жд'!F34</f>
        <v>150917891.07999998</v>
      </c>
      <c r="E3" s="190">
        <f>C3+D3</f>
        <v>197565013.04999998</v>
      </c>
      <c r="F3" s="191">
        <f>C3*1.2</f>
        <v>55976546.364</v>
      </c>
      <c r="G3" s="192">
        <f t="shared" ref="G3:G27" si="0">D3*1.2</f>
        <v>181101469.29599997</v>
      </c>
      <c r="H3" s="193">
        <f>F3+G3</f>
        <v>237078015.65999997</v>
      </c>
      <c r="I3" s="193"/>
      <c r="J3" s="811">
        <v>45452204</v>
      </c>
      <c r="K3" s="811">
        <f>F3/J3</f>
        <v>1.2315474594807327</v>
      </c>
      <c r="L3" s="811">
        <v>130435209</v>
      </c>
      <c r="M3" s="811">
        <f>G3/L3</f>
        <v>1.3884400591254464</v>
      </c>
      <c r="N3" s="813">
        <f>J3+L3</f>
        <v>175887413</v>
      </c>
      <c r="O3" s="812">
        <f>H3/N3</f>
        <v>1.3478964276994623</v>
      </c>
      <c r="P3" s="15"/>
    </row>
    <row r="4" spans="1:16" s="702" customFormat="1" hidden="1" outlineLevel="1" x14ac:dyDescent="0.3">
      <c r="A4" s="688"/>
      <c r="B4" s="701" t="str">
        <f>'СМР 417 жд'!B4:B4</f>
        <v>Сооружение земляного полотна</v>
      </c>
      <c r="C4" s="689">
        <f>'СМР 417 жд'!F4</f>
        <v>21246300.880000003</v>
      </c>
      <c r="D4" s="690">
        <f>'мат 417 жд'!F8</f>
        <v>34307521.379999995</v>
      </c>
      <c r="E4" s="691">
        <f t="shared" ref="E4:E6" si="1">C4+D4</f>
        <v>55553822.259999998</v>
      </c>
      <c r="F4" s="689">
        <f t="shared" ref="F4:F6" si="2">C4*1.2</f>
        <v>25495561.056000002</v>
      </c>
      <c r="G4" s="690">
        <f t="shared" si="0"/>
        <v>41169025.655999996</v>
      </c>
      <c r="H4" s="691">
        <f t="shared" ref="H4:H6" si="3">F4+G4</f>
        <v>66664586.711999997</v>
      </c>
      <c r="I4" s="691"/>
      <c r="J4" s="802"/>
      <c r="K4" s="802"/>
      <c r="L4" s="802"/>
      <c r="M4" s="802"/>
      <c r="N4" s="803"/>
      <c r="O4" s="804"/>
    </row>
    <row r="5" spans="1:16" s="702" customFormat="1" hidden="1" outlineLevel="1" x14ac:dyDescent="0.3">
      <c r="A5" s="688"/>
      <c r="B5" s="701" t="str">
        <f>'СМР 417 жд'!B10:B10</f>
        <v>Демонтажные работы</v>
      </c>
      <c r="C5" s="689">
        <f>'СМР 417 жд'!F10</f>
        <v>3082793.68</v>
      </c>
      <c r="D5" s="690"/>
      <c r="E5" s="691">
        <f t="shared" si="1"/>
        <v>3082793.68</v>
      </c>
      <c r="F5" s="689">
        <f t="shared" si="2"/>
        <v>3699352.4160000002</v>
      </c>
      <c r="G5" s="690">
        <f t="shared" si="0"/>
        <v>0</v>
      </c>
      <c r="H5" s="691">
        <f t="shared" si="3"/>
        <v>3699352.4160000002</v>
      </c>
      <c r="I5" s="691"/>
      <c r="J5" s="802"/>
      <c r="K5" s="802"/>
      <c r="L5" s="802"/>
      <c r="M5" s="802"/>
      <c r="N5" s="803"/>
      <c r="O5" s="804"/>
    </row>
    <row r="6" spans="1:16" s="702" customFormat="1" hidden="1" outlineLevel="1" x14ac:dyDescent="0.3">
      <c r="A6" s="688"/>
      <c r="B6" s="701" t="str">
        <f>'СМР 417 жд'!B16</f>
        <v>Верхнее строение пути</v>
      </c>
      <c r="C6" s="689">
        <f>'СМР 417 жд'!F16</f>
        <v>22318027.409999996</v>
      </c>
      <c r="D6" s="690">
        <f>'мат 417 жд'!F33</f>
        <v>116610369.69999997</v>
      </c>
      <c r="E6" s="691">
        <f t="shared" si="1"/>
        <v>138928397.10999995</v>
      </c>
      <c r="F6" s="689">
        <f t="shared" si="2"/>
        <v>26781632.891999993</v>
      </c>
      <c r="G6" s="690">
        <f t="shared" si="0"/>
        <v>139932443.63999996</v>
      </c>
      <c r="H6" s="691">
        <f t="shared" si="3"/>
        <v>166714076.53199995</v>
      </c>
      <c r="I6" s="691"/>
      <c r="J6" s="802"/>
      <c r="K6" s="802"/>
      <c r="L6" s="802"/>
      <c r="M6" s="802"/>
      <c r="N6" s="803"/>
      <c r="O6" s="804"/>
    </row>
    <row r="7" spans="1:16" collapsed="1" x14ac:dyDescent="0.3">
      <c r="A7" s="704">
        <v>2</v>
      </c>
      <c r="B7" s="703" t="s">
        <v>2167</v>
      </c>
      <c r="C7" s="188">
        <f>'СМР ком-ции 417'!F397</f>
        <v>69900018.560000002</v>
      </c>
      <c r="D7" s="189">
        <f>'мат ком-ции 417'!F291</f>
        <v>47455623.11999999</v>
      </c>
      <c r="E7" s="190">
        <f t="shared" ref="E7:E29" si="4">C7+D7</f>
        <v>117355641.67999999</v>
      </c>
      <c r="F7" s="191">
        <f t="shared" ref="F7:G29" si="5">C7*1.2</f>
        <v>83880022.272</v>
      </c>
      <c r="G7" s="192">
        <f t="shared" si="0"/>
        <v>56946747.743999988</v>
      </c>
      <c r="H7" s="193">
        <f t="shared" ref="H7:H29" si="6">F7+G7</f>
        <v>140826770.01599997</v>
      </c>
      <c r="I7" s="193"/>
      <c r="J7" s="811">
        <f>SUM(J8:J18)</f>
        <v>62938308</v>
      </c>
      <c r="K7" s="811">
        <f t="shared" ref="K7:K32" si="7">F7/J7</f>
        <v>1.3327339888450767</v>
      </c>
      <c r="L7" s="811">
        <f>SUM(L8:L18)</f>
        <v>50350982</v>
      </c>
      <c r="M7" s="811">
        <f t="shared" ref="M7:M28" si="8">G7/L7</f>
        <v>1.1309957717209962</v>
      </c>
      <c r="N7" s="811">
        <f>SUM(N8:N18)</f>
        <v>113289290</v>
      </c>
      <c r="O7" s="812">
        <f t="shared" ref="O7:O32" si="9">H7/N7</f>
        <v>1.2430722270039822</v>
      </c>
    </row>
    <row r="8" spans="1:16" s="669" customFormat="1" ht="27.6" hidden="1" outlineLevel="1" x14ac:dyDescent="0.3">
      <c r="A8" s="688"/>
      <c r="B8" s="258" t="str">
        <f>'СМР ком-ции 417'!B4</f>
        <v>131-23-НВК2. Переустройство хозпитьевого водопровода (В1) к цеху 121/18</v>
      </c>
      <c r="C8" s="689">
        <f>'СМР ком-ции 417'!F36</f>
        <v>803576.12</v>
      </c>
      <c r="D8" s="689">
        <f>'мат ком-ции 417'!F28</f>
        <v>176919.98999999996</v>
      </c>
      <c r="E8" s="691">
        <f t="shared" si="4"/>
        <v>980496.11</v>
      </c>
      <c r="F8" s="689">
        <f t="shared" si="5"/>
        <v>964291.34399999992</v>
      </c>
      <c r="G8" s="690">
        <f t="shared" ref="G8:G18" si="10">D8*1.2</f>
        <v>212303.98799999995</v>
      </c>
      <c r="H8" s="691">
        <f t="shared" ref="H8:H18" si="11">F8+G8</f>
        <v>1176595.3319999999</v>
      </c>
      <c r="I8" s="691"/>
      <c r="J8" s="802">
        <v>661157</v>
      </c>
      <c r="K8" s="800">
        <f t="shared" si="7"/>
        <v>1.4584907124934017</v>
      </c>
      <c r="L8" s="802">
        <v>165214</v>
      </c>
      <c r="M8" s="800">
        <f t="shared" si="8"/>
        <v>1.2850241989177671</v>
      </c>
      <c r="N8" s="801">
        <f>J8+L8</f>
        <v>826371</v>
      </c>
      <c r="O8" s="798">
        <f t="shared" si="9"/>
        <v>1.4238100465771426</v>
      </c>
    </row>
    <row r="9" spans="1:16" s="669" customFormat="1" ht="27.6" hidden="1" outlineLevel="1" x14ac:dyDescent="0.3">
      <c r="A9" s="688"/>
      <c r="B9" s="692" t="str">
        <f>'СМР ком-ции 417'!B37</f>
        <v>131-23-НВК3. Переустройство хозпитьевого водопровода (В1) на участке В1-1 – В1-1А</v>
      </c>
      <c r="C9" s="689">
        <f>'СМР ком-ции 417'!F58</f>
        <v>1361037.2500000002</v>
      </c>
      <c r="D9" s="690">
        <f>'мат ком-ции 417'!F42</f>
        <v>264396.52</v>
      </c>
      <c r="E9" s="691">
        <f t="shared" si="4"/>
        <v>1625433.7700000003</v>
      </c>
      <c r="F9" s="689">
        <f t="shared" si="5"/>
        <v>1633244.7000000002</v>
      </c>
      <c r="G9" s="690">
        <f t="shared" si="10"/>
        <v>317275.82400000002</v>
      </c>
      <c r="H9" s="691">
        <f t="shared" si="11"/>
        <v>1950520.5240000002</v>
      </c>
      <c r="I9" s="691"/>
      <c r="J9" s="805">
        <v>1307504</v>
      </c>
      <c r="K9" s="800">
        <f t="shared" si="7"/>
        <v>1.2491317043771952</v>
      </c>
      <c r="L9" s="782">
        <v>307468</v>
      </c>
      <c r="M9" s="43">
        <f t="shared" si="8"/>
        <v>1.0318986821392797</v>
      </c>
      <c r="N9" s="801">
        <f t="shared" ref="N9:N13" si="12">J9+L9</f>
        <v>1614972</v>
      </c>
      <c r="O9" s="798">
        <f t="shared" si="9"/>
        <v>1.2077735861674384</v>
      </c>
    </row>
    <row r="10" spans="1:16" s="669" customFormat="1" ht="27.6" hidden="1" outlineLevel="1" x14ac:dyDescent="0.3">
      <c r="A10" s="688"/>
      <c r="B10" s="692" t="str">
        <f>'СМР ком-ции 417'!B59</f>
        <v>131-23-НВК3. Переустройство хозпитьевого водопровода (В1) на участке В1-2 – В1-2А</v>
      </c>
      <c r="C10" s="689">
        <f>'СМР ком-ции 417'!F79</f>
        <v>600031.32999999996</v>
      </c>
      <c r="D10" s="690">
        <f>'мат ком-ции 417'!F56</f>
        <v>344722.89999999997</v>
      </c>
      <c r="E10" s="691">
        <f t="shared" si="4"/>
        <v>944754.23</v>
      </c>
      <c r="F10" s="689">
        <f t="shared" si="5"/>
        <v>720037.5959999999</v>
      </c>
      <c r="G10" s="690">
        <f t="shared" si="10"/>
        <v>413667.47999999992</v>
      </c>
      <c r="H10" s="691">
        <f t="shared" si="11"/>
        <v>1133705.0759999999</v>
      </c>
      <c r="I10" s="691"/>
      <c r="J10" s="805">
        <v>575581</v>
      </c>
      <c r="K10" s="800">
        <f t="shared" si="7"/>
        <v>1.250975268467861</v>
      </c>
      <c r="L10" s="805">
        <v>335793</v>
      </c>
      <c r="M10" s="800">
        <f t="shared" si="8"/>
        <v>1.2319121601701046</v>
      </c>
      <c r="N10" s="801">
        <f t="shared" si="12"/>
        <v>911374</v>
      </c>
      <c r="O10" s="798">
        <f t="shared" si="9"/>
        <v>1.243951523743271</v>
      </c>
    </row>
    <row r="11" spans="1:16" s="669" customFormat="1" ht="27.6" hidden="1" outlineLevel="1" x14ac:dyDescent="0.3">
      <c r="A11" s="688"/>
      <c r="B11" s="692" t="str">
        <f>'СМР ком-ции 417'!B80</f>
        <v>131-23-НВК3. Переустройство хозпитьевого водопровода (В1) на участке В1-3А – В1-8</v>
      </c>
      <c r="C11" s="689">
        <f>'СМР ком-ции 417'!F115</f>
        <v>7102710.5899999999</v>
      </c>
      <c r="D11" s="690">
        <f>'мат ком-ции 417'!F95</f>
        <v>4247631.2500000009</v>
      </c>
      <c r="E11" s="691">
        <f t="shared" si="4"/>
        <v>11350341.84</v>
      </c>
      <c r="F11" s="689">
        <f t="shared" si="5"/>
        <v>8523252.7079999987</v>
      </c>
      <c r="G11" s="690">
        <f t="shared" si="10"/>
        <v>5097157.5000000009</v>
      </c>
      <c r="H11" s="691">
        <f t="shared" si="11"/>
        <v>13620410.208000001</v>
      </c>
      <c r="I11" s="691"/>
      <c r="J11" s="805">
        <v>6926466</v>
      </c>
      <c r="K11" s="800">
        <f t="shared" si="7"/>
        <v>1.2305341147996682</v>
      </c>
      <c r="L11" s="805">
        <v>4171819</v>
      </c>
      <c r="M11" s="800">
        <f t="shared" si="8"/>
        <v>1.2218069623825965</v>
      </c>
      <c r="N11" s="801">
        <f t="shared" si="12"/>
        <v>11098285</v>
      </c>
      <c r="O11" s="798">
        <f t="shared" si="9"/>
        <v>1.227253598911904</v>
      </c>
    </row>
    <row r="12" spans="1:16" s="669" customFormat="1" ht="27.6" hidden="1" outlineLevel="1" x14ac:dyDescent="0.3">
      <c r="A12" s="841" t="s">
        <v>2181</v>
      </c>
      <c r="B12" s="814" t="str">
        <f>'СМР ком-ции 417'!B116</f>
        <v>131-23-НВК3. Переустройство хозпитьевого водопровода (В1) на участке В1-26 – В1-27</v>
      </c>
      <c r="C12" s="815">
        <f>'СМР ком-ции 417'!F137</f>
        <v>1004049.9899999998</v>
      </c>
      <c r="D12" s="818">
        <f>'мат ком-ции 417'!F109</f>
        <v>142220.45999999996</v>
      </c>
      <c r="E12" s="817">
        <f t="shared" si="4"/>
        <v>1146270.4499999997</v>
      </c>
      <c r="F12" s="815">
        <f t="shared" si="5"/>
        <v>1204859.9879999997</v>
      </c>
      <c r="G12" s="818">
        <f t="shared" si="10"/>
        <v>170664.55199999994</v>
      </c>
      <c r="H12" s="817">
        <f t="shared" si="11"/>
        <v>1375524.5399999996</v>
      </c>
      <c r="I12" s="817">
        <f>-H12</f>
        <v>-1375524.5399999996</v>
      </c>
      <c r="J12" s="822">
        <v>860988</v>
      </c>
      <c r="K12" s="819">
        <f t="shared" si="7"/>
        <v>1.399392312087973</v>
      </c>
      <c r="L12" s="822">
        <v>133483</v>
      </c>
      <c r="M12" s="819">
        <f t="shared" si="8"/>
        <v>1.2785489687825411</v>
      </c>
      <c r="N12" s="820">
        <f t="shared" si="12"/>
        <v>994471</v>
      </c>
      <c r="O12" s="821">
        <f t="shared" si="9"/>
        <v>1.3831720985327873</v>
      </c>
    </row>
    <row r="13" spans="1:16" s="669" customFormat="1" ht="27.6" hidden="1" outlineLevel="1" x14ac:dyDescent="0.3">
      <c r="A13" s="688"/>
      <c r="B13" s="692" t="str">
        <f>'СМР ком-ции 417'!B138</f>
        <v>131-23-НВК3. Переустройство хозпитьевого водопровода (В1) на участке В1-30 – В1-31</v>
      </c>
      <c r="C13" s="689">
        <f>'СМР ком-ции 417'!F159</f>
        <v>2221302.5100000002</v>
      </c>
      <c r="D13" s="690">
        <f>'мат ком-ции 417'!F123</f>
        <v>178550.89</v>
      </c>
      <c r="E13" s="691">
        <f t="shared" si="4"/>
        <v>2399853.4000000004</v>
      </c>
      <c r="F13" s="689">
        <f t="shared" si="5"/>
        <v>2665563.0120000001</v>
      </c>
      <c r="G13" s="690">
        <f t="shared" si="10"/>
        <v>214261.068</v>
      </c>
      <c r="H13" s="691">
        <f t="shared" si="11"/>
        <v>2879824.08</v>
      </c>
      <c r="I13" s="691"/>
      <c r="J13" s="805">
        <v>1877998</v>
      </c>
      <c r="K13" s="800">
        <f t="shared" si="7"/>
        <v>1.4193641377679849</v>
      </c>
      <c r="L13" s="805">
        <v>167941</v>
      </c>
      <c r="M13" s="800">
        <f t="shared" si="8"/>
        <v>1.2758115528667806</v>
      </c>
      <c r="N13" s="801">
        <f t="shared" si="12"/>
        <v>2045939</v>
      </c>
      <c r="O13" s="798">
        <f t="shared" si="9"/>
        <v>1.4075806170174185</v>
      </c>
    </row>
    <row r="14" spans="1:16" s="669" customFormat="1" hidden="1" outlineLevel="1" x14ac:dyDescent="0.3">
      <c r="A14" s="841" t="s">
        <v>2291</v>
      </c>
      <c r="B14" s="814" t="str">
        <f>'СМР ком-ции 417'!B160</f>
        <v>131-23-НВК5 Ливневая канализация</v>
      </c>
      <c r="C14" s="815">
        <f>'СМР ком-ции 417'!F266</f>
        <v>18893933.91</v>
      </c>
      <c r="D14" s="818">
        <f>'мат ком-ции 417'!F199</f>
        <v>15620781.809999989</v>
      </c>
      <c r="E14" s="817">
        <f t="shared" si="4"/>
        <v>34514715.719999991</v>
      </c>
      <c r="F14" s="815">
        <f t="shared" si="5"/>
        <v>22672720.691999998</v>
      </c>
      <c r="G14" s="818">
        <f t="shared" si="10"/>
        <v>18744938.171999987</v>
      </c>
      <c r="H14" s="817">
        <f t="shared" si="11"/>
        <v>41417658.863999985</v>
      </c>
      <c r="I14" s="817">
        <f>-10348806-529486</f>
        <v>-10878292</v>
      </c>
      <c r="J14" s="848">
        <v>16223286</v>
      </c>
      <c r="K14" s="819">
        <f t="shared" si="7"/>
        <v>1.3975418230314129</v>
      </c>
      <c r="L14" s="848">
        <v>15191891</v>
      </c>
      <c r="M14" s="819">
        <f t="shared" si="8"/>
        <v>1.2338778741895915</v>
      </c>
      <c r="N14" s="820">
        <f>J14+L14</f>
        <v>31415177</v>
      </c>
      <c r="O14" s="821">
        <f t="shared" si="9"/>
        <v>1.3183964828210257</v>
      </c>
    </row>
    <row r="15" spans="1:16" s="669" customFormat="1" hidden="1" outlineLevel="1" x14ac:dyDescent="0.3">
      <c r="A15" s="688"/>
      <c r="B15" s="692" t="str">
        <f>'СМР ком-ции 417'!B267</f>
        <v>131-23-НВК4 Хозбытовая канализация (К1)</v>
      </c>
      <c r="C15" s="689">
        <f>'СМР ком-ции 417'!F297</f>
        <v>6081808.8599999994</v>
      </c>
      <c r="D15" s="690">
        <f>'мат ком-ции 417'!F223</f>
        <v>2863452.5300000007</v>
      </c>
      <c r="E15" s="691">
        <f t="shared" si="4"/>
        <v>8945261.3900000006</v>
      </c>
      <c r="F15" s="689">
        <f t="shared" si="5"/>
        <v>7298170.6319999993</v>
      </c>
      <c r="G15" s="690">
        <f t="shared" si="10"/>
        <v>3436143.0360000008</v>
      </c>
      <c r="H15" s="691">
        <f t="shared" si="11"/>
        <v>10734313.668</v>
      </c>
      <c r="I15" s="691"/>
      <c r="J15" s="781">
        <v>6219826</v>
      </c>
      <c r="K15" s="43">
        <f t="shared" si="7"/>
        <v>1.1733721541406463</v>
      </c>
      <c r="L15" s="802">
        <v>2659479</v>
      </c>
      <c r="M15" s="800">
        <f t="shared" si="8"/>
        <v>1.2920361604660164</v>
      </c>
      <c r="N15" s="801">
        <f t="shared" ref="N15:N31" si="13">J15+L15</f>
        <v>8879305</v>
      </c>
      <c r="O15" s="798">
        <f t="shared" si="9"/>
        <v>1.2089137233150566</v>
      </c>
    </row>
    <row r="16" spans="1:16" s="669" customFormat="1" ht="27.6" hidden="1" outlineLevel="1" x14ac:dyDescent="0.3">
      <c r="A16" s="688"/>
      <c r="B16" s="692" t="str">
        <f>'СМР ком-ции 417'!B298</f>
        <v>131-23-ГП Вертикальная планировка, благоустройство</v>
      </c>
      <c r="C16" s="689">
        <f>'СМР ком-ции 417'!F332</f>
        <v>29557398.829999998</v>
      </c>
      <c r="D16" s="690">
        <f>'мат ком-ции 417'!F250</f>
        <v>21468010.029999997</v>
      </c>
      <c r="E16" s="691">
        <f t="shared" si="4"/>
        <v>51025408.859999999</v>
      </c>
      <c r="F16" s="689">
        <f t="shared" si="5"/>
        <v>35468878.595999993</v>
      </c>
      <c r="G16" s="690">
        <f t="shared" si="10"/>
        <v>25761612.035999995</v>
      </c>
      <c r="H16" s="691">
        <f t="shared" si="11"/>
        <v>61230490.631999984</v>
      </c>
      <c r="I16" s="691"/>
      <c r="J16" s="802">
        <v>26447120</v>
      </c>
      <c r="K16" s="800">
        <f t="shared" si="7"/>
        <v>1.3411244247388749</v>
      </c>
      <c r="L16" s="781">
        <v>25283676</v>
      </c>
      <c r="M16" s="43">
        <f t="shared" si="8"/>
        <v>1.0189029489224586</v>
      </c>
      <c r="N16" s="801">
        <f t="shared" si="13"/>
        <v>51730796</v>
      </c>
      <c r="O16" s="798">
        <f t="shared" si="9"/>
        <v>1.1836371246249524</v>
      </c>
    </row>
    <row r="17" spans="1:15" s="669" customFormat="1" ht="27.6" hidden="1" outlineLevel="1" x14ac:dyDescent="0.3">
      <c r="A17" s="688"/>
      <c r="B17" s="692" t="str">
        <f>'СМР ком-ции 417'!B333</f>
        <v>131-23-ЭС1 Электротехнические решения Точки 6-15-16-17</v>
      </c>
      <c r="C17" s="689">
        <f>'СМР ком-ции 417'!F339</f>
        <v>316232.76</v>
      </c>
      <c r="D17" s="690">
        <f>'мат ком-ции 417'!F257</f>
        <v>309085.70999999996</v>
      </c>
      <c r="E17" s="691">
        <f t="shared" si="4"/>
        <v>625318.47</v>
      </c>
      <c r="F17" s="689">
        <f t="shared" si="5"/>
        <v>379479.31199999998</v>
      </c>
      <c r="G17" s="690">
        <f t="shared" si="10"/>
        <v>370902.85199999996</v>
      </c>
      <c r="H17" s="691">
        <f t="shared" si="11"/>
        <v>750382.16399999987</v>
      </c>
      <c r="I17" s="691"/>
      <c r="J17" s="802">
        <v>252059</v>
      </c>
      <c r="K17" s="800">
        <f t="shared" si="7"/>
        <v>1.5055178033714327</v>
      </c>
      <c r="L17" s="802">
        <v>273406</v>
      </c>
      <c r="M17" s="800">
        <f t="shared" si="8"/>
        <v>1.3566009963204901</v>
      </c>
      <c r="N17" s="801">
        <f t="shared" si="13"/>
        <v>525465</v>
      </c>
      <c r="O17" s="798">
        <f t="shared" si="9"/>
        <v>1.428034529416802</v>
      </c>
    </row>
    <row r="18" spans="1:15" s="669" customFormat="1" ht="41.4" hidden="1" outlineLevel="1" x14ac:dyDescent="0.3">
      <c r="A18" s="841" t="s">
        <v>2291</v>
      </c>
      <c r="B18" s="692" t="str">
        <f>'СМР ком-ции 417'!B340</f>
        <v>131-23-ЭС2 Электротехнические решения Точки 1-2 Точки 6-7-8 Точки 28-28А-28Б-28В Точки 9-12-10-11</v>
      </c>
      <c r="C18" s="689">
        <f>'СМР ком-ции 417'!F396</f>
        <v>1957936.4100000006</v>
      </c>
      <c r="D18" s="690">
        <f>'мат ком-ции 417'!F290</f>
        <v>1839851.03</v>
      </c>
      <c r="E18" s="691">
        <f t="shared" si="4"/>
        <v>3797787.4400000004</v>
      </c>
      <c r="F18" s="689">
        <f t="shared" si="5"/>
        <v>2349523.6920000007</v>
      </c>
      <c r="G18" s="690">
        <f t="shared" si="10"/>
        <v>2207821.236</v>
      </c>
      <c r="H18" s="691">
        <f t="shared" si="11"/>
        <v>4557344.9280000012</v>
      </c>
      <c r="I18" s="817">
        <f>-659473-508991</f>
        <v>-1168464</v>
      </c>
      <c r="J18" s="802">
        <v>1586323</v>
      </c>
      <c r="K18" s="800">
        <f t="shared" si="7"/>
        <v>1.4811130469645846</v>
      </c>
      <c r="L18" s="802">
        <v>1660812</v>
      </c>
      <c r="M18" s="800">
        <f t="shared" si="8"/>
        <v>1.3293625262823245</v>
      </c>
      <c r="N18" s="801">
        <f t="shared" si="13"/>
        <v>3247135</v>
      </c>
      <c r="O18" s="798">
        <f t="shared" si="9"/>
        <v>1.4034972146215052</v>
      </c>
    </row>
    <row r="19" spans="1:15" collapsed="1" x14ac:dyDescent="0.3">
      <c r="A19" s="704">
        <v>3</v>
      </c>
      <c r="B19" s="705" t="s">
        <v>2171</v>
      </c>
      <c r="C19" s="188">
        <f>'СМР трнсбрдр (2)'!F236</f>
        <v>22731643.340000004</v>
      </c>
      <c r="D19" s="189">
        <f>'мат трнсбрдр (2)'!F301</f>
        <v>17822842.080000002</v>
      </c>
      <c r="E19" s="190">
        <f t="shared" si="4"/>
        <v>40554485.420000002</v>
      </c>
      <c r="F19" s="191">
        <f t="shared" si="5"/>
        <v>27277972.008000005</v>
      </c>
      <c r="G19" s="192">
        <f t="shared" si="0"/>
        <v>21387410.496000003</v>
      </c>
      <c r="H19" s="193">
        <f t="shared" si="6"/>
        <v>48665382.504000008</v>
      </c>
      <c r="I19" s="193"/>
      <c r="J19" s="811">
        <f>SUM(J20:J24)</f>
        <v>19098431</v>
      </c>
      <c r="K19" s="800">
        <f t="shared" si="7"/>
        <v>1.4282834023381294</v>
      </c>
      <c r="L19" s="811">
        <f>SUM(L20:L24)</f>
        <v>16559269</v>
      </c>
      <c r="M19" s="800">
        <f t="shared" si="8"/>
        <v>1.291567308677696</v>
      </c>
      <c r="N19" s="813">
        <f t="shared" si="13"/>
        <v>35657700</v>
      </c>
      <c r="O19" s="798">
        <f t="shared" si="9"/>
        <v>1.3647930882810728</v>
      </c>
    </row>
    <row r="20" spans="1:15" s="57" customFormat="1" ht="27.6" hidden="1" outlineLevel="1" x14ac:dyDescent="0.3">
      <c r="A20" s="693"/>
      <c r="B20" s="692" t="str">
        <f>'СМР трнсбрдр (2)'!B5:D5</f>
        <v>131-23-АС1 (02-01-01) Архитектурно-строительные решения</v>
      </c>
      <c r="C20" s="689">
        <f>'СМР трнсбрдр (2)'!F5</f>
        <v>7640674.8600000013</v>
      </c>
      <c r="D20" s="694">
        <f>'мат трнсбрдр (2)'!F5</f>
        <v>10632919.970000003</v>
      </c>
      <c r="E20" s="691">
        <f t="shared" si="4"/>
        <v>18273594.830000006</v>
      </c>
      <c r="F20" s="689">
        <f t="shared" si="5"/>
        <v>9168809.8320000004</v>
      </c>
      <c r="G20" s="690">
        <f t="shared" ref="G20:G24" si="14">D20*1.2</f>
        <v>12759503.964000003</v>
      </c>
      <c r="H20" s="691">
        <f t="shared" si="6"/>
        <v>21928313.796000004</v>
      </c>
      <c r="I20" s="691"/>
      <c r="J20" s="800">
        <v>6480566</v>
      </c>
      <c r="K20" s="800">
        <f t="shared" si="7"/>
        <v>1.4148162108062785</v>
      </c>
      <c r="L20" s="800">
        <v>9877873</v>
      </c>
      <c r="M20" s="800">
        <f t="shared" si="8"/>
        <v>1.2917258567709873</v>
      </c>
      <c r="N20" s="801">
        <f t="shared" si="13"/>
        <v>16358439</v>
      </c>
      <c r="O20" s="798">
        <f t="shared" si="9"/>
        <v>1.3404893826360817</v>
      </c>
    </row>
    <row r="21" spans="1:15" s="57" customFormat="1" ht="27.6" hidden="1" outlineLevel="1" x14ac:dyDescent="0.3">
      <c r="A21" s="693"/>
      <c r="B21" s="692" t="str">
        <f>'СМР трнсбрдр (2)'!B62:D62</f>
        <v>131-23-АС2 (02-01-02) Архитектурно-строительные решения</v>
      </c>
      <c r="C21" s="689">
        <f>'СМР трнсбрдр (2)'!F62</f>
        <v>1175345.82</v>
      </c>
      <c r="D21" s="694">
        <f>'мат трнсбрдр (2)'!F115</f>
        <v>1306622.1500000001</v>
      </c>
      <c r="E21" s="691">
        <f t="shared" si="4"/>
        <v>2481967.9700000002</v>
      </c>
      <c r="F21" s="689">
        <f t="shared" si="5"/>
        <v>1410414.9839999999</v>
      </c>
      <c r="G21" s="690">
        <f t="shared" si="14"/>
        <v>1567946.58</v>
      </c>
      <c r="H21" s="691">
        <f t="shared" si="6"/>
        <v>2978361.5640000002</v>
      </c>
      <c r="I21" s="691"/>
      <c r="J21" s="800">
        <v>946035</v>
      </c>
      <c r="K21" s="800">
        <f t="shared" si="7"/>
        <v>1.4908697712029682</v>
      </c>
      <c r="L21" s="800">
        <v>1157167</v>
      </c>
      <c r="M21" s="800">
        <f t="shared" si="8"/>
        <v>1.354987292240446</v>
      </c>
      <c r="N21" s="801">
        <f t="shared" si="13"/>
        <v>2103202</v>
      </c>
      <c r="O21" s="798">
        <f t="shared" si="9"/>
        <v>1.4161081836171705</v>
      </c>
    </row>
    <row r="22" spans="1:15" s="57" customFormat="1" hidden="1" outlineLevel="1" x14ac:dyDescent="0.3">
      <c r="A22" s="693"/>
      <c r="B22" s="692" t="str">
        <f>'СМР трнсбрдр (2)'!B83:D83</f>
        <v>131-23-ГП1 (02-07-01) Генеральный план</v>
      </c>
      <c r="C22" s="689">
        <f>'СМР трнсбрдр (2)'!F83</f>
        <v>8164667.3499999987</v>
      </c>
      <c r="D22" s="694">
        <f>'мат трнсбрдр (2)'!F144</f>
        <v>2069917.4899999998</v>
      </c>
      <c r="E22" s="691">
        <f t="shared" si="4"/>
        <v>10234584.839999998</v>
      </c>
      <c r="F22" s="689">
        <f t="shared" si="5"/>
        <v>9797600.8199999984</v>
      </c>
      <c r="G22" s="690">
        <f t="shared" si="14"/>
        <v>2483900.9879999994</v>
      </c>
      <c r="H22" s="691">
        <f t="shared" si="6"/>
        <v>12281501.807999998</v>
      </c>
      <c r="I22" s="691"/>
      <c r="J22" s="800">
        <v>7074681</v>
      </c>
      <c r="K22" s="800">
        <f t="shared" si="7"/>
        <v>1.3848823459319224</v>
      </c>
      <c r="L22" s="800">
        <v>2153424</v>
      </c>
      <c r="M22" s="800">
        <f t="shared" si="8"/>
        <v>1.1534658237300222</v>
      </c>
      <c r="N22" s="801">
        <f t="shared" si="13"/>
        <v>9228105</v>
      </c>
      <c r="O22" s="798">
        <f t="shared" si="9"/>
        <v>1.3308801544845879</v>
      </c>
    </row>
    <row r="23" spans="1:15" s="57" customFormat="1" ht="27.6" hidden="1" outlineLevel="1" x14ac:dyDescent="0.3">
      <c r="A23" s="841" t="s">
        <v>2181</v>
      </c>
      <c r="B23" s="814" t="str">
        <f>'СМР трнсбрдр (2)'!B107:D107</f>
        <v>131-23-НВК1 (06-01-01) Наружные сети водопровода и канализации</v>
      </c>
      <c r="C23" s="815">
        <f>'СМР трнсбрдр (2)'!F107</f>
        <v>1617269.5599999996</v>
      </c>
      <c r="D23" s="816">
        <f>'мат трнсбрдр (2)'!F159</f>
        <v>731237.02999999991</v>
      </c>
      <c r="E23" s="817">
        <f t="shared" si="4"/>
        <v>2348506.5899999994</v>
      </c>
      <c r="F23" s="815">
        <f t="shared" si="5"/>
        <v>1940723.4719999994</v>
      </c>
      <c r="G23" s="818">
        <f t="shared" si="14"/>
        <v>877484.43599999987</v>
      </c>
      <c r="H23" s="817">
        <f t="shared" si="6"/>
        <v>2818207.9079999994</v>
      </c>
      <c r="I23" s="817">
        <f>-H23</f>
        <v>-2818207.9079999994</v>
      </c>
      <c r="J23" s="819">
        <v>1302325</v>
      </c>
      <c r="K23" s="819">
        <f t="shared" si="7"/>
        <v>1.4901990455531449</v>
      </c>
      <c r="L23" s="819">
        <v>653223</v>
      </c>
      <c r="M23" s="819">
        <f t="shared" si="8"/>
        <v>1.3433152782434175</v>
      </c>
      <c r="N23" s="820">
        <f t="shared" si="13"/>
        <v>1955548</v>
      </c>
      <c r="O23" s="821">
        <f t="shared" si="9"/>
        <v>1.4411346118837274</v>
      </c>
    </row>
    <row r="24" spans="1:15" s="57" customFormat="1" ht="27.6" hidden="1" outlineLevel="1" x14ac:dyDescent="0.3">
      <c r="A24" s="693"/>
      <c r="B24" s="692" t="str">
        <f>'СМР трнсбрдр (2)'!B137:D137</f>
        <v>131-23-ТС1 (06-01-02) Теплоснабжение. Переустройство трубопровода</v>
      </c>
      <c r="C24" s="689">
        <f>'СМР трнсбрдр (2)'!F137</f>
        <v>4133685.7500000005</v>
      </c>
      <c r="D24" s="694">
        <f>'мат трнсбрдр (2)'!F183</f>
        <v>3082145.4399999995</v>
      </c>
      <c r="E24" s="691">
        <f t="shared" si="4"/>
        <v>7215831.1899999995</v>
      </c>
      <c r="F24" s="689">
        <f t="shared" si="5"/>
        <v>4960422.9000000004</v>
      </c>
      <c r="G24" s="690">
        <f t="shared" si="14"/>
        <v>3698574.5279999995</v>
      </c>
      <c r="H24" s="691">
        <f t="shared" si="6"/>
        <v>8658997.4279999994</v>
      </c>
      <c r="I24" s="691"/>
      <c r="J24" s="800">
        <v>3294824</v>
      </c>
      <c r="K24" s="800">
        <f t="shared" si="7"/>
        <v>1.5055198396029652</v>
      </c>
      <c r="L24" s="800">
        <v>2717582</v>
      </c>
      <c r="M24" s="800">
        <f t="shared" si="8"/>
        <v>1.3609799181772617</v>
      </c>
      <c r="N24" s="801">
        <f t="shared" si="13"/>
        <v>6012406</v>
      </c>
      <c r="O24" s="798">
        <f t="shared" si="9"/>
        <v>1.440188408434161</v>
      </c>
    </row>
    <row r="25" spans="1:15" ht="27.6" collapsed="1" x14ac:dyDescent="0.3">
      <c r="A25" s="704">
        <v>3</v>
      </c>
      <c r="B25" s="709" t="str">
        <f>'СМР ГСН'!B4:D4</f>
        <v>131-23-ГСН. Наружные газопроводы. Вынос газопровода среднего давления</v>
      </c>
      <c r="C25" s="188">
        <f>'СМР ГСН'!F42</f>
        <v>3868744.37</v>
      </c>
      <c r="D25" s="189">
        <f>'мат ГСН'!F32</f>
        <v>2439875.9699999993</v>
      </c>
      <c r="E25" s="190">
        <f t="shared" si="4"/>
        <v>6308620.3399999999</v>
      </c>
      <c r="F25" s="191">
        <f t="shared" si="5"/>
        <v>4642493.2439999999</v>
      </c>
      <c r="G25" s="192">
        <f t="shared" si="0"/>
        <v>2927851.1639999989</v>
      </c>
      <c r="H25" s="193">
        <f t="shared" si="6"/>
        <v>7570344.4079999989</v>
      </c>
      <c r="I25" s="193"/>
      <c r="J25" s="811">
        <v>3012319</v>
      </c>
      <c r="K25" s="811">
        <f t="shared" si="7"/>
        <v>1.5411691935681446</v>
      </c>
      <c r="L25" s="811">
        <v>2158227</v>
      </c>
      <c r="M25" s="811">
        <f t="shared" si="8"/>
        <v>1.3566001926581397</v>
      </c>
      <c r="N25" s="813">
        <f t="shared" si="13"/>
        <v>5170546</v>
      </c>
      <c r="O25" s="812">
        <f t="shared" si="9"/>
        <v>1.4641286254875208</v>
      </c>
    </row>
    <row r="26" spans="1:15" ht="27.6" x14ac:dyDescent="0.3">
      <c r="A26" s="704">
        <v>4</v>
      </c>
      <c r="B26" s="710" t="str">
        <f>'СМР эсткд'!B5:D5</f>
        <v xml:space="preserve">131-23-АС4.ВР Эстакада. Архитектурно-строительные решения </v>
      </c>
      <c r="C26" s="188">
        <f>'СМР эсткд'!F100</f>
        <v>7946588.6000000006</v>
      </c>
      <c r="D26" s="189">
        <f>'мат эсткд'!F87</f>
        <v>2895517.84</v>
      </c>
      <c r="E26" s="190">
        <f t="shared" si="4"/>
        <v>10842106.440000001</v>
      </c>
      <c r="F26" s="191">
        <f t="shared" si="5"/>
        <v>9535906.3200000003</v>
      </c>
      <c r="G26" s="192">
        <f t="shared" si="0"/>
        <v>3474621.4079999998</v>
      </c>
      <c r="H26" s="193">
        <f t="shared" si="6"/>
        <v>13010527.728</v>
      </c>
      <c r="I26" s="193"/>
      <c r="J26" s="811">
        <v>4715482</v>
      </c>
      <c r="K26" s="811">
        <f t="shared" si="7"/>
        <v>2.0222548447857505</v>
      </c>
      <c r="L26" s="811">
        <v>1577235</v>
      </c>
      <c r="M26" s="811">
        <f t="shared" si="8"/>
        <v>2.2029826931306999</v>
      </c>
      <c r="N26" s="813">
        <f t="shared" si="13"/>
        <v>6292717</v>
      </c>
      <c r="O26" s="812">
        <f t="shared" si="9"/>
        <v>2.0675532886668826</v>
      </c>
    </row>
    <row r="27" spans="1:15" ht="27.6" x14ac:dyDescent="0.3">
      <c r="A27" s="704">
        <f t="shared" ref="A27:A28" si="15">A26+1</f>
        <v>5</v>
      </c>
      <c r="B27" s="710" t="str">
        <f>'СМР ТС2'!B5:D5</f>
        <v>131-23-ТС2 Теплоснабжение. Переустройство трубопровода</v>
      </c>
      <c r="C27" s="188">
        <f>'СМР ТС2'!F89</f>
        <v>2134368.2999999998</v>
      </c>
      <c r="D27" s="189">
        <f>'мат ТС2'!F99</f>
        <v>1330631.2799999993</v>
      </c>
      <c r="E27" s="190">
        <f t="shared" si="4"/>
        <v>3464999.5799999991</v>
      </c>
      <c r="F27" s="191">
        <f t="shared" si="5"/>
        <v>2561241.9599999995</v>
      </c>
      <c r="G27" s="192">
        <f t="shared" si="0"/>
        <v>1596757.5359999991</v>
      </c>
      <c r="H27" s="193">
        <f t="shared" si="6"/>
        <v>4157999.4959999984</v>
      </c>
      <c r="I27" s="193"/>
      <c r="J27" s="811">
        <v>1719592</v>
      </c>
      <c r="K27" s="811">
        <f t="shared" si="7"/>
        <v>1.4894474735867576</v>
      </c>
      <c r="L27" s="811">
        <v>1177029</v>
      </c>
      <c r="M27" s="811">
        <f t="shared" si="8"/>
        <v>1.3565999954121768</v>
      </c>
      <c r="N27" s="813">
        <f t="shared" si="13"/>
        <v>2896621</v>
      </c>
      <c r="O27" s="812">
        <f t="shared" si="9"/>
        <v>1.4354654944502572</v>
      </c>
    </row>
    <row r="28" spans="1:15" ht="27.6" x14ac:dyDescent="0.3">
      <c r="A28" s="704">
        <f t="shared" si="15"/>
        <v>6</v>
      </c>
      <c r="B28" s="710" t="str">
        <f>'СМР ТС3'!B5:D5</f>
        <v>131-23-ТС3 Теплоснабжение. Переустройство трубопровода</v>
      </c>
      <c r="C28" s="188">
        <f>'СМР ТС3'!F103</f>
        <v>4436963.1600000011</v>
      </c>
      <c r="D28" s="189">
        <f>'мат ТС3'!F93</f>
        <v>2088899.2599999995</v>
      </c>
      <c r="E28" s="190">
        <f t="shared" si="4"/>
        <v>6525862.4200000009</v>
      </c>
      <c r="F28" s="191">
        <f t="shared" si="5"/>
        <v>5324355.7920000013</v>
      </c>
      <c r="G28" s="192">
        <f>D28*1.2</f>
        <v>2506679.1119999993</v>
      </c>
      <c r="H28" s="193">
        <f t="shared" si="6"/>
        <v>7831034.904000001</v>
      </c>
      <c r="I28" s="193"/>
      <c r="J28" s="811">
        <v>3140786</v>
      </c>
      <c r="K28" s="811">
        <f t="shared" si="7"/>
        <v>1.6952303633549057</v>
      </c>
      <c r="L28" s="811">
        <v>1863346</v>
      </c>
      <c r="M28" s="811">
        <f t="shared" si="8"/>
        <v>1.3452569259815403</v>
      </c>
      <c r="N28" s="813">
        <f t="shared" si="13"/>
        <v>5004132</v>
      </c>
      <c r="O28" s="812">
        <f t="shared" si="9"/>
        <v>1.5649137360884966</v>
      </c>
    </row>
    <row r="29" spans="1:15" x14ac:dyDescent="0.3">
      <c r="A29" s="704">
        <v>7</v>
      </c>
      <c r="B29" s="705" t="s">
        <v>1647</v>
      </c>
      <c r="C29" s="188">
        <f>'демонтаж по трассе ВР'!H75</f>
        <v>41740372.294487998</v>
      </c>
      <c r="D29" s="189"/>
      <c r="E29" s="190">
        <f t="shared" si="4"/>
        <v>41740372.294487998</v>
      </c>
      <c r="F29" s="191">
        <f t="shared" si="5"/>
        <v>50088446.753385596</v>
      </c>
      <c r="G29" s="191">
        <f t="shared" si="5"/>
        <v>0</v>
      </c>
      <c r="H29" s="193">
        <f t="shared" si="6"/>
        <v>50088446.753385596</v>
      </c>
      <c r="I29" s="193"/>
      <c r="J29" s="811">
        <v>16781987</v>
      </c>
      <c r="K29" s="811">
        <f t="shared" si="7"/>
        <v>2.9846553184307436</v>
      </c>
      <c r="L29" s="811"/>
      <c r="M29" s="811"/>
      <c r="N29" s="813">
        <f t="shared" si="13"/>
        <v>16781987</v>
      </c>
      <c r="O29" s="812">
        <f t="shared" si="9"/>
        <v>2.9846553184307436</v>
      </c>
    </row>
    <row r="30" spans="1:15" x14ac:dyDescent="0.3">
      <c r="A30" s="704">
        <v>8</v>
      </c>
      <c r="B30" s="705" t="s">
        <v>1648</v>
      </c>
      <c r="C30" s="188">
        <f>'демонтаж 121 ВР'!R130</f>
        <v>28425709.467024006</v>
      </c>
      <c r="D30" s="189"/>
      <c r="E30" s="190">
        <f t="shared" ref="E30:E31" si="16">C30+D30</f>
        <v>28425709.467024006</v>
      </c>
      <c r="F30" s="191">
        <f t="shared" ref="F30" si="17">C30*1.2</f>
        <v>34110851.360428803</v>
      </c>
      <c r="G30" s="191">
        <f t="shared" ref="G30" si="18">D30*1.2</f>
        <v>0</v>
      </c>
      <c r="H30" s="193">
        <f t="shared" ref="H30" si="19">F30+G30</f>
        <v>34110851.360428803</v>
      </c>
      <c r="I30" s="193"/>
      <c r="J30" s="811">
        <v>13124029</v>
      </c>
      <c r="K30" s="811">
        <f t="shared" si="7"/>
        <v>2.5991142933643929</v>
      </c>
      <c r="L30" s="811"/>
      <c r="M30" s="811"/>
      <c r="N30" s="813">
        <f t="shared" si="13"/>
        <v>13124029</v>
      </c>
      <c r="O30" s="812">
        <f t="shared" si="9"/>
        <v>2.5991142933643929</v>
      </c>
    </row>
    <row r="31" spans="1:15" x14ac:dyDescent="0.3">
      <c r="A31" s="704">
        <v>9</v>
      </c>
      <c r="B31" s="705" t="s">
        <v>2182</v>
      </c>
      <c r="C31" s="188"/>
      <c r="D31" s="189">
        <f>'мат АС3'!K90</f>
        <v>3889623.8980385596</v>
      </c>
      <c r="E31" s="190">
        <f t="shared" si="16"/>
        <v>3889623.8980385596</v>
      </c>
      <c r="F31" s="191">
        <f t="shared" ref="F31" si="20">C31*1.2</f>
        <v>0</v>
      </c>
      <c r="G31" s="191">
        <f t="shared" ref="G31" si="21">D31*1.2</f>
        <v>4667548.677646271</v>
      </c>
      <c r="H31" s="193">
        <f t="shared" ref="H31" si="22">F31+G31</f>
        <v>4667548.677646271</v>
      </c>
      <c r="I31" s="193"/>
      <c r="J31" s="811"/>
      <c r="K31" s="811"/>
      <c r="L31" s="811">
        <f>'мат АС3'!F90</f>
        <v>3590422.0597279025</v>
      </c>
      <c r="M31" s="811">
        <f>G31/L31</f>
        <v>1.2999999999999994</v>
      </c>
      <c r="N31" s="813">
        <f t="shared" si="13"/>
        <v>3590422.0597279025</v>
      </c>
      <c r="O31" s="812">
        <f t="shared" si="9"/>
        <v>1.2999999999999994</v>
      </c>
    </row>
    <row r="32" spans="1:15" x14ac:dyDescent="0.3">
      <c r="A32" s="524"/>
      <c r="B32" s="525" t="s">
        <v>728</v>
      </c>
      <c r="C32" s="526">
        <f>C3+C7+C19+C25+C26+C27+C28+C29+C30+C31</f>
        <v>227831530.06151202</v>
      </c>
      <c r="D32" s="526">
        <f t="shared" ref="D32:N32" si="23">D3+D7+D19+D25+D26+D27+D28+D29+D30+D31</f>
        <v>228840904.52803856</v>
      </c>
      <c r="E32" s="526">
        <f t="shared" si="23"/>
        <v>456672434.58955055</v>
      </c>
      <c r="F32" s="526">
        <f t="shared" si="23"/>
        <v>273397836.07381439</v>
      </c>
      <c r="G32" s="526">
        <f t="shared" si="23"/>
        <v>274609085.43364626</v>
      </c>
      <c r="H32" s="526">
        <f t="shared" si="23"/>
        <v>548006921.50746059</v>
      </c>
      <c r="I32" s="849">
        <f>SUM(I3:I31)</f>
        <v>-16240488.447999999</v>
      </c>
      <c r="J32" s="526">
        <f t="shared" si="23"/>
        <v>169983138</v>
      </c>
      <c r="K32" s="811">
        <f t="shared" si="7"/>
        <v>1.6083820977220364</v>
      </c>
      <c r="L32" s="526">
        <f t="shared" si="23"/>
        <v>207711719.05972791</v>
      </c>
      <c r="M32" s="811">
        <f>G32/L32</f>
        <v>1.3220683294941191</v>
      </c>
      <c r="N32" s="526">
        <f t="shared" si="23"/>
        <v>377694857.05972791</v>
      </c>
      <c r="O32" s="812">
        <f t="shared" si="9"/>
        <v>1.4509250291983717</v>
      </c>
    </row>
    <row r="33" spans="1:9" x14ac:dyDescent="0.3">
      <c r="A33" s="145"/>
      <c r="B33" s="145"/>
      <c r="C33" s="145"/>
      <c r="D33" s="145"/>
      <c r="E33" s="145"/>
    </row>
    <row r="34" spans="1:9" x14ac:dyDescent="0.3">
      <c r="A34" s="145"/>
      <c r="B34" s="145"/>
      <c r="C34" s="145"/>
      <c r="D34" s="145"/>
      <c r="E34" s="145"/>
      <c r="G34" t="s">
        <v>2162</v>
      </c>
      <c r="H34" s="15">
        <v>548004000</v>
      </c>
      <c r="I34" s="15"/>
    </row>
    <row r="35" spans="1:9" x14ac:dyDescent="0.3">
      <c r="A35" s="145"/>
      <c r="B35" s="145"/>
      <c r="C35" s="145"/>
      <c r="D35" s="145"/>
      <c r="E35" s="145"/>
      <c r="G35" t="s">
        <v>2163</v>
      </c>
      <c r="H35" s="30">
        <f>H32-H34</f>
        <v>2921.5074605941772</v>
      </c>
      <c r="I35" s="30"/>
    </row>
    <row r="36" spans="1:9" x14ac:dyDescent="0.3">
      <c r="A36" s="145"/>
      <c r="B36" s="145"/>
      <c r="C36" s="145"/>
      <c r="D36" s="145"/>
      <c r="E36" s="145"/>
    </row>
    <row r="37" spans="1:9" x14ac:dyDescent="0.3">
      <c r="A37" s="145"/>
      <c r="B37" s="145"/>
      <c r="C37" s="145"/>
      <c r="D37" s="145"/>
      <c r="E37" s="145"/>
    </row>
    <row r="38" spans="1:9" x14ac:dyDescent="0.3">
      <c r="A38" s="145"/>
      <c r="B38" s="145"/>
      <c r="C38" s="145"/>
      <c r="D38" s="145"/>
      <c r="E38" s="145"/>
    </row>
    <row r="39" spans="1:9" x14ac:dyDescent="0.3">
      <c r="A39" s="145"/>
      <c r="B39" s="145"/>
      <c r="C39" s="145"/>
      <c r="D39" s="145"/>
      <c r="E39" s="145"/>
    </row>
    <row r="40" spans="1:9" x14ac:dyDescent="0.3">
      <c r="A40" s="145"/>
      <c r="B40" s="145"/>
      <c r="C40" s="145"/>
      <c r="D40" s="145"/>
      <c r="E40" s="145"/>
    </row>
  </sheetData>
  <mergeCells count="5">
    <mergeCell ref="J1:N1"/>
    <mergeCell ref="C1:E1"/>
    <mergeCell ref="B1:B2"/>
    <mergeCell ref="A1:A2"/>
    <mergeCell ref="F1:H1"/>
  </mergeCells>
  <pageMargins left="0.7" right="0.7" top="0.75" bottom="0.75" header="0.3" footer="0.3"/>
  <pageSetup paperSize="9" scale="5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topLeftCell="A88" zoomScaleNormal="100" zoomScaleSheetLayoutView="80" workbookViewId="0">
      <selection activeCell="E11" sqref="E11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54" t="s">
        <v>441</v>
      </c>
      <c r="F1" s="954" t="s">
        <v>433</v>
      </c>
      <c r="G1" s="954" t="s">
        <v>409</v>
      </c>
    </row>
    <row r="2" spans="1:10" ht="14.55" customHeight="1" x14ac:dyDescent="0.3">
      <c r="A2" s="964"/>
      <c r="B2" s="966"/>
      <c r="C2" s="954"/>
      <c r="D2" s="954"/>
      <c r="E2" s="954"/>
      <c r="F2" s="954"/>
      <c r="G2" s="954"/>
      <c r="J2" s="335"/>
    </row>
    <row r="3" spans="1:10" ht="55.95" customHeight="1" x14ac:dyDescent="0.3">
      <c r="A3" s="935"/>
      <c r="B3" s="967"/>
      <c r="C3" s="954"/>
      <c r="D3" s="954"/>
      <c r="E3" s="954"/>
      <c r="F3" s="954"/>
      <c r="G3" s="954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H4"/>
      <c r="J4" s="335"/>
    </row>
    <row r="5" spans="1:10" ht="20.25" customHeight="1" x14ac:dyDescent="0.3">
      <c r="A5" s="169"/>
      <c r="B5" s="957" t="s">
        <v>1452</v>
      </c>
      <c r="C5" s="958"/>
      <c r="D5" s="958"/>
      <c r="E5" s="170"/>
      <c r="F5" s="171"/>
      <c r="G5" s="179"/>
    </row>
    <row r="6" spans="1:10" ht="19.5" customHeight="1" x14ac:dyDescent="0.3">
      <c r="A6" s="60"/>
      <c r="B6" s="62" t="s">
        <v>1453</v>
      </c>
      <c r="C6" s="63"/>
      <c r="D6" s="63"/>
      <c r="E6" s="64"/>
      <c r="F6" s="65"/>
      <c r="G6" s="123"/>
    </row>
    <row r="7" spans="1:10" ht="15.6" x14ac:dyDescent="0.3">
      <c r="A7" s="102">
        <v>1</v>
      </c>
      <c r="B7" s="287" t="s">
        <v>443</v>
      </c>
      <c r="C7" s="102" t="s">
        <v>193</v>
      </c>
      <c r="D7" s="336">
        <v>156.5</v>
      </c>
      <c r="E7" s="271">
        <v>464.82929999999999</v>
      </c>
      <c r="F7" s="270">
        <f t="shared" ref="F7:F14" si="0">ROUND(E7*D7,2)</f>
        <v>72745.789999999994</v>
      </c>
      <c r="G7" s="270">
        <f t="shared" ref="G7:G14" si="1">ROUND(F7*1.2,2)</f>
        <v>87294.95</v>
      </c>
    </row>
    <row r="8" spans="1:10" ht="18.75" customHeight="1" x14ac:dyDescent="0.3">
      <c r="A8" s="102">
        <f>A7+1</f>
        <v>2</v>
      </c>
      <c r="B8" s="287" t="s">
        <v>444</v>
      </c>
      <c r="C8" s="357" t="s">
        <v>193</v>
      </c>
      <c r="D8" s="336">
        <v>4.7</v>
      </c>
      <c r="E8" s="271">
        <v>2541.5435879999995</v>
      </c>
      <c r="F8" s="270">
        <f t="shared" si="0"/>
        <v>11945.25</v>
      </c>
      <c r="G8" s="270">
        <f t="shared" si="1"/>
        <v>14334.3</v>
      </c>
    </row>
    <row r="9" spans="1:10" ht="18.75" customHeight="1" x14ac:dyDescent="0.3">
      <c r="A9" s="102">
        <f>A8+1</f>
        <v>3</v>
      </c>
      <c r="B9" s="287" t="s">
        <v>1454</v>
      </c>
      <c r="C9" s="102" t="s">
        <v>239</v>
      </c>
      <c r="D9" s="288">
        <v>107.74</v>
      </c>
      <c r="E9" s="271">
        <v>641</v>
      </c>
      <c r="F9" s="270">
        <f t="shared" si="0"/>
        <v>69061.34</v>
      </c>
      <c r="G9" s="270">
        <f t="shared" si="1"/>
        <v>82873.61</v>
      </c>
      <c r="H9" s="255" t="s">
        <v>1610</v>
      </c>
    </row>
    <row r="10" spans="1:10" ht="18" customHeight="1" x14ac:dyDescent="0.3">
      <c r="A10" s="102">
        <f>A9+1</f>
        <v>4</v>
      </c>
      <c r="B10" s="287" t="s">
        <v>449</v>
      </c>
      <c r="C10" s="102" t="s">
        <v>193</v>
      </c>
      <c r="D10" s="336">
        <v>93.6</v>
      </c>
      <c r="E10" s="271">
        <v>464.82929999999999</v>
      </c>
      <c r="F10" s="270">
        <f t="shared" si="0"/>
        <v>43508.02</v>
      </c>
      <c r="G10" s="270">
        <f t="shared" si="1"/>
        <v>52209.62</v>
      </c>
    </row>
    <row r="11" spans="1:10" ht="18" customHeight="1" x14ac:dyDescent="0.3">
      <c r="A11" s="102">
        <f t="shared" ref="A11:A14" si="2">A10+1</f>
        <v>5</v>
      </c>
      <c r="B11" s="287" t="s">
        <v>451</v>
      </c>
      <c r="C11" s="102" t="s">
        <v>193</v>
      </c>
      <c r="D11" s="290">
        <v>93.6</v>
      </c>
      <c r="E11" s="271">
        <v>283.188312</v>
      </c>
      <c r="F11" s="270">
        <f t="shared" si="0"/>
        <v>26506.43</v>
      </c>
      <c r="G11" s="270">
        <f t="shared" si="1"/>
        <v>31807.72</v>
      </c>
    </row>
    <row r="12" spans="1:10" ht="15.6" x14ac:dyDescent="0.3">
      <c r="A12" s="102">
        <f t="shared" si="2"/>
        <v>6</v>
      </c>
      <c r="B12" s="287" t="s">
        <v>450</v>
      </c>
      <c r="C12" s="102" t="s">
        <v>193</v>
      </c>
      <c r="D12" s="336">
        <v>23.4</v>
      </c>
      <c r="E12" s="271">
        <v>1285.789356</v>
      </c>
      <c r="F12" s="270">
        <f t="shared" si="0"/>
        <v>30087.47</v>
      </c>
      <c r="G12" s="270">
        <f t="shared" si="1"/>
        <v>36104.959999999999</v>
      </c>
    </row>
    <row r="13" spans="1:10" s="52" customFormat="1" ht="15.6" x14ac:dyDescent="0.3">
      <c r="A13" s="102">
        <f t="shared" si="2"/>
        <v>7</v>
      </c>
      <c r="B13" s="287" t="s">
        <v>518</v>
      </c>
      <c r="C13" s="102" t="s">
        <v>239</v>
      </c>
      <c r="D13" s="336">
        <v>65.400000000000006</v>
      </c>
      <c r="E13" s="271">
        <v>464.82929999999999</v>
      </c>
      <c r="F13" s="270">
        <f t="shared" si="0"/>
        <v>30399.84</v>
      </c>
      <c r="G13" s="270">
        <f t="shared" si="1"/>
        <v>36479.81</v>
      </c>
    </row>
    <row r="14" spans="1:10" s="52" customFormat="1" ht="15.6" x14ac:dyDescent="0.3">
      <c r="A14" s="512">
        <f t="shared" si="2"/>
        <v>8</v>
      </c>
      <c r="B14" s="514" t="s">
        <v>503</v>
      </c>
      <c r="C14" s="512" t="s">
        <v>193</v>
      </c>
      <c r="D14" s="517">
        <f>65.4/1.6</f>
        <v>40.875</v>
      </c>
      <c r="E14" s="516">
        <v>1350</v>
      </c>
      <c r="F14" s="511">
        <f t="shared" si="0"/>
        <v>55181.25</v>
      </c>
      <c r="G14" s="511">
        <f t="shared" si="1"/>
        <v>66217.5</v>
      </c>
    </row>
    <row r="15" spans="1:10" ht="24" customHeight="1" x14ac:dyDescent="0.3">
      <c r="A15" s="102"/>
      <c r="B15" s="337" t="s">
        <v>1343</v>
      </c>
      <c r="C15" s="102"/>
      <c r="D15" s="290"/>
      <c r="E15" s="271">
        <v>0</v>
      </c>
      <c r="F15" s="270"/>
      <c r="G15" s="270"/>
    </row>
    <row r="16" spans="1:10" ht="27.6" x14ac:dyDescent="0.3">
      <c r="A16" s="102">
        <f>A14+1</f>
        <v>9</v>
      </c>
      <c r="B16" s="287" t="s">
        <v>1455</v>
      </c>
      <c r="C16" s="102" t="s">
        <v>193</v>
      </c>
      <c r="D16" s="336">
        <v>7.2</v>
      </c>
      <c r="E16" s="271">
        <v>20109.230640000002</v>
      </c>
      <c r="F16" s="270">
        <f>ROUND(E16*D16,2)</f>
        <v>144786.46</v>
      </c>
      <c r="G16" s="270">
        <f t="shared" ref="G16" si="3">ROUND(F16*1.2,2)</f>
        <v>173743.75</v>
      </c>
    </row>
    <row r="17" spans="1:8" ht="19.5" customHeight="1" x14ac:dyDescent="0.3">
      <c r="A17" s="102"/>
      <c r="B17" s="337" t="s">
        <v>1346</v>
      </c>
      <c r="C17" s="102"/>
      <c r="D17" s="290"/>
      <c r="E17" s="271">
        <v>0</v>
      </c>
      <c r="F17" s="270"/>
      <c r="G17" s="270"/>
    </row>
    <row r="18" spans="1:8" ht="22.5" customHeight="1" x14ac:dyDescent="0.3">
      <c r="A18" s="102">
        <f>A16+1</f>
        <v>10</v>
      </c>
      <c r="B18" s="287" t="s">
        <v>1347</v>
      </c>
      <c r="C18" s="102" t="s">
        <v>193</v>
      </c>
      <c r="D18" s="288">
        <v>3.68</v>
      </c>
      <c r="E18" s="271">
        <v>19512.132374879999</v>
      </c>
      <c r="F18" s="270">
        <f t="shared" ref="F18:F26" si="4">ROUND(E18*D18,2)</f>
        <v>71804.649999999994</v>
      </c>
      <c r="G18" s="270">
        <f t="shared" ref="G18:G26" si="5">ROUND(F18*1.2,2)</f>
        <v>86165.58</v>
      </c>
    </row>
    <row r="19" spans="1:8" ht="22.5" customHeight="1" x14ac:dyDescent="0.3">
      <c r="A19" s="102">
        <f>A18+1</f>
        <v>11</v>
      </c>
      <c r="B19" s="287" t="s">
        <v>1348</v>
      </c>
      <c r="C19" s="102" t="s">
        <v>193</v>
      </c>
      <c r="D19" s="288">
        <v>2.3199999999999998</v>
      </c>
      <c r="E19" s="271">
        <v>19512.132374879999</v>
      </c>
      <c r="F19" s="270">
        <f t="shared" si="4"/>
        <v>45268.15</v>
      </c>
      <c r="G19" s="270">
        <f t="shared" si="5"/>
        <v>54321.78</v>
      </c>
    </row>
    <row r="20" spans="1:8" ht="27.6" x14ac:dyDescent="0.3">
      <c r="A20" s="102">
        <f>A19+1</f>
        <v>12</v>
      </c>
      <c r="B20" s="287" t="s">
        <v>1349</v>
      </c>
      <c r="C20" s="102" t="s">
        <v>193</v>
      </c>
      <c r="D20" s="288">
        <v>1.77</v>
      </c>
      <c r="E20" s="271">
        <v>9931.2567749999998</v>
      </c>
      <c r="F20" s="270">
        <f t="shared" si="4"/>
        <v>17578.32</v>
      </c>
      <c r="G20" s="270">
        <f t="shared" si="5"/>
        <v>21093.98</v>
      </c>
    </row>
    <row r="21" spans="1:8" ht="27.6" x14ac:dyDescent="0.3">
      <c r="A21" s="102">
        <f t="shared" ref="A21:A23" si="6">A20+1</f>
        <v>13</v>
      </c>
      <c r="B21" s="287" t="s">
        <v>1456</v>
      </c>
      <c r="C21" s="102" t="s">
        <v>193</v>
      </c>
      <c r="D21" s="288">
        <v>2.0099999999999998</v>
      </c>
      <c r="E21" s="271">
        <v>1973.7367200000001</v>
      </c>
      <c r="F21" s="270">
        <f t="shared" si="4"/>
        <v>3967.21</v>
      </c>
      <c r="G21" s="270">
        <f t="shared" si="5"/>
        <v>4760.6499999999996</v>
      </c>
    </row>
    <row r="22" spans="1:8" ht="27.6" x14ac:dyDescent="0.3">
      <c r="A22" s="102">
        <f t="shared" si="6"/>
        <v>14</v>
      </c>
      <c r="B22" s="287" t="s">
        <v>1457</v>
      </c>
      <c r="C22" s="102" t="s">
        <v>193</v>
      </c>
      <c r="D22" s="288">
        <v>7.5</v>
      </c>
      <c r="E22" s="271">
        <v>1973.7367200000001</v>
      </c>
      <c r="F22" s="270">
        <f t="shared" si="4"/>
        <v>14803.03</v>
      </c>
      <c r="G22" s="270">
        <f t="shared" si="5"/>
        <v>17763.64</v>
      </c>
    </row>
    <row r="23" spans="1:8" ht="15.6" x14ac:dyDescent="0.3">
      <c r="A23" s="102">
        <f t="shared" si="6"/>
        <v>15</v>
      </c>
      <c r="B23" s="287" t="s">
        <v>1609</v>
      </c>
      <c r="C23" s="102" t="s">
        <v>220</v>
      </c>
      <c r="D23" s="290">
        <v>4</v>
      </c>
      <c r="E23" s="271">
        <v>15861.048398999999</v>
      </c>
      <c r="F23" s="270">
        <f t="shared" si="4"/>
        <v>63444.19</v>
      </c>
      <c r="G23" s="270">
        <f t="shared" si="5"/>
        <v>76133.03</v>
      </c>
    </row>
    <row r="24" spans="1:8" ht="27.6" x14ac:dyDescent="0.3">
      <c r="A24" s="102">
        <f>A23+1</f>
        <v>16</v>
      </c>
      <c r="B24" s="287" t="s">
        <v>1350</v>
      </c>
      <c r="C24" s="102" t="s">
        <v>431</v>
      </c>
      <c r="D24" s="288">
        <v>34.200000000000003</v>
      </c>
      <c r="E24" s="271">
        <v>217.397088</v>
      </c>
      <c r="F24" s="270">
        <f t="shared" si="4"/>
        <v>7434.98</v>
      </c>
      <c r="G24" s="270">
        <f t="shared" si="5"/>
        <v>8921.98</v>
      </c>
    </row>
    <row r="25" spans="1:8" ht="27.6" x14ac:dyDescent="0.3">
      <c r="A25" s="102">
        <f t="shared" ref="A25:A26" si="7">A24+1</f>
        <v>17</v>
      </c>
      <c r="B25" s="287" t="s">
        <v>1351</v>
      </c>
      <c r="C25" s="102" t="s">
        <v>431</v>
      </c>
      <c r="D25" s="288">
        <v>34.200000000000003</v>
      </c>
      <c r="E25" s="271">
        <v>451.29919176000004</v>
      </c>
      <c r="F25" s="270">
        <f t="shared" si="4"/>
        <v>15434.43</v>
      </c>
      <c r="G25" s="270">
        <f t="shared" si="5"/>
        <v>18521.32</v>
      </c>
    </row>
    <row r="26" spans="1:8" ht="20.25" customHeight="1" x14ac:dyDescent="0.3">
      <c r="A26" s="102">
        <f t="shared" si="7"/>
        <v>18</v>
      </c>
      <c r="B26" s="287" t="s">
        <v>1352</v>
      </c>
      <c r="C26" s="102" t="s">
        <v>193</v>
      </c>
      <c r="D26" s="288">
        <v>0.48</v>
      </c>
      <c r="E26" s="271">
        <v>9930.1840919999995</v>
      </c>
      <c r="F26" s="270">
        <f t="shared" si="4"/>
        <v>4766.49</v>
      </c>
      <c r="G26" s="270">
        <f t="shared" si="5"/>
        <v>5719.79</v>
      </c>
      <c r="H26" s="255"/>
    </row>
    <row r="27" spans="1:8" ht="19.5" customHeight="1" x14ac:dyDescent="0.3">
      <c r="A27" s="369"/>
      <c r="B27" s="337" t="s">
        <v>1458</v>
      </c>
      <c r="C27" s="352"/>
      <c r="D27" s="352"/>
      <c r="E27" s="271">
        <v>0</v>
      </c>
      <c r="F27" s="354"/>
      <c r="G27" s="338"/>
    </row>
    <row r="28" spans="1:8" ht="15.6" x14ac:dyDescent="0.3">
      <c r="A28" s="102">
        <f>A26+1</f>
        <v>19</v>
      </c>
      <c r="B28" s="287" t="s">
        <v>443</v>
      </c>
      <c r="C28" s="102" t="s">
        <v>193</v>
      </c>
      <c r="D28" s="288">
        <v>115.28</v>
      </c>
      <c r="E28" s="271">
        <v>464.82929999999999</v>
      </c>
      <c r="F28" s="270">
        <f t="shared" ref="F28:F35" si="8">ROUND(E28*D28,2)</f>
        <v>53585.52</v>
      </c>
      <c r="G28" s="270">
        <f t="shared" ref="G28:G35" si="9">ROUND(F28*1.2,2)</f>
        <v>64302.62</v>
      </c>
    </row>
    <row r="29" spans="1:8" ht="18.75" customHeight="1" x14ac:dyDescent="0.3">
      <c r="A29" s="102">
        <f>A28+1</f>
        <v>20</v>
      </c>
      <c r="B29" s="287" t="s">
        <v>444</v>
      </c>
      <c r="C29" s="357" t="s">
        <v>193</v>
      </c>
      <c r="D29" s="288">
        <v>3.46</v>
      </c>
      <c r="E29" s="271">
        <v>2541.5435879999995</v>
      </c>
      <c r="F29" s="270">
        <f t="shared" si="8"/>
        <v>8793.74</v>
      </c>
      <c r="G29" s="270">
        <f t="shared" si="9"/>
        <v>10552.49</v>
      </c>
    </row>
    <row r="30" spans="1:8" ht="18.75" customHeight="1" x14ac:dyDescent="0.3">
      <c r="A30" s="102">
        <f>A29+1</f>
        <v>21</v>
      </c>
      <c r="B30" s="287" t="s">
        <v>1459</v>
      </c>
      <c r="C30" s="357" t="s">
        <v>239</v>
      </c>
      <c r="D30" s="288">
        <v>127.9</v>
      </c>
      <c r="E30" s="271">
        <v>641</v>
      </c>
      <c r="F30" s="270">
        <f t="shared" si="8"/>
        <v>81983.899999999994</v>
      </c>
      <c r="G30" s="270">
        <f t="shared" si="9"/>
        <v>98380.68</v>
      </c>
      <c r="H30" s="255" t="s">
        <v>1610</v>
      </c>
    </row>
    <row r="31" spans="1:8" ht="18" customHeight="1" x14ac:dyDescent="0.3">
      <c r="A31" s="102">
        <f>A29+1</f>
        <v>21</v>
      </c>
      <c r="B31" s="287" t="s">
        <v>449</v>
      </c>
      <c r="C31" s="102" t="s">
        <v>193</v>
      </c>
      <c r="D31" s="336">
        <v>82.5</v>
      </c>
      <c r="E31" s="271">
        <v>464.82929999999999</v>
      </c>
      <c r="F31" s="270">
        <f t="shared" si="8"/>
        <v>38348.42</v>
      </c>
      <c r="G31" s="270">
        <f t="shared" si="9"/>
        <v>46018.1</v>
      </c>
    </row>
    <row r="32" spans="1:8" ht="18" customHeight="1" x14ac:dyDescent="0.3">
      <c r="A32" s="102">
        <f t="shared" ref="A32:A35" si="10">A31+1</f>
        <v>22</v>
      </c>
      <c r="B32" s="287" t="s">
        <v>451</v>
      </c>
      <c r="C32" s="102" t="s">
        <v>193</v>
      </c>
      <c r="D32" s="336">
        <v>82.5</v>
      </c>
      <c r="E32" s="271">
        <v>283.188312</v>
      </c>
      <c r="F32" s="270">
        <f t="shared" si="8"/>
        <v>23363.040000000001</v>
      </c>
      <c r="G32" s="270">
        <f t="shared" si="9"/>
        <v>28035.65</v>
      </c>
    </row>
    <row r="33" spans="1:8" ht="15.6" x14ac:dyDescent="0.3">
      <c r="A33" s="102">
        <f t="shared" si="10"/>
        <v>23</v>
      </c>
      <c r="B33" s="287" t="s">
        <v>450</v>
      </c>
      <c r="C33" s="102" t="s">
        <v>193</v>
      </c>
      <c r="D33" s="336">
        <v>20.51</v>
      </c>
      <c r="E33" s="271">
        <v>1285.789356</v>
      </c>
      <c r="F33" s="270">
        <f t="shared" si="8"/>
        <v>26371.54</v>
      </c>
      <c r="G33" s="270">
        <f t="shared" si="9"/>
        <v>31645.85</v>
      </c>
    </row>
    <row r="34" spans="1:8" s="52" customFormat="1" ht="15.6" x14ac:dyDescent="0.3">
      <c r="A34" s="102">
        <f t="shared" si="10"/>
        <v>24</v>
      </c>
      <c r="B34" s="287" t="s">
        <v>518</v>
      </c>
      <c r="C34" s="102" t="s">
        <v>239</v>
      </c>
      <c r="D34" s="288">
        <v>23.95</v>
      </c>
      <c r="E34" s="271">
        <v>464.82929999999999</v>
      </c>
      <c r="F34" s="270">
        <f t="shared" si="8"/>
        <v>11132.66</v>
      </c>
      <c r="G34" s="270">
        <f t="shared" si="9"/>
        <v>13359.19</v>
      </c>
    </row>
    <row r="35" spans="1:8" s="52" customFormat="1" ht="15.6" x14ac:dyDescent="0.3">
      <c r="A35" s="512">
        <f t="shared" si="10"/>
        <v>25</v>
      </c>
      <c r="B35" s="514" t="s">
        <v>503</v>
      </c>
      <c r="C35" s="512" t="s">
        <v>193</v>
      </c>
      <c r="D35" s="515">
        <f>23.95/1.6</f>
        <v>14.968749999999998</v>
      </c>
      <c r="E35" s="516">
        <v>1350</v>
      </c>
      <c r="F35" s="511">
        <f t="shared" si="8"/>
        <v>20207.810000000001</v>
      </c>
      <c r="G35" s="511">
        <f t="shared" si="9"/>
        <v>24249.37</v>
      </c>
    </row>
    <row r="36" spans="1:8" ht="24" customHeight="1" x14ac:dyDescent="0.3">
      <c r="A36" s="102"/>
      <c r="B36" s="337" t="s">
        <v>1343</v>
      </c>
      <c r="C36" s="102"/>
      <c r="D36" s="290"/>
      <c r="E36" s="271">
        <v>0</v>
      </c>
      <c r="F36" s="270"/>
      <c r="G36" s="270"/>
    </row>
    <row r="37" spans="1:8" ht="27.6" x14ac:dyDescent="0.3">
      <c r="A37" s="102">
        <f>A35+1</f>
        <v>26</v>
      </c>
      <c r="B37" s="287" t="s">
        <v>1460</v>
      </c>
      <c r="C37" s="102" t="s">
        <v>193</v>
      </c>
      <c r="D37" s="288">
        <v>5.85</v>
      </c>
      <c r="E37" s="271">
        <v>20109.230640000002</v>
      </c>
      <c r="F37" s="270">
        <f>ROUND(E37*D37,2)</f>
        <v>117639</v>
      </c>
      <c r="G37" s="270">
        <f t="shared" ref="G37" si="11">ROUND(F37*1.2,2)</f>
        <v>141166.79999999999</v>
      </c>
    </row>
    <row r="38" spans="1:8" ht="19.5" customHeight="1" x14ac:dyDescent="0.3">
      <c r="A38" s="102"/>
      <c r="B38" s="337" t="s">
        <v>1346</v>
      </c>
      <c r="C38" s="102"/>
      <c r="D38" s="290"/>
      <c r="E38" s="271">
        <v>0</v>
      </c>
      <c r="F38" s="270"/>
      <c r="G38" s="270"/>
    </row>
    <row r="39" spans="1:8" ht="22.5" customHeight="1" x14ac:dyDescent="0.3">
      <c r="A39" s="102">
        <f>A37+1</f>
        <v>27</v>
      </c>
      <c r="B39" s="287" t="s">
        <v>1347</v>
      </c>
      <c r="C39" s="102" t="s">
        <v>193</v>
      </c>
      <c r="D39" s="288">
        <v>2.58</v>
      </c>
      <c r="E39" s="271">
        <v>19512.132374879999</v>
      </c>
      <c r="F39" s="270">
        <f t="shared" ref="F39:F47" si="12">ROUND(E39*D39,2)</f>
        <v>50341.3</v>
      </c>
      <c r="G39" s="270">
        <f t="shared" ref="G39:G47" si="13">ROUND(F39*1.2,2)</f>
        <v>60409.56</v>
      </c>
    </row>
    <row r="40" spans="1:8" ht="22.5" customHeight="1" x14ac:dyDescent="0.3">
      <c r="A40" s="102">
        <f>A39+1</f>
        <v>28</v>
      </c>
      <c r="B40" s="287" t="s">
        <v>1348</v>
      </c>
      <c r="C40" s="102" t="s">
        <v>193</v>
      </c>
      <c r="D40" s="288">
        <v>1.93</v>
      </c>
      <c r="E40" s="271">
        <v>19512.132374879999</v>
      </c>
      <c r="F40" s="270">
        <f t="shared" si="12"/>
        <v>37658.42</v>
      </c>
      <c r="G40" s="270">
        <f t="shared" si="13"/>
        <v>45190.1</v>
      </c>
    </row>
    <row r="41" spans="1:8" ht="27.6" x14ac:dyDescent="0.3">
      <c r="A41" s="102">
        <f>A40+1</f>
        <v>29</v>
      </c>
      <c r="B41" s="287" t="s">
        <v>1349</v>
      </c>
      <c r="C41" s="102" t="s">
        <v>193</v>
      </c>
      <c r="D41" s="288">
        <v>1.5</v>
      </c>
      <c r="E41" s="271">
        <v>9931.2567749999998</v>
      </c>
      <c r="F41" s="270">
        <f t="shared" si="12"/>
        <v>14896.89</v>
      </c>
      <c r="G41" s="270">
        <f t="shared" si="13"/>
        <v>17876.27</v>
      </c>
    </row>
    <row r="42" spans="1:8" ht="27.6" x14ac:dyDescent="0.3">
      <c r="A42" s="102">
        <f t="shared" ref="A42:A44" si="14">A41+1</f>
        <v>30</v>
      </c>
      <c r="B42" s="287" t="s">
        <v>1456</v>
      </c>
      <c r="C42" s="102" t="s">
        <v>193</v>
      </c>
      <c r="D42" s="288">
        <v>1.7</v>
      </c>
      <c r="E42" s="271">
        <v>1973.7367200000001</v>
      </c>
      <c r="F42" s="270">
        <f t="shared" si="12"/>
        <v>3355.35</v>
      </c>
      <c r="G42" s="270">
        <f t="shared" si="13"/>
        <v>4026.42</v>
      </c>
    </row>
    <row r="43" spans="1:8" ht="27.6" x14ac:dyDescent="0.3">
      <c r="A43" s="102">
        <f t="shared" si="14"/>
        <v>31</v>
      </c>
      <c r="B43" s="287" t="s">
        <v>1457</v>
      </c>
      <c r="C43" s="102" t="s">
        <v>193</v>
      </c>
      <c r="D43" s="288">
        <v>5.7</v>
      </c>
      <c r="E43" s="271">
        <v>1973.7367200000001</v>
      </c>
      <c r="F43" s="270">
        <f t="shared" si="12"/>
        <v>11250.3</v>
      </c>
      <c r="G43" s="270">
        <f t="shared" si="13"/>
        <v>13500.36</v>
      </c>
    </row>
    <row r="44" spans="1:8" ht="15.6" x14ac:dyDescent="0.3">
      <c r="A44" s="102">
        <f t="shared" si="14"/>
        <v>32</v>
      </c>
      <c r="B44" s="287" t="s">
        <v>1609</v>
      </c>
      <c r="C44" s="102" t="s">
        <v>220</v>
      </c>
      <c r="D44" s="290">
        <v>4</v>
      </c>
      <c r="E44" s="271">
        <v>15861.048398999999</v>
      </c>
      <c r="F44" s="270">
        <f t="shared" si="12"/>
        <v>63444.19</v>
      </c>
      <c r="G44" s="270">
        <f t="shared" si="13"/>
        <v>76133.03</v>
      </c>
    </row>
    <row r="45" spans="1:8" ht="27.6" x14ac:dyDescent="0.3">
      <c r="A45" s="102">
        <f>A44+1</f>
        <v>33</v>
      </c>
      <c r="B45" s="287" t="s">
        <v>1350</v>
      </c>
      <c r="C45" s="102" t="s">
        <v>431</v>
      </c>
      <c r="D45" s="288">
        <v>29.2</v>
      </c>
      <c r="E45" s="271">
        <v>217.397088</v>
      </c>
      <c r="F45" s="270">
        <f t="shared" si="12"/>
        <v>6347.99</v>
      </c>
      <c r="G45" s="270">
        <f t="shared" si="13"/>
        <v>7617.59</v>
      </c>
    </row>
    <row r="46" spans="1:8" ht="27.6" x14ac:dyDescent="0.3">
      <c r="A46" s="102">
        <f t="shared" ref="A46:A47" si="15">A45+1</f>
        <v>34</v>
      </c>
      <c r="B46" s="287" t="s">
        <v>1351</v>
      </c>
      <c r="C46" s="102" t="s">
        <v>431</v>
      </c>
      <c r="D46" s="288">
        <v>29.2</v>
      </c>
      <c r="E46" s="271">
        <v>451.29919176000004</v>
      </c>
      <c r="F46" s="270">
        <f t="shared" si="12"/>
        <v>13177.94</v>
      </c>
      <c r="G46" s="270">
        <f t="shared" si="13"/>
        <v>15813.53</v>
      </c>
    </row>
    <row r="47" spans="1:8" ht="20.25" customHeight="1" x14ac:dyDescent="0.3">
      <c r="A47" s="102">
        <f t="shared" si="15"/>
        <v>35</v>
      </c>
      <c r="B47" s="287" t="s">
        <v>1352</v>
      </c>
      <c r="C47" s="102" t="s">
        <v>193</v>
      </c>
      <c r="D47" s="288">
        <v>0.41</v>
      </c>
      <c r="E47" s="271">
        <v>9930.1840919999995</v>
      </c>
      <c r="F47" s="270">
        <f t="shared" si="12"/>
        <v>4071.38</v>
      </c>
      <c r="G47" s="270">
        <f t="shared" si="13"/>
        <v>4885.66</v>
      </c>
      <c r="H47" s="255"/>
    </row>
    <row r="48" spans="1:8" ht="30.75" customHeight="1" x14ac:dyDescent="0.3">
      <c r="A48" s="102"/>
      <c r="B48" s="368" t="s">
        <v>1461</v>
      </c>
      <c r="C48" s="102"/>
      <c r="D48" s="288"/>
      <c r="E48" s="271">
        <v>0</v>
      </c>
      <c r="F48" s="270"/>
      <c r="G48" s="270"/>
    </row>
    <row r="49" spans="1:8" ht="15.6" x14ac:dyDescent="0.3">
      <c r="A49" s="102">
        <f>A47+1</f>
        <v>36</v>
      </c>
      <c r="B49" s="287" t="s">
        <v>443</v>
      </c>
      <c r="C49" s="102" t="s">
        <v>193</v>
      </c>
      <c r="D49" s="288">
        <v>626.9</v>
      </c>
      <c r="E49" s="271">
        <v>464.82929999999999</v>
      </c>
      <c r="F49" s="270">
        <f t="shared" ref="F49:F56" si="16">ROUND(E49*D49,2)</f>
        <v>291401.49</v>
      </c>
      <c r="G49" s="270">
        <f t="shared" ref="G49:G56" si="17">ROUND(F49*1.2,2)</f>
        <v>349681.79</v>
      </c>
    </row>
    <row r="50" spans="1:8" ht="18.75" customHeight="1" x14ac:dyDescent="0.3">
      <c r="A50" s="102">
        <f>A49+1</f>
        <v>37</v>
      </c>
      <c r="B50" s="287" t="s">
        <v>444</v>
      </c>
      <c r="C50" s="357" t="s">
        <v>193</v>
      </c>
      <c r="D50" s="288">
        <v>18.8</v>
      </c>
      <c r="E50" s="271">
        <v>2541.5435879999995</v>
      </c>
      <c r="F50" s="270">
        <f t="shared" si="16"/>
        <v>47781.02</v>
      </c>
      <c r="G50" s="270">
        <f t="shared" si="17"/>
        <v>57337.22</v>
      </c>
    </row>
    <row r="51" spans="1:8" ht="18.75" customHeight="1" x14ac:dyDescent="0.3">
      <c r="A51" s="102">
        <f>A50+1</f>
        <v>38</v>
      </c>
      <c r="B51" s="287" t="s">
        <v>1462</v>
      </c>
      <c r="C51" s="357" t="s">
        <v>239</v>
      </c>
      <c r="D51" s="288">
        <v>693.2</v>
      </c>
      <c r="E51" s="271">
        <v>641</v>
      </c>
      <c r="F51" s="270">
        <f t="shared" si="16"/>
        <v>444341.2</v>
      </c>
      <c r="G51" s="270">
        <f t="shared" si="17"/>
        <v>533209.43999999994</v>
      </c>
      <c r="H51" s="255" t="s">
        <v>1610</v>
      </c>
    </row>
    <row r="52" spans="1:8" ht="18" customHeight="1" x14ac:dyDescent="0.3">
      <c r="A52" s="102">
        <f>A50+1</f>
        <v>38</v>
      </c>
      <c r="B52" s="287" t="s">
        <v>1463</v>
      </c>
      <c r="C52" s="102" t="s">
        <v>193</v>
      </c>
      <c r="D52" s="336">
        <v>374.7</v>
      </c>
      <c r="E52" s="271">
        <v>464.82929999999999</v>
      </c>
      <c r="F52" s="270">
        <f t="shared" si="16"/>
        <v>174171.54</v>
      </c>
      <c r="G52" s="270">
        <f t="shared" si="17"/>
        <v>209005.85</v>
      </c>
    </row>
    <row r="53" spans="1:8" ht="18" customHeight="1" x14ac:dyDescent="0.3">
      <c r="A53" s="102">
        <f t="shared" ref="A53:A56" si="18">A52+1</f>
        <v>39</v>
      </c>
      <c r="B53" s="287" t="s">
        <v>451</v>
      </c>
      <c r="C53" s="102" t="s">
        <v>193</v>
      </c>
      <c r="D53" s="336">
        <v>374.7</v>
      </c>
      <c r="E53" s="271">
        <v>283.188312</v>
      </c>
      <c r="F53" s="270">
        <f t="shared" si="16"/>
        <v>106110.66</v>
      </c>
      <c r="G53" s="270">
        <f t="shared" si="17"/>
        <v>127332.79</v>
      </c>
    </row>
    <row r="54" spans="1:8" ht="15.6" x14ac:dyDescent="0.3">
      <c r="A54" s="102">
        <f t="shared" si="18"/>
        <v>40</v>
      </c>
      <c r="B54" s="287" t="s">
        <v>450</v>
      </c>
      <c r="C54" s="102" t="s">
        <v>193</v>
      </c>
      <c r="D54" s="336">
        <v>93.7</v>
      </c>
      <c r="E54" s="271">
        <v>1285.789356</v>
      </c>
      <c r="F54" s="270">
        <f t="shared" si="16"/>
        <v>120478.46</v>
      </c>
      <c r="G54" s="270">
        <f t="shared" si="17"/>
        <v>144574.15</v>
      </c>
    </row>
    <row r="55" spans="1:8" s="52" customFormat="1" ht="15.6" x14ac:dyDescent="0.3">
      <c r="A55" s="102">
        <f t="shared" si="18"/>
        <v>41</v>
      </c>
      <c r="B55" s="287" t="s">
        <v>518</v>
      </c>
      <c r="C55" s="102" t="s">
        <v>239</v>
      </c>
      <c r="D55" s="288">
        <v>262.60000000000002</v>
      </c>
      <c r="E55" s="271">
        <v>464.82929999999999</v>
      </c>
      <c r="F55" s="270">
        <f t="shared" si="16"/>
        <v>122064.17</v>
      </c>
      <c r="G55" s="270">
        <f t="shared" si="17"/>
        <v>146477</v>
      </c>
    </row>
    <row r="56" spans="1:8" s="52" customFormat="1" ht="15.6" x14ac:dyDescent="0.3">
      <c r="A56" s="512">
        <f t="shared" si="18"/>
        <v>42</v>
      </c>
      <c r="B56" s="514" t="s">
        <v>503</v>
      </c>
      <c r="C56" s="512" t="s">
        <v>193</v>
      </c>
      <c r="D56" s="515">
        <f>262.6/1.6</f>
        <v>164.125</v>
      </c>
      <c r="E56" s="516">
        <v>1350</v>
      </c>
      <c r="F56" s="511">
        <f t="shared" si="16"/>
        <v>221568.75</v>
      </c>
      <c r="G56" s="511">
        <f t="shared" si="17"/>
        <v>265882.5</v>
      </c>
    </row>
    <row r="57" spans="1:8" ht="19.5" customHeight="1" x14ac:dyDescent="0.3">
      <c r="A57" s="102"/>
      <c r="B57" s="337" t="s">
        <v>1464</v>
      </c>
      <c r="C57" s="102"/>
      <c r="D57" s="290"/>
      <c r="E57" s="271">
        <v>0</v>
      </c>
      <c r="F57" s="270"/>
      <c r="G57" s="270"/>
    </row>
    <row r="58" spans="1:8" ht="22.5" customHeight="1" x14ac:dyDescent="0.3">
      <c r="A58" s="102">
        <f>A56+1</f>
        <v>43</v>
      </c>
      <c r="B58" s="287" t="s">
        <v>1465</v>
      </c>
      <c r="C58" s="102" t="s">
        <v>193</v>
      </c>
      <c r="D58" s="288">
        <v>2.5499999999999998</v>
      </c>
      <c r="E58" s="271">
        <v>19512.132374879999</v>
      </c>
      <c r="F58" s="270">
        <f>ROUND(E58*D58,2)</f>
        <v>49755.94</v>
      </c>
      <c r="G58" s="270">
        <f t="shared" ref="G58:G62" si="19">ROUND(F58*1.2,2)</f>
        <v>59707.13</v>
      </c>
    </row>
    <row r="59" spans="1:8" ht="27.6" x14ac:dyDescent="0.3">
      <c r="A59" s="102">
        <f>A58+1</f>
        <v>44</v>
      </c>
      <c r="B59" s="287" t="s">
        <v>1349</v>
      </c>
      <c r="C59" s="102" t="s">
        <v>193</v>
      </c>
      <c r="D59" s="288">
        <v>1.46</v>
      </c>
      <c r="E59" s="271">
        <v>9931.2567749999998</v>
      </c>
      <c r="F59" s="270">
        <f>ROUND(E59*D59,2)</f>
        <v>14499.63</v>
      </c>
      <c r="G59" s="270">
        <f t="shared" si="19"/>
        <v>17399.560000000001</v>
      </c>
    </row>
    <row r="60" spans="1:8" ht="27.6" x14ac:dyDescent="0.3">
      <c r="A60" s="102">
        <f t="shared" ref="A60" si="20">A59+1</f>
        <v>45</v>
      </c>
      <c r="B60" s="287" t="s">
        <v>1456</v>
      </c>
      <c r="C60" s="102" t="s">
        <v>193</v>
      </c>
      <c r="D60" s="288">
        <v>1.64</v>
      </c>
      <c r="E60" s="271">
        <v>1973.7367200000001</v>
      </c>
      <c r="F60" s="270">
        <f>ROUND(E60*D60,2)</f>
        <v>3236.93</v>
      </c>
      <c r="G60" s="270">
        <f t="shared" si="19"/>
        <v>3884.32</v>
      </c>
    </row>
    <row r="61" spans="1:8" ht="27.6" x14ac:dyDescent="0.3">
      <c r="A61" s="102">
        <f>A60+1</f>
        <v>46</v>
      </c>
      <c r="B61" s="287" t="s">
        <v>1466</v>
      </c>
      <c r="C61" s="102" t="s">
        <v>431</v>
      </c>
      <c r="D61" s="288">
        <v>16.899999999999999</v>
      </c>
      <c r="E61" s="271">
        <v>217.397088</v>
      </c>
      <c r="F61" s="270">
        <f>ROUND(E61*D61,2)</f>
        <v>3674.01</v>
      </c>
      <c r="G61" s="270">
        <f t="shared" si="19"/>
        <v>4408.8100000000004</v>
      </c>
    </row>
    <row r="62" spans="1:8" ht="27.6" x14ac:dyDescent="0.3">
      <c r="A62" s="102">
        <f t="shared" ref="A62" si="21">A61+1</f>
        <v>47</v>
      </c>
      <c r="B62" s="287" t="s">
        <v>1467</v>
      </c>
      <c r="C62" s="102" t="s">
        <v>431</v>
      </c>
      <c r="D62" s="288">
        <v>16.899999999999999</v>
      </c>
      <c r="E62" s="271">
        <v>451.29919176000004</v>
      </c>
      <c r="F62" s="270">
        <f>ROUND(E62*D62,2)</f>
        <v>7626.96</v>
      </c>
      <c r="G62" s="270">
        <f t="shared" si="19"/>
        <v>9152.35</v>
      </c>
    </row>
    <row r="63" spans="1:8" ht="19.5" customHeight="1" x14ac:dyDescent="0.3">
      <c r="A63" s="102"/>
      <c r="B63" s="337" t="s">
        <v>1468</v>
      </c>
      <c r="C63" s="102"/>
      <c r="D63" s="290"/>
      <c r="E63" s="271">
        <v>0</v>
      </c>
      <c r="F63" s="270"/>
      <c r="G63" s="270"/>
    </row>
    <row r="64" spans="1:8" ht="22.5" customHeight="1" x14ac:dyDescent="0.3">
      <c r="A64" s="102">
        <f>A62+1</f>
        <v>48</v>
      </c>
      <c r="B64" s="287" t="s">
        <v>1465</v>
      </c>
      <c r="C64" s="102" t="s">
        <v>193</v>
      </c>
      <c r="D64" s="288">
        <v>2.93</v>
      </c>
      <c r="E64" s="271">
        <v>19512.132374879999</v>
      </c>
      <c r="F64" s="270">
        <f>ROUND(E64*D64,2)</f>
        <v>57170.55</v>
      </c>
      <c r="G64" s="270">
        <f t="shared" ref="G64:G68" si="22">ROUND(F64*1.2,2)</f>
        <v>68604.66</v>
      </c>
    </row>
    <row r="65" spans="1:7" ht="27.6" x14ac:dyDescent="0.3">
      <c r="A65" s="102">
        <f>A64+1</f>
        <v>49</v>
      </c>
      <c r="B65" s="287" t="s">
        <v>1349</v>
      </c>
      <c r="C65" s="102" t="s">
        <v>193</v>
      </c>
      <c r="D65" s="288">
        <v>1.67</v>
      </c>
      <c r="E65" s="271">
        <v>9931.2567749999998</v>
      </c>
      <c r="F65" s="270">
        <f>ROUND(E65*D65,2)</f>
        <v>16585.2</v>
      </c>
      <c r="G65" s="270">
        <f t="shared" si="22"/>
        <v>19902.240000000002</v>
      </c>
    </row>
    <row r="66" spans="1:7" ht="27.6" x14ac:dyDescent="0.3">
      <c r="A66" s="102">
        <f t="shared" ref="A66" si="23">A65+1</f>
        <v>50</v>
      </c>
      <c r="B66" s="287" t="s">
        <v>1456</v>
      </c>
      <c r="C66" s="102" t="s">
        <v>193</v>
      </c>
      <c r="D66" s="288">
        <v>1.88</v>
      </c>
      <c r="E66" s="271">
        <v>1973.7367200000001</v>
      </c>
      <c r="F66" s="270">
        <f>ROUND(E66*D66,2)</f>
        <v>3710.63</v>
      </c>
      <c r="G66" s="270">
        <f t="shared" si="22"/>
        <v>4452.76</v>
      </c>
    </row>
    <row r="67" spans="1:7" ht="27.6" x14ac:dyDescent="0.3">
      <c r="A67" s="102">
        <f>A66+1</f>
        <v>51</v>
      </c>
      <c r="B67" s="287" t="s">
        <v>1466</v>
      </c>
      <c r="C67" s="102" t="s">
        <v>431</v>
      </c>
      <c r="D67" s="288">
        <v>19.399999999999999</v>
      </c>
      <c r="E67" s="271">
        <v>217.397088</v>
      </c>
      <c r="F67" s="270">
        <f>ROUND(E67*D67,2)</f>
        <v>4217.5</v>
      </c>
      <c r="G67" s="270">
        <f t="shared" si="22"/>
        <v>5061</v>
      </c>
    </row>
    <row r="68" spans="1:7" ht="27.6" x14ac:dyDescent="0.3">
      <c r="A68" s="102">
        <f t="shared" ref="A68" si="24">A67+1</f>
        <v>52</v>
      </c>
      <c r="B68" s="287" t="s">
        <v>1467</v>
      </c>
      <c r="C68" s="102" t="s">
        <v>431</v>
      </c>
      <c r="D68" s="288">
        <v>19.399999999999999</v>
      </c>
      <c r="E68" s="271">
        <v>451.29919176000004</v>
      </c>
      <c r="F68" s="270">
        <f>ROUND(E68*D68,2)</f>
        <v>8755.2000000000007</v>
      </c>
      <c r="G68" s="270">
        <f t="shared" si="22"/>
        <v>10506.24</v>
      </c>
    </row>
    <row r="69" spans="1:7" ht="19.5" customHeight="1" x14ac:dyDescent="0.3">
      <c r="A69" s="102"/>
      <c r="B69" s="337" t="s">
        <v>1469</v>
      </c>
      <c r="C69" s="102"/>
      <c r="D69" s="290"/>
      <c r="E69" s="271">
        <v>0</v>
      </c>
      <c r="F69" s="270"/>
      <c r="G69" s="270"/>
    </row>
    <row r="70" spans="1:7" ht="22.5" customHeight="1" x14ac:dyDescent="0.3">
      <c r="A70" s="102">
        <f>A68+1</f>
        <v>53</v>
      </c>
      <c r="B70" s="287" t="s">
        <v>1465</v>
      </c>
      <c r="C70" s="102" t="s">
        <v>193</v>
      </c>
      <c r="D70" s="288">
        <v>1.68</v>
      </c>
      <c r="E70" s="271">
        <v>19512.132374879999</v>
      </c>
      <c r="F70" s="270">
        <f>ROUND(E70*D70,2)</f>
        <v>32780.379999999997</v>
      </c>
      <c r="G70" s="270">
        <f t="shared" ref="G70:G74" si="25">ROUND(F70*1.2,2)</f>
        <v>39336.46</v>
      </c>
    </row>
    <row r="71" spans="1:7" ht="27.6" x14ac:dyDescent="0.3">
      <c r="A71" s="102">
        <f>A70+1</f>
        <v>54</v>
      </c>
      <c r="B71" s="287" t="s">
        <v>1349</v>
      </c>
      <c r="C71" s="102" t="s">
        <v>193</v>
      </c>
      <c r="D71" s="288">
        <v>0.96</v>
      </c>
      <c r="E71" s="271">
        <v>9931.2567749999998</v>
      </c>
      <c r="F71" s="270">
        <f>ROUND(E71*D71,2)</f>
        <v>9534.01</v>
      </c>
      <c r="G71" s="270">
        <f t="shared" si="25"/>
        <v>11440.81</v>
      </c>
    </row>
    <row r="72" spans="1:7" ht="27.6" x14ac:dyDescent="0.3">
      <c r="A72" s="102">
        <f t="shared" ref="A72" si="26">A71+1</f>
        <v>55</v>
      </c>
      <c r="B72" s="287" t="s">
        <v>1456</v>
      </c>
      <c r="C72" s="102" t="s">
        <v>193</v>
      </c>
      <c r="D72" s="288">
        <v>1.08</v>
      </c>
      <c r="E72" s="271">
        <v>1973.7367200000001</v>
      </c>
      <c r="F72" s="270">
        <f>ROUND(E72*D72,2)</f>
        <v>2131.64</v>
      </c>
      <c r="G72" s="270">
        <f t="shared" si="25"/>
        <v>2557.9699999999998</v>
      </c>
    </row>
    <row r="73" spans="1:7" ht="27.6" x14ac:dyDescent="0.3">
      <c r="A73" s="102">
        <f>A72+1</f>
        <v>56</v>
      </c>
      <c r="B73" s="287" t="s">
        <v>1466</v>
      </c>
      <c r="C73" s="102" t="s">
        <v>431</v>
      </c>
      <c r="D73" s="288">
        <v>11.4</v>
      </c>
      <c r="E73" s="271">
        <v>217.397088</v>
      </c>
      <c r="F73" s="270">
        <f>ROUND(E73*D73,2)</f>
        <v>2478.33</v>
      </c>
      <c r="G73" s="270">
        <f t="shared" si="25"/>
        <v>2974</v>
      </c>
    </row>
    <row r="74" spans="1:7" ht="27.6" x14ac:dyDescent="0.3">
      <c r="A74" s="102">
        <f t="shared" ref="A74" si="27">A73+1</f>
        <v>57</v>
      </c>
      <c r="B74" s="287" t="s">
        <v>1467</v>
      </c>
      <c r="C74" s="102" t="s">
        <v>431</v>
      </c>
      <c r="D74" s="288">
        <v>11.4</v>
      </c>
      <c r="E74" s="271">
        <v>451.29919176000004</v>
      </c>
      <c r="F74" s="270">
        <f>ROUND(E74*D74,2)</f>
        <v>5144.8100000000004</v>
      </c>
      <c r="G74" s="270">
        <f t="shared" si="25"/>
        <v>6173.77</v>
      </c>
    </row>
    <row r="75" spans="1:7" ht="19.5" customHeight="1" x14ac:dyDescent="0.3">
      <c r="A75" s="102"/>
      <c r="B75" s="337" t="s">
        <v>1470</v>
      </c>
      <c r="C75" s="102"/>
      <c r="D75" s="290"/>
      <c r="E75" s="271">
        <v>0</v>
      </c>
      <c r="F75" s="270"/>
      <c r="G75" s="270"/>
    </row>
    <row r="76" spans="1:7" ht="22.5" customHeight="1" x14ac:dyDescent="0.3">
      <c r="A76" s="102">
        <f>A74+1</f>
        <v>58</v>
      </c>
      <c r="B76" s="287" t="s">
        <v>1465</v>
      </c>
      <c r="C76" s="102" t="s">
        <v>193</v>
      </c>
      <c r="D76" s="288">
        <v>2.8</v>
      </c>
      <c r="E76" s="271">
        <v>19512.132374879999</v>
      </c>
      <c r="F76" s="270">
        <f>ROUND(E76*D76,2)</f>
        <v>54633.97</v>
      </c>
      <c r="G76" s="270">
        <f t="shared" ref="G76:G80" si="28">ROUND(F76*1.2,2)</f>
        <v>65560.759999999995</v>
      </c>
    </row>
    <row r="77" spans="1:7" ht="27.6" x14ac:dyDescent="0.3">
      <c r="A77" s="102">
        <f>A76+1</f>
        <v>59</v>
      </c>
      <c r="B77" s="287" t="s">
        <v>1349</v>
      </c>
      <c r="C77" s="102" t="s">
        <v>193</v>
      </c>
      <c r="D77" s="288">
        <v>1.6</v>
      </c>
      <c r="E77" s="271">
        <v>9931.2567749999998</v>
      </c>
      <c r="F77" s="270">
        <f>ROUND(E77*D77,2)</f>
        <v>15890.01</v>
      </c>
      <c r="G77" s="270">
        <f t="shared" si="28"/>
        <v>19068.009999999998</v>
      </c>
    </row>
    <row r="78" spans="1:7" ht="27.6" x14ac:dyDescent="0.3">
      <c r="A78" s="102">
        <f t="shared" ref="A78" si="29">A77+1</f>
        <v>60</v>
      </c>
      <c r="B78" s="287" t="s">
        <v>1456</v>
      </c>
      <c r="C78" s="102" t="s">
        <v>193</v>
      </c>
      <c r="D78" s="288">
        <v>1.8</v>
      </c>
      <c r="E78" s="271">
        <v>1973.7367200000001</v>
      </c>
      <c r="F78" s="270">
        <f>ROUND(E78*D78,2)</f>
        <v>3552.73</v>
      </c>
      <c r="G78" s="270">
        <f t="shared" si="28"/>
        <v>4263.28</v>
      </c>
    </row>
    <row r="79" spans="1:7" ht="27.6" x14ac:dyDescent="0.3">
      <c r="A79" s="102">
        <f>A78+1</f>
        <v>61</v>
      </c>
      <c r="B79" s="287" t="s">
        <v>1466</v>
      </c>
      <c r="C79" s="102" t="s">
        <v>431</v>
      </c>
      <c r="D79" s="288">
        <v>18.600000000000001</v>
      </c>
      <c r="E79" s="271">
        <v>217.397088</v>
      </c>
      <c r="F79" s="270">
        <f>ROUND(E79*D79,2)</f>
        <v>4043.59</v>
      </c>
      <c r="G79" s="270">
        <f t="shared" si="28"/>
        <v>4852.3100000000004</v>
      </c>
    </row>
    <row r="80" spans="1:7" ht="27.6" x14ac:dyDescent="0.3">
      <c r="A80" s="102">
        <f t="shared" ref="A80" si="30">A79+1</f>
        <v>62</v>
      </c>
      <c r="B80" s="287" t="s">
        <v>1467</v>
      </c>
      <c r="C80" s="102" t="s">
        <v>431</v>
      </c>
      <c r="D80" s="288">
        <v>18.600000000000001</v>
      </c>
      <c r="E80" s="271">
        <v>451.29919176000004</v>
      </c>
      <c r="F80" s="270">
        <f>ROUND(E80*D80,2)</f>
        <v>8394.16</v>
      </c>
      <c r="G80" s="270">
        <f t="shared" si="28"/>
        <v>10072.99</v>
      </c>
    </row>
    <row r="81" spans="1:8" ht="19.5" customHeight="1" x14ac:dyDescent="0.3">
      <c r="A81" s="102"/>
      <c r="B81" s="337" t="s">
        <v>1471</v>
      </c>
      <c r="C81" s="102"/>
      <c r="D81" s="290"/>
      <c r="E81" s="271">
        <v>0</v>
      </c>
      <c r="F81" s="270"/>
      <c r="G81" s="270"/>
    </row>
    <row r="82" spans="1:8" ht="22.5" customHeight="1" x14ac:dyDescent="0.3">
      <c r="A82" s="102">
        <f>A80+1</f>
        <v>63</v>
      </c>
      <c r="B82" s="287" t="s">
        <v>1465</v>
      </c>
      <c r="C82" s="102" t="s">
        <v>193</v>
      </c>
      <c r="D82" s="288">
        <v>1.68</v>
      </c>
      <c r="E82" s="271">
        <v>19512.132374879999</v>
      </c>
      <c r="F82" s="270">
        <f>ROUND(E82*D82,2)</f>
        <v>32780.379999999997</v>
      </c>
      <c r="G82" s="270">
        <f t="shared" ref="G82:G86" si="31">ROUND(F82*1.2,2)</f>
        <v>39336.46</v>
      </c>
    </row>
    <row r="83" spans="1:8" ht="27.6" x14ac:dyDescent="0.3">
      <c r="A83" s="102">
        <f>A82+1</f>
        <v>64</v>
      </c>
      <c r="B83" s="287" t="s">
        <v>1349</v>
      </c>
      <c r="C83" s="102" t="s">
        <v>193</v>
      </c>
      <c r="D83" s="288">
        <v>0.96</v>
      </c>
      <c r="E83" s="271">
        <v>9931.2567749999998</v>
      </c>
      <c r="F83" s="270">
        <f>ROUND(E83*D83,2)</f>
        <v>9534.01</v>
      </c>
      <c r="G83" s="270">
        <f t="shared" si="31"/>
        <v>11440.81</v>
      </c>
    </row>
    <row r="84" spans="1:8" ht="27.6" x14ac:dyDescent="0.3">
      <c r="A84" s="102">
        <f t="shared" ref="A84" si="32">A83+1</f>
        <v>65</v>
      </c>
      <c r="B84" s="287" t="s">
        <v>1456</v>
      </c>
      <c r="C84" s="102" t="s">
        <v>193</v>
      </c>
      <c r="D84" s="288">
        <v>1.08</v>
      </c>
      <c r="E84" s="271">
        <v>1973.7367200000001</v>
      </c>
      <c r="F84" s="270">
        <f>ROUND(E84*D84,2)</f>
        <v>2131.64</v>
      </c>
      <c r="G84" s="270">
        <f t="shared" si="31"/>
        <v>2557.9699999999998</v>
      </c>
    </row>
    <row r="85" spans="1:8" ht="27.6" x14ac:dyDescent="0.3">
      <c r="A85" s="102">
        <f>A84+1</f>
        <v>66</v>
      </c>
      <c r="B85" s="287" t="s">
        <v>1466</v>
      </c>
      <c r="C85" s="102" t="s">
        <v>431</v>
      </c>
      <c r="D85" s="288">
        <v>11.4</v>
      </c>
      <c r="E85" s="271">
        <v>217.397088</v>
      </c>
      <c r="F85" s="270">
        <f>ROUND(E85*D85,2)</f>
        <v>2478.33</v>
      </c>
      <c r="G85" s="270">
        <f t="shared" si="31"/>
        <v>2974</v>
      </c>
    </row>
    <row r="86" spans="1:8" ht="27.6" x14ac:dyDescent="0.3">
      <c r="A86" s="102">
        <f t="shared" ref="A86" si="33">A85+1</f>
        <v>67</v>
      </c>
      <c r="B86" s="287" t="s">
        <v>1467</v>
      </c>
      <c r="C86" s="102" t="s">
        <v>431</v>
      </c>
      <c r="D86" s="288">
        <v>11.4</v>
      </c>
      <c r="E86" s="271">
        <v>451.29919176000004</v>
      </c>
      <c r="F86" s="270">
        <f>ROUND(E86*D86,2)</f>
        <v>5144.8100000000004</v>
      </c>
      <c r="G86" s="270">
        <f t="shared" si="31"/>
        <v>6173.77</v>
      </c>
    </row>
    <row r="87" spans="1:8" ht="15.6" x14ac:dyDescent="0.3">
      <c r="A87" s="102"/>
      <c r="B87" s="355" t="s">
        <v>1362</v>
      </c>
      <c r="C87" s="102"/>
      <c r="D87" s="288"/>
      <c r="E87" s="271">
        <v>0</v>
      </c>
      <c r="F87" s="270"/>
      <c r="G87" s="270"/>
    </row>
    <row r="88" spans="1:8" s="57" customFormat="1" ht="15.6" x14ac:dyDescent="0.3">
      <c r="A88" s="102">
        <f>A86+1</f>
        <v>68</v>
      </c>
      <c r="B88" s="287" t="s">
        <v>1472</v>
      </c>
      <c r="C88" s="102" t="s">
        <v>194</v>
      </c>
      <c r="D88" s="290">
        <v>122</v>
      </c>
      <c r="E88" s="271">
        <v>3275.4847385519997</v>
      </c>
      <c r="F88" s="270">
        <f t="shared" ref="F88:F102" si="34">ROUND(E88*D88,2)</f>
        <v>399609.14</v>
      </c>
      <c r="G88" s="270">
        <f t="shared" ref="G88:G102" si="35">ROUND(F88*1.2,2)</f>
        <v>479530.97</v>
      </c>
    </row>
    <row r="89" spans="1:8" s="57" customFormat="1" ht="15.6" x14ac:dyDescent="0.3">
      <c r="A89" s="102">
        <f>A88+1</f>
        <v>69</v>
      </c>
      <c r="B89" s="287" t="s">
        <v>1473</v>
      </c>
      <c r="C89" s="102" t="s">
        <v>194</v>
      </c>
      <c r="D89" s="290">
        <v>18</v>
      </c>
      <c r="E89" s="271">
        <v>3275.4847385519997</v>
      </c>
      <c r="F89" s="270">
        <f t="shared" si="34"/>
        <v>58958.73</v>
      </c>
      <c r="G89" s="270">
        <f t="shared" si="35"/>
        <v>70750.48</v>
      </c>
    </row>
    <row r="90" spans="1:8" s="57" customFormat="1" ht="15.6" x14ac:dyDescent="0.3">
      <c r="A90" s="102">
        <f>A89+1</f>
        <v>70</v>
      </c>
      <c r="B90" s="287" t="s">
        <v>1474</v>
      </c>
      <c r="C90" s="102" t="s">
        <v>220</v>
      </c>
      <c r="D90" s="290">
        <v>32</v>
      </c>
      <c r="E90" s="271">
        <v>2668.8353039999997</v>
      </c>
      <c r="F90" s="270">
        <f t="shared" si="34"/>
        <v>85402.73</v>
      </c>
      <c r="G90" s="270">
        <f t="shared" si="35"/>
        <v>102483.28</v>
      </c>
    </row>
    <row r="91" spans="1:8" s="57" customFormat="1" ht="15.6" x14ac:dyDescent="0.3">
      <c r="A91" s="102">
        <f>A90+1</f>
        <v>71</v>
      </c>
      <c r="B91" s="287" t="s">
        <v>1475</v>
      </c>
      <c r="C91" s="102" t="s">
        <v>220</v>
      </c>
      <c r="D91" s="290">
        <v>10</v>
      </c>
      <c r="E91" s="271">
        <v>6693.5419200000006</v>
      </c>
      <c r="F91" s="270">
        <f t="shared" si="34"/>
        <v>66935.42</v>
      </c>
      <c r="G91" s="270">
        <f t="shared" si="35"/>
        <v>80322.5</v>
      </c>
    </row>
    <row r="92" spans="1:8" s="57" customFormat="1" ht="15.6" x14ac:dyDescent="0.3">
      <c r="A92" s="102">
        <f t="shared" ref="A92:A102" si="36">A91+1</f>
        <v>72</v>
      </c>
      <c r="B92" s="287" t="s">
        <v>1476</v>
      </c>
      <c r="C92" s="102" t="s">
        <v>220</v>
      </c>
      <c r="D92" s="290">
        <v>4</v>
      </c>
      <c r="E92" s="271">
        <v>6693.5419200000006</v>
      </c>
      <c r="F92" s="270">
        <f t="shared" si="34"/>
        <v>26774.17</v>
      </c>
      <c r="G92" s="270">
        <f t="shared" si="35"/>
        <v>32129</v>
      </c>
    </row>
    <row r="93" spans="1:8" s="57" customFormat="1" ht="27.6" x14ac:dyDescent="0.3">
      <c r="A93" s="102">
        <f t="shared" si="36"/>
        <v>73</v>
      </c>
      <c r="B93" s="287" t="s">
        <v>1477</v>
      </c>
      <c r="C93" s="102" t="s">
        <v>194</v>
      </c>
      <c r="D93" s="290">
        <v>4</v>
      </c>
      <c r="E93" s="271">
        <v>1313.1070164</v>
      </c>
      <c r="F93" s="270">
        <f t="shared" si="34"/>
        <v>5252.43</v>
      </c>
      <c r="G93" s="270">
        <f t="shared" si="35"/>
        <v>6302.92</v>
      </c>
    </row>
    <row r="94" spans="1:8" s="57" customFormat="1" ht="15.6" x14ac:dyDescent="0.3">
      <c r="A94" s="102">
        <f t="shared" si="36"/>
        <v>74</v>
      </c>
      <c r="B94" s="287" t="s">
        <v>1478</v>
      </c>
      <c r="C94" s="102" t="s">
        <v>220</v>
      </c>
      <c r="D94" s="290">
        <v>32</v>
      </c>
      <c r="E94" s="271">
        <v>15415.169832</v>
      </c>
      <c r="F94" s="270">
        <f t="shared" si="34"/>
        <v>493285.43</v>
      </c>
      <c r="G94" s="270">
        <f t="shared" si="35"/>
        <v>591942.52</v>
      </c>
      <c r="H94" s="255" t="s">
        <v>1266</v>
      </c>
    </row>
    <row r="95" spans="1:8" s="57" customFormat="1" ht="15.6" x14ac:dyDescent="0.3">
      <c r="A95" s="102">
        <f t="shared" si="36"/>
        <v>75</v>
      </c>
      <c r="B95" s="287" t="s">
        <v>1479</v>
      </c>
      <c r="C95" s="102" t="s">
        <v>220</v>
      </c>
      <c r="D95" s="290">
        <v>2</v>
      </c>
      <c r="E95" s="271">
        <v>4757.3491050000002</v>
      </c>
      <c r="F95" s="270">
        <f t="shared" si="34"/>
        <v>9514.7000000000007</v>
      </c>
      <c r="G95" s="270">
        <f t="shared" si="35"/>
        <v>11417.64</v>
      </c>
    </row>
    <row r="96" spans="1:8" s="57" customFormat="1" ht="15.6" x14ac:dyDescent="0.3">
      <c r="A96" s="102">
        <f t="shared" si="36"/>
        <v>76</v>
      </c>
      <c r="B96" s="287" t="s">
        <v>1480</v>
      </c>
      <c r="C96" s="102" t="s">
        <v>220</v>
      </c>
      <c r="D96" s="290">
        <v>2</v>
      </c>
      <c r="E96" s="271">
        <v>1679.464017</v>
      </c>
      <c r="F96" s="270">
        <f t="shared" si="34"/>
        <v>3358.93</v>
      </c>
      <c r="G96" s="270">
        <f t="shared" si="35"/>
        <v>4030.72</v>
      </c>
    </row>
    <row r="97" spans="1:8" s="57" customFormat="1" ht="15.6" x14ac:dyDescent="0.3">
      <c r="A97" s="102">
        <f t="shared" si="36"/>
        <v>77</v>
      </c>
      <c r="B97" s="287" t="s">
        <v>1481</v>
      </c>
      <c r="C97" s="102" t="s">
        <v>220</v>
      </c>
      <c r="D97" s="290">
        <v>2</v>
      </c>
      <c r="E97" s="271">
        <v>2186.8430760000001</v>
      </c>
      <c r="F97" s="270">
        <f t="shared" si="34"/>
        <v>4373.6899999999996</v>
      </c>
      <c r="G97" s="270">
        <f t="shared" si="35"/>
        <v>5248.43</v>
      </c>
    </row>
    <row r="98" spans="1:8" s="57" customFormat="1" ht="15.6" x14ac:dyDescent="0.3">
      <c r="A98" s="102">
        <f t="shared" si="36"/>
        <v>78</v>
      </c>
      <c r="B98" s="287" t="s">
        <v>1482</v>
      </c>
      <c r="C98" s="102" t="s">
        <v>220</v>
      </c>
      <c r="D98" s="290">
        <v>2</v>
      </c>
      <c r="E98" s="271">
        <v>2669.9165134546156</v>
      </c>
      <c r="F98" s="270">
        <f t="shared" si="34"/>
        <v>5339.83</v>
      </c>
      <c r="G98" s="270">
        <f t="shared" si="35"/>
        <v>6407.8</v>
      </c>
    </row>
    <row r="99" spans="1:8" s="57" customFormat="1" ht="27.6" x14ac:dyDescent="0.3">
      <c r="A99" s="102">
        <f t="shared" si="36"/>
        <v>79</v>
      </c>
      <c r="B99" s="287" t="s">
        <v>1483</v>
      </c>
      <c r="C99" s="102" t="s">
        <v>431</v>
      </c>
      <c r="D99" s="336">
        <v>4</v>
      </c>
      <c r="E99" s="271">
        <v>217.397088</v>
      </c>
      <c r="F99" s="270">
        <f t="shared" si="34"/>
        <v>869.59</v>
      </c>
      <c r="G99" s="270">
        <f t="shared" si="35"/>
        <v>1043.51</v>
      </c>
    </row>
    <row r="100" spans="1:8" s="57" customFormat="1" ht="15.6" x14ac:dyDescent="0.3">
      <c r="A100" s="102">
        <f t="shared" si="36"/>
        <v>80</v>
      </c>
      <c r="B100" s="287" t="s">
        <v>1484</v>
      </c>
      <c r="C100" s="102" t="s">
        <v>220</v>
      </c>
      <c r="D100" s="290">
        <v>2</v>
      </c>
      <c r="E100" s="271">
        <v>4592.5134839999992</v>
      </c>
      <c r="F100" s="270">
        <f t="shared" si="34"/>
        <v>9185.0300000000007</v>
      </c>
      <c r="G100" s="270">
        <f t="shared" si="35"/>
        <v>11022.04</v>
      </c>
      <c r="H100" s="255"/>
    </row>
    <row r="101" spans="1:8" s="57" customFormat="1" ht="15.6" x14ac:dyDescent="0.3">
      <c r="A101" s="102">
        <f t="shared" si="36"/>
        <v>81</v>
      </c>
      <c r="B101" s="287" t="s">
        <v>1485</v>
      </c>
      <c r="C101" s="102" t="s">
        <v>194</v>
      </c>
      <c r="D101" s="336">
        <v>2.8</v>
      </c>
      <c r="E101" s="271">
        <v>22658.640570000003</v>
      </c>
      <c r="F101" s="270">
        <f t="shared" si="34"/>
        <v>63444.19</v>
      </c>
      <c r="G101" s="270">
        <f t="shared" si="35"/>
        <v>76133.03</v>
      </c>
    </row>
    <row r="102" spans="1:8" s="57" customFormat="1" ht="15.6" x14ac:dyDescent="0.3">
      <c r="A102" s="102">
        <f t="shared" si="36"/>
        <v>82</v>
      </c>
      <c r="B102" s="287" t="s">
        <v>1486</v>
      </c>
      <c r="C102" s="102" t="s">
        <v>194</v>
      </c>
      <c r="D102" s="290">
        <v>82</v>
      </c>
      <c r="E102" s="271">
        <v>26.388001800000001</v>
      </c>
      <c r="F102" s="270">
        <f t="shared" si="34"/>
        <v>2163.8200000000002</v>
      </c>
      <c r="G102" s="270">
        <f t="shared" si="35"/>
        <v>2596.58</v>
      </c>
    </row>
    <row r="103" spans="1:8" x14ac:dyDescent="0.3">
      <c r="A103" s="974" t="s">
        <v>721</v>
      </c>
      <c r="B103" s="975"/>
      <c r="C103" s="975"/>
      <c r="D103" s="975"/>
      <c r="E103" s="976"/>
      <c r="F103" s="153">
        <f>SUM(F7:F102)</f>
        <v>4436963.1600000011</v>
      </c>
      <c r="G103" s="285">
        <f>SUM(G7:G102)</f>
        <v>5324355.8400000008</v>
      </c>
    </row>
  </sheetData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topLeftCell="A49" zoomScaleNormal="100" zoomScaleSheetLayoutView="80" workbookViewId="0">
      <selection activeCell="A71" activeCellId="6" sqref="A13:D13 A28:D28 A39:D39 A47:D47 A55:D55 A63:D63 A71:D7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934" t="s">
        <v>226</v>
      </c>
      <c r="B1" s="965" t="s">
        <v>201</v>
      </c>
      <c r="C1" s="954" t="s">
        <v>230</v>
      </c>
      <c r="D1" s="954" t="s">
        <v>202</v>
      </c>
      <c r="E1" s="954" t="s">
        <v>231</v>
      </c>
      <c r="F1" s="954" t="s">
        <v>410</v>
      </c>
      <c r="G1" s="954" t="s">
        <v>409</v>
      </c>
    </row>
    <row r="2" spans="1:10" ht="14.55" customHeight="1" x14ac:dyDescent="0.3">
      <c r="A2" s="964"/>
      <c r="B2" s="966"/>
      <c r="C2" s="954"/>
      <c r="D2" s="954"/>
      <c r="E2" s="954"/>
      <c r="F2" s="954"/>
      <c r="G2" s="954"/>
      <c r="J2" s="335"/>
    </row>
    <row r="3" spans="1:10" ht="27.6" customHeight="1" x14ac:dyDescent="0.3">
      <c r="A3" s="935"/>
      <c r="B3" s="967"/>
      <c r="C3" s="954"/>
      <c r="D3" s="954"/>
      <c r="E3" s="954"/>
      <c r="F3" s="954"/>
      <c r="G3" s="954"/>
      <c r="J3" s="335"/>
    </row>
    <row r="4" spans="1:10" x14ac:dyDescent="0.3">
      <c r="A4" s="143">
        <v>1</v>
      </c>
      <c r="B4" s="144">
        <v>2</v>
      </c>
      <c r="C4" s="144">
        <v>3</v>
      </c>
      <c r="D4" s="144">
        <v>4</v>
      </c>
      <c r="E4" s="144">
        <v>5</v>
      </c>
      <c r="F4" s="144">
        <v>6</v>
      </c>
      <c r="G4" s="144">
        <v>7</v>
      </c>
      <c r="J4" s="335"/>
    </row>
    <row r="5" spans="1:10" ht="20.25" customHeight="1" x14ac:dyDescent="0.3">
      <c r="A5" s="169"/>
      <c r="B5" s="957" t="s">
        <v>1452</v>
      </c>
      <c r="C5" s="958"/>
      <c r="D5" s="958"/>
      <c r="E5" s="170"/>
      <c r="F5" s="171"/>
      <c r="G5" s="172"/>
    </row>
    <row r="6" spans="1:10" ht="20.25" customHeight="1" x14ac:dyDescent="0.3">
      <c r="A6" s="66"/>
      <c r="B6" s="73" t="s">
        <v>1487</v>
      </c>
      <c r="C6" s="66"/>
      <c r="D6" s="71"/>
      <c r="E6" s="167"/>
      <c r="F6" s="94"/>
      <c r="G6" s="94"/>
    </row>
    <row r="7" spans="1:10" ht="20.25" customHeight="1" x14ac:dyDescent="0.3">
      <c r="A7" s="66"/>
      <c r="B7" s="73" t="s">
        <v>1343</v>
      </c>
      <c r="C7" s="66"/>
      <c r="D7" s="71"/>
      <c r="E7" s="167"/>
      <c r="F7" s="94"/>
      <c r="G7" s="94"/>
    </row>
    <row r="8" spans="1:10" ht="15.6" x14ac:dyDescent="0.3">
      <c r="A8" s="66">
        <f>A7+1</f>
        <v>1</v>
      </c>
      <c r="B8" s="67" t="s">
        <v>1397</v>
      </c>
      <c r="C8" s="66" t="s">
        <v>220</v>
      </c>
      <c r="D8" s="523">
        <v>16</v>
      </c>
      <c r="E8" s="167">
        <v>2873.9571000000001</v>
      </c>
      <c r="F8" s="270">
        <f>ROUND(E8*D8,2)</f>
        <v>45983.31</v>
      </c>
      <c r="G8" s="270">
        <f t="shared" ref="G8" si="0">ROUND(F8*1.2,2)</f>
        <v>55179.97</v>
      </c>
    </row>
    <row r="9" spans="1:10" ht="15.6" x14ac:dyDescent="0.3">
      <c r="A9" s="66"/>
      <c r="B9" s="73" t="s">
        <v>1345</v>
      </c>
      <c r="C9" s="74"/>
      <c r="D9" s="523"/>
      <c r="E9" s="167">
        <v>0</v>
      </c>
      <c r="F9" s="270"/>
      <c r="G9" s="270"/>
    </row>
    <row r="10" spans="1:10" ht="15.6" x14ac:dyDescent="0.3">
      <c r="A10" s="66"/>
      <c r="B10" s="73" t="s">
        <v>1346</v>
      </c>
      <c r="C10" s="66"/>
      <c r="D10" s="509"/>
      <c r="E10" s="167">
        <v>0</v>
      </c>
      <c r="F10" s="270"/>
      <c r="G10" s="270"/>
    </row>
    <row r="11" spans="1:10" ht="15.6" x14ac:dyDescent="0.3">
      <c r="A11" s="66">
        <f>A8+1</f>
        <v>2</v>
      </c>
      <c r="B11" s="67" t="s">
        <v>1398</v>
      </c>
      <c r="C11" s="66" t="s">
        <v>193</v>
      </c>
      <c r="D11" s="509">
        <v>6</v>
      </c>
      <c r="E11" s="167">
        <v>7049.5719000000008</v>
      </c>
      <c r="F11" s="270">
        <f t="shared" ref="F11:F20" si="1">ROUND(E11*D11,2)</f>
        <v>42297.43</v>
      </c>
      <c r="G11" s="270">
        <f t="shared" ref="G11:G20" si="2">ROUND(F11*1.2,2)</f>
        <v>50756.92</v>
      </c>
    </row>
    <row r="12" spans="1:10" ht="15.6" x14ac:dyDescent="0.3">
      <c r="A12" s="66">
        <f>A11+1</f>
        <v>3</v>
      </c>
      <c r="B12" s="67" t="s">
        <v>1488</v>
      </c>
      <c r="C12" s="66" t="s">
        <v>193</v>
      </c>
      <c r="D12" s="509">
        <v>1.77</v>
      </c>
      <c r="E12" s="167">
        <v>6793.106670000001</v>
      </c>
      <c r="F12" s="270">
        <f t="shared" si="1"/>
        <v>12023.8</v>
      </c>
      <c r="G12" s="270">
        <f t="shared" si="2"/>
        <v>14428.56</v>
      </c>
    </row>
    <row r="13" spans="1:10" x14ac:dyDescent="0.3">
      <c r="A13" s="591">
        <f>A12+1</f>
        <v>4</v>
      </c>
      <c r="B13" s="621" t="s">
        <v>1489</v>
      </c>
      <c r="C13" s="591" t="s">
        <v>193</v>
      </c>
      <c r="D13" s="509">
        <v>9.51</v>
      </c>
      <c r="E13" s="588">
        <v>979.00333333333299</v>
      </c>
      <c r="F13" s="620">
        <f t="shared" si="1"/>
        <v>9310.32</v>
      </c>
      <c r="G13" s="620">
        <f t="shared" si="2"/>
        <v>11172.38</v>
      </c>
    </row>
    <row r="14" spans="1:10" ht="15.6" x14ac:dyDescent="0.3">
      <c r="A14" s="66">
        <f>A13+1</f>
        <v>5</v>
      </c>
      <c r="B14" s="67" t="s">
        <v>1490</v>
      </c>
      <c r="C14" s="66" t="s">
        <v>239</v>
      </c>
      <c r="D14" s="509">
        <v>0.6</v>
      </c>
      <c r="E14" s="167">
        <v>109545.45</v>
      </c>
      <c r="F14" s="270">
        <f t="shared" si="1"/>
        <v>65727.27</v>
      </c>
      <c r="G14" s="270">
        <f t="shared" si="2"/>
        <v>78872.72</v>
      </c>
    </row>
    <row r="15" spans="1:10" ht="15.6" x14ac:dyDescent="0.3">
      <c r="A15" s="66">
        <f t="shared" ref="A15:A18" si="3">A14+1</f>
        <v>6</v>
      </c>
      <c r="B15" s="67" t="s">
        <v>1491</v>
      </c>
      <c r="C15" s="66" t="s">
        <v>239</v>
      </c>
      <c r="D15" s="509">
        <v>0.12</v>
      </c>
      <c r="E15" s="167">
        <v>109545.45</v>
      </c>
      <c r="F15" s="270">
        <f t="shared" si="1"/>
        <v>13145.45</v>
      </c>
      <c r="G15" s="270">
        <f t="shared" si="2"/>
        <v>15774.54</v>
      </c>
    </row>
    <row r="16" spans="1:10" ht="15.6" x14ac:dyDescent="0.3">
      <c r="A16" s="66">
        <f t="shared" si="3"/>
        <v>7</v>
      </c>
      <c r="B16" s="67" t="s">
        <v>1401</v>
      </c>
      <c r="C16" s="66" t="s">
        <v>239</v>
      </c>
      <c r="D16" s="509">
        <v>0.17</v>
      </c>
      <c r="E16" s="167">
        <v>109545.45</v>
      </c>
      <c r="F16" s="270">
        <f t="shared" si="1"/>
        <v>18622.73</v>
      </c>
      <c r="G16" s="270">
        <f t="shared" si="2"/>
        <v>22347.279999999999</v>
      </c>
    </row>
    <row r="17" spans="1:7" ht="15.6" x14ac:dyDescent="0.3">
      <c r="A17" s="66">
        <f t="shared" si="3"/>
        <v>8</v>
      </c>
      <c r="B17" s="67" t="s">
        <v>1492</v>
      </c>
      <c r="C17" s="66" t="s">
        <v>239</v>
      </c>
      <c r="D17" s="1023">
        <v>5.3999999999999999E-2</v>
      </c>
      <c r="E17" s="167">
        <v>114700.53</v>
      </c>
      <c r="F17" s="270">
        <f t="shared" si="1"/>
        <v>6193.83</v>
      </c>
      <c r="G17" s="270">
        <f t="shared" si="2"/>
        <v>7432.6</v>
      </c>
    </row>
    <row r="18" spans="1:7" ht="15.6" x14ac:dyDescent="0.3">
      <c r="A18" s="66">
        <f t="shared" si="3"/>
        <v>9</v>
      </c>
      <c r="B18" s="67" t="s">
        <v>1405</v>
      </c>
      <c r="C18" s="66" t="s">
        <v>193</v>
      </c>
      <c r="D18" s="509">
        <v>0.48</v>
      </c>
      <c r="E18" s="167">
        <v>5283.9570000000003</v>
      </c>
      <c r="F18" s="270">
        <f t="shared" si="1"/>
        <v>2536.3000000000002</v>
      </c>
      <c r="G18" s="270">
        <f t="shared" si="2"/>
        <v>3043.56</v>
      </c>
    </row>
    <row r="19" spans="1:7" ht="15.6" x14ac:dyDescent="0.3">
      <c r="A19" s="66">
        <f>A17+1</f>
        <v>9</v>
      </c>
      <c r="B19" s="67" t="s">
        <v>388</v>
      </c>
      <c r="C19" s="66" t="s">
        <v>254</v>
      </c>
      <c r="D19" s="509">
        <v>47.88</v>
      </c>
      <c r="E19" s="167">
        <v>402.09624000000002</v>
      </c>
      <c r="F19" s="270">
        <f t="shared" si="1"/>
        <v>19252.37</v>
      </c>
      <c r="G19" s="270">
        <f t="shared" si="2"/>
        <v>23102.84</v>
      </c>
    </row>
    <row r="20" spans="1:7" ht="15.6" x14ac:dyDescent="0.3">
      <c r="A20" s="66">
        <f t="shared" ref="A20" si="4">A19+1</f>
        <v>10</v>
      </c>
      <c r="B20" s="67" t="s">
        <v>1404</v>
      </c>
      <c r="C20" s="66" t="s">
        <v>387</v>
      </c>
      <c r="D20" s="509">
        <f>10.26*20/16</f>
        <v>12.824999999999999</v>
      </c>
      <c r="E20" s="167">
        <v>322.1925</v>
      </c>
      <c r="F20" s="270">
        <f t="shared" si="1"/>
        <v>4132.12</v>
      </c>
      <c r="G20" s="270">
        <f t="shared" si="2"/>
        <v>4958.54</v>
      </c>
    </row>
    <row r="21" spans="1:7" ht="20.25" customHeight="1" x14ac:dyDescent="0.3">
      <c r="A21" s="66"/>
      <c r="B21" s="73" t="s">
        <v>1493</v>
      </c>
      <c r="C21" s="66"/>
      <c r="D21" s="71"/>
      <c r="E21" s="167">
        <v>0</v>
      </c>
      <c r="F21" s="270"/>
      <c r="G21" s="270"/>
    </row>
    <row r="22" spans="1:7" ht="20.25" customHeight="1" x14ac:dyDescent="0.3">
      <c r="A22" s="66"/>
      <c r="B22" s="73" t="s">
        <v>1343</v>
      </c>
      <c r="C22" s="66"/>
      <c r="D22" s="71"/>
      <c r="E22" s="167">
        <v>0</v>
      </c>
      <c r="F22" s="270"/>
      <c r="G22" s="270"/>
    </row>
    <row r="23" spans="1:7" ht="15.6" x14ac:dyDescent="0.3">
      <c r="A23" s="66">
        <f>A20+1</f>
        <v>11</v>
      </c>
      <c r="B23" s="67" t="s">
        <v>1397</v>
      </c>
      <c r="C23" s="66" t="s">
        <v>220</v>
      </c>
      <c r="D23" s="523">
        <v>13</v>
      </c>
      <c r="E23" s="167">
        <v>2873.9571000000001</v>
      </c>
      <c r="F23" s="270">
        <f>ROUND(E23*D23,2)</f>
        <v>37361.440000000002</v>
      </c>
      <c r="G23" s="270">
        <f t="shared" ref="G23" si="5">ROUND(F23*1.2,2)</f>
        <v>44833.73</v>
      </c>
    </row>
    <row r="24" spans="1:7" ht="15.6" x14ac:dyDescent="0.3">
      <c r="A24" s="66"/>
      <c r="B24" s="73" t="s">
        <v>1345</v>
      </c>
      <c r="C24" s="74"/>
      <c r="D24" s="71"/>
      <c r="E24" s="167">
        <v>0</v>
      </c>
      <c r="F24" s="270"/>
      <c r="G24" s="270"/>
    </row>
    <row r="25" spans="1:7" ht="15.6" x14ac:dyDescent="0.3">
      <c r="A25" s="66"/>
      <c r="B25" s="73" t="s">
        <v>1346</v>
      </c>
      <c r="C25" s="66"/>
      <c r="D25" s="68"/>
      <c r="E25" s="167">
        <v>0</v>
      </c>
      <c r="F25" s="270"/>
      <c r="G25" s="270"/>
    </row>
    <row r="26" spans="1:7" ht="15.6" x14ac:dyDescent="0.3">
      <c r="A26" s="66">
        <f>A23+1</f>
        <v>12</v>
      </c>
      <c r="B26" s="67" t="s">
        <v>1398</v>
      </c>
      <c r="C26" s="66" t="s">
        <v>193</v>
      </c>
      <c r="D26" s="509">
        <v>4.51</v>
      </c>
      <c r="E26" s="167">
        <v>7049.5719000000008</v>
      </c>
      <c r="F26" s="270">
        <f t="shared" ref="F26:F35" si="6">ROUND(E26*D26,2)</f>
        <v>31793.57</v>
      </c>
      <c r="G26" s="270">
        <f t="shared" ref="G26:G35" si="7">ROUND(F26*1.2,2)</f>
        <v>38152.28</v>
      </c>
    </row>
    <row r="27" spans="1:7" ht="15.6" x14ac:dyDescent="0.3">
      <c r="A27" s="66">
        <f>A26+1</f>
        <v>13</v>
      </c>
      <c r="B27" s="67" t="s">
        <v>1488</v>
      </c>
      <c r="C27" s="66" t="s">
        <v>193</v>
      </c>
      <c r="D27" s="509">
        <v>1.5</v>
      </c>
      <c r="E27" s="167">
        <v>6793.106670000001</v>
      </c>
      <c r="F27" s="270">
        <f t="shared" si="6"/>
        <v>10189.66</v>
      </c>
      <c r="G27" s="270">
        <f t="shared" si="7"/>
        <v>12227.59</v>
      </c>
    </row>
    <row r="28" spans="1:7" x14ac:dyDescent="0.3">
      <c r="A28" s="591">
        <f>A27+1</f>
        <v>14</v>
      </c>
      <c r="B28" s="621" t="s">
        <v>1489</v>
      </c>
      <c r="C28" s="591" t="s">
        <v>193</v>
      </c>
      <c r="D28" s="622">
        <v>7.4</v>
      </c>
      <c r="E28" s="588">
        <v>979.00333333333299</v>
      </c>
      <c r="F28" s="620">
        <f t="shared" si="6"/>
        <v>7244.62</v>
      </c>
      <c r="G28" s="620">
        <f t="shared" si="7"/>
        <v>8693.5400000000009</v>
      </c>
    </row>
    <row r="29" spans="1:7" ht="15.6" x14ac:dyDescent="0.3">
      <c r="A29" s="66">
        <f>A28+1</f>
        <v>15</v>
      </c>
      <c r="B29" s="67" t="s">
        <v>1490</v>
      </c>
      <c r="C29" s="66" t="s">
        <v>239</v>
      </c>
      <c r="D29" s="1023">
        <v>0.53200000000000003</v>
      </c>
      <c r="E29" s="167">
        <v>109545.45</v>
      </c>
      <c r="F29" s="270">
        <f t="shared" si="6"/>
        <v>58278.18</v>
      </c>
      <c r="G29" s="270">
        <f t="shared" si="7"/>
        <v>69933.820000000007</v>
      </c>
    </row>
    <row r="30" spans="1:7" ht="15.6" x14ac:dyDescent="0.3">
      <c r="A30" s="66">
        <f t="shared" ref="A30:A33" si="8">A29+1</f>
        <v>16</v>
      </c>
      <c r="B30" s="67" t="s">
        <v>1491</v>
      </c>
      <c r="C30" s="66" t="s">
        <v>239</v>
      </c>
      <c r="D30" s="1023">
        <v>9.9000000000000005E-2</v>
      </c>
      <c r="E30" s="167">
        <v>109545.45</v>
      </c>
      <c r="F30" s="270">
        <f t="shared" si="6"/>
        <v>10845</v>
      </c>
      <c r="G30" s="270">
        <f t="shared" si="7"/>
        <v>13014</v>
      </c>
    </row>
    <row r="31" spans="1:7" ht="15.6" x14ac:dyDescent="0.3">
      <c r="A31" s="66">
        <f t="shared" si="8"/>
        <v>17</v>
      </c>
      <c r="B31" s="67" t="s">
        <v>1401</v>
      </c>
      <c r="C31" s="66" t="s">
        <v>239</v>
      </c>
      <c r="D31" s="509">
        <v>0.03</v>
      </c>
      <c r="E31" s="167">
        <v>109545.45</v>
      </c>
      <c r="F31" s="270">
        <f t="shared" si="6"/>
        <v>3286.36</v>
      </c>
      <c r="G31" s="270">
        <f t="shared" si="7"/>
        <v>3943.63</v>
      </c>
    </row>
    <row r="32" spans="1:7" ht="15.6" x14ac:dyDescent="0.3">
      <c r="A32" s="66">
        <f t="shared" si="8"/>
        <v>18</v>
      </c>
      <c r="B32" s="67" t="s">
        <v>1492</v>
      </c>
      <c r="C32" s="66" t="s">
        <v>239</v>
      </c>
      <c r="D32" s="1023">
        <v>5.3999999999999999E-2</v>
      </c>
      <c r="E32" s="167">
        <v>114700.53</v>
      </c>
      <c r="F32" s="270">
        <f t="shared" si="6"/>
        <v>6193.83</v>
      </c>
      <c r="G32" s="270">
        <f t="shared" si="7"/>
        <v>7432.6</v>
      </c>
    </row>
    <row r="33" spans="1:7" ht="15.6" x14ac:dyDescent="0.3">
      <c r="A33" s="66">
        <f t="shared" si="8"/>
        <v>19</v>
      </c>
      <c r="B33" s="67" t="s">
        <v>1405</v>
      </c>
      <c r="C33" s="66" t="s">
        <v>193</v>
      </c>
      <c r="D33" s="509">
        <v>0.41</v>
      </c>
      <c r="E33" s="167">
        <v>5283.9570000000003</v>
      </c>
      <c r="F33" s="270">
        <f t="shared" si="6"/>
        <v>2166.42</v>
      </c>
      <c r="G33" s="270">
        <f t="shared" si="7"/>
        <v>2599.6999999999998</v>
      </c>
    </row>
    <row r="34" spans="1:7" ht="15.6" x14ac:dyDescent="0.3">
      <c r="A34" s="66">
        <f>A32+1</f>
        <v>19</v>
      </c>
      <c r="B34" s="67" t="s">
        <v>388</v>
      </c>
      <c r="C34" s="66" t="s">
        <v>254</v>
      </c>
      <c r="D34" s="509">
        <v>40.880000000000003</v>
      </c>
      <c r="E34" s="167">
        <v>402.09624000000002</v>
      </c>
      <c r="F34" s="270">
        <f t="shared" si="6"/>
        <v>16437.689999999999</v>
      </c>
      <c r="G34" s="270">
        <f t="shared" si="7"/>
        <v>19725.23</v>
      </c>
    </row>
    <row r="35" spans="1:7" ht="15.6" x14ac:dyDescent="0.3">
      <c r="A35" s="66">
        <f t="shared" ref="A35" si="9">A34+1</f>
        <v>20</v>
      </c>
      <c r="B35" s="67" t="s">
        <v>1404</v>
      </c>
      <c r="C35" s="66" t="s">
        <v>387</v>
      </c>
      <c r="D35" s="509">
        <f>8.76*20/16</f>
        <v>10.95</v>
      </c>
      <c r="E35" s="167">
        <v>322.1925</v>
      </c>
      <c r="F35" s="270">
        <f t="shared" si="6"/>
        <v>3528.01</v>
      </c>
      <c r="G35" s="270">
        <f t="shared" si="7"/>
        <v>4233.6099999999997</v>
      </c>
    </row>
    <row r="36" spans="1:7" s="57" customFormat="1" ht="15.6" x14ac:dyDescent="0.3">
      <c r="A36" s="66"/>
      <c r="B36" s="73" t="s">
        <v>1464</v>
      </c>
      <c r="C36" s="66"/>
      <c r="D36" s="68"/>
      <c r="E36" s="167">
        <v>0</v>
      </c>
      <c r="F36" s="270"/>
      <c r="G36" s="270"/>
    </row>
    <row r="37" spans="1:7" ht="15.6" x14ac:dyDescent="0.3">
      <c r="A37" s="66">
        <f>A35+1</f>
        <v>21</v>
      </c>
      <c r="B37" s="67" t="s">
        <v>1398</v>
      </c>
      <c r="C37" s="66" t="s">
        <v>193</v>
      </c>
      <c r="D37" s="68">
        <v>2.5499999999999998</v>
      </c>
      <c r="E37" s="167">
        <v>7049.5719000000008</v>
      </c>
      <c r="F37" s="270">
        <f t="shared" ref="F37:F43" si="10">ROUND(E37*D37,2)</f>
        <v>17976.41</v>
      </c>
      <c r="G37" s="270">
        <f t="shared" ref="G37:G43" si="11">ROUND(F37*1.2,2)</f>
        <v>21571.69</v>
      </c>
    </row>
    <row r="38" spans="1:7" ht="15.6" x14ac:dyDescent="0.3">
      <c r="A38" s="66">
        <f>A37+1</f>
        <v>22</v>
      </c>
      <c r="B38" s="67" t="s">
        <v>1488</v>
      </c>
      <c r="C38" s="66" t="s">
        <v>193</v>
      </c>
      <c r="D38" s="68">
        <v>1.46</v>
      </c>
      <c r="E38" s="167">
        <v>6793.106670000001</v>
      </c>
      <c r="F38" s="270">
        <f t="shared" si="10"/>
        <v>9917.94</v>
      </c>
      <c r="G38" s="270">
        <f t="shared" si="11"/>
        <v>11901.53</v>
      </c>
    </row>
    <row r="39" spans="1:7" x14ac:dyDescent="0.3">
      <c r="A39" s="591">
        <f>A38+1</f>
        <v>23</v>
      </c>
      <c r="B39" s="621" t="s">
        <v>1489</v>
      </c>
      <c r="C39" s="591" t="s">
        <v>193</v>
      </c>
      <c r="D39" s="622">
        <v>1.64</v>
      </c>
      <c r="E39" s="588">
        <v>979.00333333333299</v>
      </c>
      <c r="F39" s="620">
        <f t="shared" si="10"/>
        <v>1605.57</v>
      </c>
      <c r="G39" s="620">
        <f t="shared" si="11"/>
        <v>1926.68</v>
      </c>
    </row>
    <row r="40" spans="1:7" s="57" customFormat="1" ht="15.6" x14ac:dyDescent="0.3">
      <c r="A40" s="66">
        <f t="shared" ref="A40:A43" si="12">A39+1</f>
        <v>24</v>
      </c>
      <c r="B40" s="67" t="s">
        <v>1494</v>
      </c>
      <c r="C40" s="66" t="s">
        <v>239</v>
      </c>
      <c r="D40" s="76">
        <v>0.154</v>
      </c>
      <c r="E40" s="167">
        <v>109545.45</v>
      </c>
      <c r="F40" s="270">
        <f t="shared" si="10"/>
        <v>16870</v>
      </c>
      <c r="G40" s="270">
        <f t="shared" si="11"/>
        <v>20244</v>
      </c>
    </row>
    <row r="41" spans="1:7" s="57" customFormat="1" ht="15.6" x14ac:dyDescent="0.3">
      <c r="A41" s="66">
        <f t="shared" si="12"/>
        <v>25</v>
      </c>
      <c r="B41" s="67" t="s">
        <v>1495</v>
      </c>
      <c r="C41" s="66" t="s">
        <v>239</v>
      </c>
      <c r="D41" s="76">
        <v>4.0000000000000001E-3</v>
      </c>
      <c r="E41" s="167">
        <v>109545.45</v>
      </c>
      <c r="F41" s="270">
        <f t="shared" si="10"/>
        <v>438.18</v>
      </c>
      <c r="G41" s="270">
        <f t="shared" si="11"/>
        <v>525.82000000000005</v>
      </c>
    </row>
    <row r="42" spans="1:7" ht="15.6" x14ac:dyDescent="0.3">
      <c r="A42" s="66">
        <f t="shared" si="12"/>
        <v>26</v>
      </c>
      <c r="B42" s="67" t="s">
        <v>388</v>
      </c>
      <c r="C42" s="66" t="s">
        <v>254</v>
      </c>
      <c r="D42" s="68">
        <v>23.7</v>
      </c>
      <c r="E42" s="167">
        <v>402.09624000000002</v>
      </c>
      <c r="F42" s="270">
        <f t="shared" si="10"/>
        <v>9529.68</v>
      </c>
      <c r="G42" s="270">
        <f t="shared" si="11"/>
        <v>11435.62</v>
      </c>
    </row>
    <row r="43" spans="1:7" ht="15.6" x14ac:dyDescent="0.3">
      <c r="A43" s="66">
        <f t="shared" si="12"/>
        <v>27</v>
      </c>
      <c r="B43" s="67" t="s">
        <v>1404</v>
      </c>
      <c r="C43" s="66" t="s">
        <v>387</v>
      </c>
      <c r="D43" s="68">
        <f>5.1*20/16</f>
        <v>6.375</v>
      </c>
      <c r="E43" s="167">
        <v>322.1925</v>
      </c>
      <c r="F43" s="270">
        <f t="shared" si="10"/>
        <v>2053.98</v>
      </c>
      <c r="G43" s="270">
        <f t="shared" si="11"/>
        <v>2464.7800000000002</v>
      </c>
    </row>
    <row r="44" spans="1:7" s="57" customFormat="1" ht="15.6" x14ac:dyDescent="0.3">
      <c r="A44" s="66"/>
      <c r="B44" s="73" t="s">
        <v>1468</v>
      </c>
      <c r="C44" s="66"/>
      <c r="D44" s="68"/>
      <c r="E44" s="167">
        <v>0</v>
      </c>
      <c r="F44" s="270"/>
      <c r="G44" s="270"/>
    </row>
    <row r="45" spans="1:7" ht="15.6" x14ac:dyDescent="0.3">
      <c r="A45" s="66">
        <f>A43+1</f>
        <v>28</v>
      </c>
      <c r="B45" s="67" t="s">
        <v>1398</v>
      </c>
      <c r="C45" s="66" t="s">
        <v>193</v>
      </c>
      <c r="D45" s="68">
        <v>2.93</v>
      </c>
      <c r="E45" s="167">
        <v>7049.5719000000008</v>
      </c>
      <c r="F45" s="270">
        <f t="shared" ref="F45:F51" si="13">ROUND(E45*D45,2)</f>
        <v>20655.25</v>
      </c>
      <c r="G45" s="270">
        <f t="shared" ref="G45:G51" si="14">ROUND(F45*1.2,2)</f>
        <v>24786.3</v>
      </c>
    </row>
    <row r="46" spans="1:7" ht="15.6" x14ac:dyDescent="0.3">
      <c r="A46" s="66">
        <f>A45+1</f>
        <v>29</v>
      </c>
      <c r="B46" s="67" t="s">
        <v>1488</v>
      </c>
      <c r="C46" s="66" t="s">
        <v>193</v>
      </c>
      <c r="D46" s="68">
        <v>1.67</v>
      </c>
      <c r="E46" s="167">
        <v>6793.106670000001</v>
      </c>
      <c r="F46" s="270">
        <f t="shared" si="13"/>
        <v>11344.49</v>
      </c>
      <c r="G46" s="270">
        <f t="shared" si="14"/>
        <v>13613.39</v>
      </c>
    </row>
    <row r="47" spans="1:7" x14ac:dyDescent="0.3">
      <c r="A47" s="591">
        <f>A46+1</f>
        <v>30</v>
      </c>
      <c r="B47" s="621" t="s">
        <v>1489</v>
      </c>
      <c r="C47" s="591" t="s">
        <v>193</v>
      </c>
      <c r="D47" s="622">
        <v>1.88</v>
      </c>
      <c r="E47" s="588">
        <v>979.00333333333299</v>
      </c>
      <c r="F47" s="620">
        <f t="shared" si="13"/>
        <v>1840.53</v>
      </c>
      <c r="G47" s="620">
        <f t="shared" si="14"/>
        <v>2208.64</v>
      </c>
    </row>
    <row r="48" spans="1:7" s="57" customFormat="1" ht="15.6" x14ac:dyDescent="0.3">
      <c r="A48" s="66">
        <f t="shared" ref="A48:A51" si="15">A47+1</f>
        <v>31</v>
      </c>
      <c r="B48" s="67" t="s">
        <v>1494</v>
      </c>
      <c r="C48" s="66" t="s">
        <v>239</v>
      </c>
      <c r="D48" s="76">
        <v>0.17799999999999999</v>
      </c>
      <c r="E48" s="167">
        <v>109545.45</v>
      </c>
      <c r="F48" s="270">
        <f t="shared" si="13"/>
        <v>19499.09</v>
      </c>
      <c r="G48" s="270">
        <f t="shared" si="14"/>
        <v>23398.91</v>
      </c>
    </row>
    <row r="49" spans="1:7" s="57" customFormat="1" ht="15.6" x14ac:dyDescent="0.3">
      <c r="A49" s="66">
        <f t="shared" si="15"/>
        <v>32</v>
      </c>
      <c r="B49" s="67" t="s">
        <v>1495</v>
      </c>
      <c r="C49" s="66" t="s">
        <v>239</v>
      </c>
      <c r="D49" s="76">
        <v>5.0000000000000001E-3</v>
      </c>
      <c r="E49" s="167">
        <v>109545.45</v>
      </c>
      <c r="F49" s="270">
        <f t="shared" si="13"/>
        <v>547.73</v>
      </c>
      <c r="G49" s="270">
        <f t="shared" si="14"/>
        <v>657.28</v>
      </c>
    </row>
    <row r="50" spans="1:7" ht="15.6" x14ac:dyDescent="0.3">
      <c r="A50" s="66">
        <f t="shared" si="15"/>
        <v>33</v>
      </c>
      <c r="B50" s="67" t="s">
        <v>388</v>
      </c>
      <c r="C50" s="66" t="s">
        <v>254</v>
      </c>
      <c r="D50" s="68">
        <v>27.1</v>
      </c>
      <c r="E50" s="167">
        <v>402.09624000000002</v>
      </c>
      <c r="F50" s="270">
        <f t="shared" si="13"/>
        <v>10896.81</v>
      </c>
      <c r="G50" s="270">
        <f t="shared" si="14"/>
        <v>13076.17</v>
      </c>
    </row>
    <row r="51" spans="1:7" ht="15.6" x14ac:dyDescent="0.3">
      <c r="A51" s="66">
        <f t="shared" si="15"/>
        <v>34</v>
      </c>
      <c r="B51" s="67" t="s">
        <v>1404</v>
      </c>
      <c r="C51" s="66" t="s">
        <v>387</v>
      </c>
      <c r="D51" s="68">
        <f>5.8*20/16</f>
        <v>7.25</v>
      </c>
      <c r="E51" s="167">
        <v>322.1925</v>
      </c>
      <c r="F51" s="270">
        <f t="shared" si="13"/>
        <v>2335.9</v>
      </c>
      <c r="G51" s="270">
        <f t="shared" si="14"/>
        <v>2803.08</v>
      </c>
    </row>
    <row r="52" spans="1:7" s="57" customFormat="1" ht="15.6" x14ac:dyDescent="0.3">
      <c r="A52" s="66"/>
      <c r="B52" s="73" t="s">
        <v>1469</v>
      </c>
      <c r="C52" s="66"/>
      <c r="D52" s="68"/>
      <c r="E52" s="167">
        <v>0</v>
      </c>
      <c r="F52" s="270"/>
      <c r="G52" s="270"/>
    </row>
    <row r="53" spans="1:7" ht="15.6" x14ac:dyDescent="0.3">
      <c r="A53" s="66">
        <f>A51+1</f>
        <v>35</v>
      </c>
      <c r="B53" s="67" t="s">
        <v>1398</v>
      </c>
      <c r="C53" s="66" t="s">
        <v>193</v>
      </c>
      <c r="D53" s="68">
        <v>1.68</v>
      </c>
      <c r="E53" s="167">
        <v>7049.5719000000008</v>
      </c>
      <c r="F53" s="270">
        <f t="shared" ref="F53:F59" si="16">ROUND(E53*D53,2)</f>
        <v>11843.28</v>
      </c>
      <c r="G53" s="270">
        <f t="shared" ref="G53:G59" si="17">ROUND(F53*1.2,2)</f>
        <v>14211.94</v>
      </c>
    </row>
    <row r="54" spans="1:7" ht="15.6" x14ac:dyDescent="0.3">
      <c r="A54" s="66">
        <f>A53+1</f>
        <v>36</v>
      </c>
      <c r="B54" s="67" t="s">
        <v>1488</v>
      </c>
      <c r="C54" s="66" t="s">
        <v>193</v>
      </c>
      <c r="D54" s="68">
        <v>0.96</v>
      </c>
      <c r="E54" s="167">
        <v>6793.106670000001</v>
      </c>
      <c r="F54" s="270">
        <f t="shared" si="16"/>
        <v>6521.38</v>
      </c>
      <c r="G54" s="270">
        <f t="shared" si="17"/>
        <v>7825.66</v>
      </c>
    </row>
    <row r="55" spans="1:7" x14ac:dyDescent="0.3">
      <c r="A55" s="591">
        <f>A54+1</f>
        <v>37</v>
      </c>
      <c r="B55" s="621" t="s">
        <v>1489</v>
      </c>
      <c r="C55" s="591" t="s">
        <v>193</v>
      </c>
      <c r="D55" s="622">
        <v>1.08</v>
      </c>
      <c r="E55" s="588">
        <v>979.00333333333299</v>
      </c>
      <c r="F55" s="620">
        <f t="shared" si="16"/>
        <v>1057.32</v>
      </c>
      <c r="G55" s="620">
        <f t="shared" si="17"/>
        <v>1268.78</v>
      </c>
    </row>
    <row r="56" spans="1:7" s="57" customFormat="1" ht="15.6" x14ac:dyDescent="0.3">
      <c r="A56" s="66">
        <f t="shared" ref="A56:A59" si="18">A55+1</f>
        <v>38</v>
      </c>
      <c r="B56" s="67" t="s">
        <v>1494</v>
      </c>
      <c r="C56" s="66" t="s">
        <v>239</v>
      </c>
      <c r="D56" s="76">
        <v>0.11</v>
      </c>
      <c r="E56" s="167">
        <v>109545.45</v>
      </c>
      <c r="F56" s="270">
        <f t="shared" si="16"/>
        <v>12050</v>
      </c>
      <c r="G56" s="270">
        <f t="shared" si="17"/>
        <v>14460</v>
      </c>
    </row>
    <row r="57" spans="1:7" s="57" customFormat="1" ht="15.6" x14ac:dyDescent="0.3">
      <c r="A57" s="66">
        <f t="shared" si="18"/>
        <v>39</v>
      </c>
      <c r="B57" s="67" t="s">
        <v>1495</v>
      </c>
      <c r="C57" s="66" t="s">
        <v>239</v>
      </c>
      <c r="D57" s="76">
        <v>3.0000000000000001E-3</v>
      </c>
      <c r="E57" s="167">
        <v>109545.45</v>
      </c>
      <c r="F57" s="270">
        <f t="shared" si="16"/>
        <v>328.64</v>
      </c>
      <c r="G57" s="270">
        <f t="shared" si="17"/>
        <v>394.37</v>
      </c>
    </row>
    <row r="58" spans="1:7" ht="15.6" x14ac:dyDescent="0.3">
      <c r="A58" s="66">
        <f t="shared" si="18"/>
        <v>40</v>
      </c>
      <c r="B58" s="67" t="s">
        <v>388</v>
      </c>
      <c r="C58" s="66" t="s">
        <v>254</v>
      </c>
      <c r="D58" s="68">
        <v>15.9</v>
      </c>
      <c r="E58" s="167">
        <v>402.09624000000002</v>
      </c>
      <c r="F58" s="270">
        <f t="shared" si="16"/>
        <v>6393.33</v>
      </c>
      <c r="G58" s="270">
        <f t="shared" si="17"/>
        <v>7672</v>
      </c>
    </row>
    <row r="59" spans="1:7" ht="15.6" x14ac:dyDescent="0.3">
      <c r="A59" s="66">
        <f t="shared" si="18"/>
        <v>41</v>
      </c>
      <c r="B59" s="67" t="s">
        <v>1404</v>
      </c>
      <c r="C59" s="66" t="s">
        <v>387</v>
      </c>
      <c r="D59" s="68">
        <f>3.4*20/16</f>
        <v>4.25</v>
      </c>
      <c r="E59" s="167">
        <v>322.1925</v>
      </c>
      <c r="F59" s="270">
        <f t="shared" si="16"/>
        <v>1369.32</v>
      </c>
      <c r="G59" s="270">
        <f t="shared" si="17"/>
        <v>1643.18</v>
      </c>
    </row>
    <row r="60" spans="1:7" s="57" customFormat="1" ht="15.6" x14ac:dyDescent="0.3">
      <c r="A60" s="66"/>
      <c r="B60" s="73" t="s">
        <v>1470</v>
      </c>
      <c r="C60" s="66"/>
      <c r="D60" s="68"/>
      <c r="E60" s="167">
        <v>0</v>
      </c>
      <c r="F60" s="270"/>
      <c r="G60" s="270"/>
    </row>
    <row r="61" spans="1:7" ht="15.6" x14ac:dyDescent="0.3">
      <c r="A61" s="66">
        <f>A59+1</f>
        <v>42</v>
      </c>
      <c r="B61" s="67" t="s">
        <v>1398</v>
      </c>
      <c r="C61" s="66" t="s">
        <v>193</v>
      </c>
      <c r="D61" s="68">
        <v>2.8</v>
      </c>
      <c r="E61" s="167">
        <v>7049.5719000000008</v>
      </c>
      <c r="F61" s="270">
        <f t="shared" ref="F61:F67" si="19">ROUND(E61*D61,2)</f>
        <v>19738.8</v>
      </c>
      <c r="G61" s="270">
        <f t="shared" ref="G61:G67" si="20">ROUND(F61*1.2,2)</f>
        <v>23686.560000000001</v>
      </c>
    </row>
    <row r="62" spans="1:7" ht="15.6" x14ac:dyDescent="0.3">
      <c r="A62" s="66">
        <f>A61+1</f>
        <v>43</v>
      </c>
      <c r="B62" s="67" t="s">
        <v>1488</v>
      </c>
      <c r="C62" s="66" t="s">
        <v>193</v>
      </c>
      <c r="D62" s="68">
        <v>1.6</v>
      </c>
      <c r="E62" s="167">
        <v>6793.106670000001</v>
      </c>
      <c r="F62" s="270">
        <f t="shared" si="19"/>
        <v>10868.97</v>
      </c>
      <c r="G62" s="270">
        <f t="shared" si="20"/>
        <v>13042.76</v>
      </c>
    </row>
    <row r="63" spans="1:7" x14ac:dyDescent="0.3">
      <c r="A63" s="591">
        <f>A62+1</f>
        <v>44</v>
      </c>
      <c r="B63" s="621" t="s">
        <v>1489</v>
      </c>
      <c r="C63" s="591" t="s">
        <v>193</v>
      </c>
      <c r="D63" s="622">
        <v>1.8</v>
      </c>
      <c r="E63" s="588">
        <v>979.00333333333299</v>
      </c>
      <c r="F63" s="620">
        <f t="shared" si="19"/>
        <v>1762.21</v>
      </c>
      <c r="G63" s="620">
        <f t="shared" si="20"/>
        <v>2114.65</v>
      </c>
    </row>
    <row r="64" spans="1:7" s="57" customFormat="1" ht="15.6" x14ac:dyDescent="0.3">
      <c r="A64" s="66">
        <f t="shared" ref="A64:A67" si="21">A63+1</f>
        <v>45</v>
      </c>
      <c r="B64" s="67" t="s">
        <v>1494</v>
      </c>
      <c r="C64" s="66" t="s">
        <v>239</v>
      </c>
      <c r="D64" s="76">
        <v>0.154</v>
      </c>
      <c r="E64" s="167">
        <v>109545.45</v>
      </c>
      <c r="F64" s="270">
        <f t="shared" si="19"/>
        <v>16870</v>
      </c>
      <c r="G64" s="270">
        <f t="shared" si="20"/>
        <v>20244</v>
      </c>
    </row>
    <row r="65" spans="1:7" s="57" customFormat="1" ht="15.6" x14ac:dyDescent="0.3">
      <c r="A65" s="66">
        <f t="shared" si="21"/>
        <v>46</v>
      </c>
      <c r="B65" s="67" t="s">
        <v>1495</v>
      </c>
      <c r="C65" s="66" t="s">
        <v>239</v>
      </c>
      <c r="D65" s="76">
        <v>4.0000000000000001E-3</v>
      </c>
      <c r="E65" s="167">
        <v>109545.45</v>
      </c>
      <c r="F65" s="270">
        <f t="shared" si="19"/>
        <v>438.18</v>
      </c>
      <c r="G65" s="270">
        <f t="shared" si="20"/>
        <v>525.82000000000005</v>
      </c>
    </row>
    <row r="66" spans="1:7" ht="15.6" x14ac:dyDescent="0.3">
      <c r="A66" s="66">
        <f t="shared" si="21"/>
        <v>47</v>
      </c>
      <c r="B66" s="67" t="s">
        <v>388</v>
      </c>
      <c r="C66" s="66" t="s">
        <v>254</v>
      </c>
      <c r="D66" s="68">
        <v>26</v>
      </c>
      <c r="E66" s="167">
        <v>402.09624000000002</v>
      </c>
      <c r="F66" s="270">
        <f t="shared" si="19"/>
        <v>10454.5</v>
      </c>
      <c r="G66" s="270">
        <f t="shared" si="20"/>
        <v>12545.4</v>
      </c>
    </row>
    <row r="67" spans="1:7" ht="15.6" x14ac:dyDescent="0.3">
      <c r="A67" s="66">
        <f t="shared" si="21"/>
        <v>48</v>
      </c>
      <c r="B67" s="67" t="s">
        <v>1404</v>
      </c>
      <c r="C67" s="66" t="s">
        <v>387</v>
      </c>
      <c r="D67" s="68">
        <f>5.6*20/16</f>
        <v>7</v>
      </c>
      <c r="E67" s="167">
        <v>322.1925</v>
      </c>
      <c r="F67" s="270">
        <f t="shared" si="19"/>
        <v>2255.35</v>
      </c>
      <c r="G67" s="270">
        <f t="shared" si="20"/>
        <v>2706.42</v>
      </c>
    </row>
    <row r="68" spans="1:7" s="57" customFormat="1" ht="15.6" x14ac:dyDescent="0.3">
      <c r="A68" s="66"/>
      <c r="B68" s="73" t="s">
        <v>1471</v>
      </c>
      <c r="C68" s="66"/>
      <c r="D68" s="68"/>
      <c r="E68" s="167">
        <v>0</v>
      </c>
      <c r="F68" s="270"/>
      <c r="G68" s="270"/>
    </row>
    <row r="69" spans="1:7" ht="15.6" x14ac:dyDescent="0.3">
      <c r="A69" s="66">
        <f>A67+1</f>
        <v>49</v>
      </c>
      <c r="B69" s="67" t="s">
        <v>1398</v>
      </c>
      <c r="C69" s="66" t="s">
        <v>193</v>
      </c>
      <c r="D69" s="68">
        <v>1.68</v>
      </c>
      <c r="E69" s="167">
        <v>7049.5719000000008</v>
      </c>
      <c r="F69" s="270">
        <f t="shared" ref="F69:F75" si="22">ROUND(E69*D69,2)</f>
        <v>11843.28</v>
      </c>
      <c r="G69" s="270">
        <f t="shared" ref="G69:G75" si="23">ROUND(F69*1.2,2)</f>
        <v>14211.94</v>
      </c>
    </row>
    <row r="70" spans="1:7" ht="15.6" x14ac:dyDescent="0.3">
      <c r="A70" s="66">
        <f>A69+1</f>
        <v>50</v>
      </c>
      <c r="B70" s="67" t="s">
        <v>1488</v>
      </c>
      <c r="C70" s="66" t="s">
        <v>193</v>
      </c>
      <c r="D70" s="68">
        <v>0.96</v>
      </c>
      <c r="E70" s="167">
        <v>6793.106670000001</v>
      </c>
      <c r="F70" s="270">
        <f t="shared" si="22"/>
        <v>6521.38</v>
      </c>
      <c r="G70" s="270">
        <f t="shared" si="23"/>
        <v>7825.66</v>
      </c>
    </row>
    <row r="71" spans="1:7" x14ac:dyDescent="0.3">
      <c r="A71" s="591">
        <f>A70+1</f>
        <v>51</v>
      </c>
      <c r="B71" s="621" t="s">
        <v>1489</v>
      </c>
      <c r="C71" s="591" t="s">
        <v>193</v>
      </c>
      <c r="D71" s="622">
        <v>1.08</v>
      </c>
      <c r="E71" s="588">
        <v>979.00333333333299</v>
      </c>
      <c r="F71" s="620">
        <f t="shared" si="22"/>
        <v>1057.32</v>
      </c>
      <c r="G71" s="620">
        <f t="shared" si="23"/>
        <v>1268.78</v>
      </c>
    </row>
    <row r="72" spans="1:7" s="57" customFormat="1" ht="15.6" x14ac:dyDescent="0.3">
      <c r="A72" s="66">
        <f t="shared" ref="A72:A75" si="24">A71+1</f>
        <v>52</v>
      </c>
      <c r="B72" s="67" t="s">
        <v>1494</v>
      </c>
      <c r="C72" s="66" t="s">
        <v>239</v>
      </c>
      <c r="D72" s="76">
        <v>0.11</v>
      </c>
      <c r="E72" s="167">
        <v>109545.45</v>
      </c>
      <c r="F72" s="270">
        <f t="shared" si="22"/>
        <v>12050</v>
      </c>
      <c r="G72" s="270">
        <f t="shared" si="23"/>
        <v>14460</v>
      </c>
    </row>
    <row r="73" spans="1:7" s="57" customFormat="1" ht="15.6" x14ac:dyDescent="0.3">
      <c r="A73" s="66">
        <f t="shared" si="24"/>
        <v>53</v>
      </c>
      <c r="B73" s="67" t="s">
        <v>1495</v>
      </c>
      <c r="C73" s="66" t="s">
        <v>239</v>
      </c>
      <c r="D73" s="76">
        <v>3.0000000000000001E-3</v>
      </c>
      <c r="E73" s="167">
        <v>109545.45</v>
      </c>
      <c r="F73" s="270">
        <f t="shared" si="22"/>
        <v>328.64</v>
      </c>
      <c r="G73" s="270">
        <f t="shared" si="23"/>
        <v>394.37</v>
      </c>
    </row>
    <row r="74" spans="1:7" ht="15.6" x14ac:dyDescent="0.3">
      <c r="A74" s="66">
        <f t="shared" si="24"/>
        <v>54</v>
      </c>
      <c r="B74" s="67" t="s">
        <v>388</v>
      </c>
      <c r="C74" s="66" t="s">
        <v>254</v>
      </c>
      <c r="D74" s="68">
        <v>15.9</v>
      </c>
      <c r="E74" s="167">
        <v>402.09624000000002</v>
      </c>
      <c r="F74" s="270">
        <f t="shared" si="22"/>
        <v>6393.33</v>
      </c>
      <c r="G74" s="270">
        <f t="shared" si="23"/>
        <v>7672</v>
      </c>
    </row>
    <row r="75" spans="1:7" ht="15.6" x14ac:dyDescent="0.3">
      <c r="A75" s="66">
        <f t="shared" si="24"/>
        <v>55</v>
      </c>
      <c r="B75" s="67" t="s">
        <v>1404</v>
      </c>
      <c r="C75" s="66" t="s">
        <v>387</v>
      </c>
      <c r="D75" s="68">
        <f>3.4*20/16</f>
        <v>4.25</v>
      </c>
      <c r="E75" s="167">
        <v>322.1925</v>
      </c>
      <c r="F75" s="270">
        <f t="shared" si="22"/>
        <v>1369.32</v>
      </c>
      <c r="G75" s="270">
        <f t="shared" si="23"/>
        <v>1643.18</v>
      </c>
    </row>
    <row r="76" spans="1:7" s="57" customFormat="1" ht="15.6" x14ac:dyDescent="0.3">
      <c r="A76" s="66"/>
      <c r="B76" s="73" t="s">
        <v>1362</v>
      </c>
      <c r="C76" s="66"/>
      <c r="D76" s="68"/>
      <c r="E76" s="167">
        <v>0</v>
      </c>
      <c r="F76" s="270"/>
      <c r="G76" s="270"/>
    </row>
    <row r="77" spans="1:7" s="57" customFormat="1" ht="15.6" x14ac:dyDescent="0.3">
      <c r="A77" s="66">
        <f>A75+1</f>
        <v>56</v>
      </c>
      <c r="B77" s="67" t="s">
        <v>1496</v>
      </c>
      <c r="C77" s="66" t="s">
        <v>194</v>
      </c>
      <c r="D77" s="71">
        <v>122</v>
      </c>
      <c r="E77" s="167">
        <v>4943.7217200000005</v>
      </c>
      <c r="F77" s="270">
        <f t="shared" ref="F77:F92" si="25">ROUND(E77*D77,2)</f>
        <v>603134.05000000005</v>
      </c>
      <c r="G77" s="270">
        <f t="shared" ref="G77:G92" si="26">ROUND(F77*1.2,2)</f>
        <v>723760.86</v>
      </c>
    </row>
    <row r="78" spans="1:7" s="57" customFormat="1" ht="15.6" x14ac:dyDescent="0.3">
      <c r="A78" s="66">
        <f>A77+1</f>
        <v>57</v>
      </c>
      <c r="B78" s="67" t="s">
        <v>1497</v>
      </c>
      <c r="C78" s="66" t="s">
        <v>194</v>
      </c>
      <c r="D78" s="71">
        <v>18</v>
      </c>
      <c r="E78" s="167">
        <v>0</v>
      </c>
      <c r="F78" s="270">
        <f t="shared" si="25"/>
        <v>0</v>
      </c>
      <c r="G78" s="270">
        <f t="shared" si="26"/>
        <v>0</v>
      </c>
    </row>
    <row r="79" spans="1:7" s="57" customFormat="1" ht="15.6" x14ac:dyDescent="0.3">
      <c r="A79" s="66">
        <f>A78+1</f>
        <v>58</v>
      </c>
      <c r="B79" s="67" t="s">
        <v>1498</v>
      </c>
      <c r="C79" s="66" t="s">
        <v>220</v>
      </c>
      <c r="D79" s="71">
        <v>32</v>
      </c>
      <c r="E79" s="167">
        <v>2335.2512400000001</v>
      </c>
      <c r="F79" s="270">
        <f t="shared" si="25"/>
        <v>74728.039999999994</v>
      </c>
      <c r="G79" s="270">
        <f t="shared" si="26"/>
        <v>89673.65</v>
      </c>
    </row>
    <row r="80" spans="1:7" s="57" customFormat="1" ht="15.6" x14ac:dyDescent="0.3">
      <c r="A80" s="66">
        <f t="shared" ref="A80:A92" si="27">A79+1</f>
        <v>59</v>
      </c>
      <c r="B80" s="67" t="s">
        <v>1499</v>
      </c>
      <c r="C80" s="66" t="s">
        <v>220</v>
      </c>
      <c r="D80" s="71">
        <v>10</v>
      </c>
      <c r="E80" s="167">
        <v>23621.865330000001</v>
      </c>
      <c r="F80" s="270">
        <f t="shared" si="25"/>
        <v>236218.65</v>
      </c>
      <c r="G80" s="270">
        <f t="shared" si="26"/>
        <v>283462.38</v>
      </c>
    </row>
    <row r="81" spans="1:7" s="57" customFormat="1" ht="15.6" x14ac:dyDescent="0.3">
      <c r="A81" s="66">
        <f t="shared" si="27"/>
        <v>60</v>
      </c>
      <c r="B81" s="67" t="s">
        <v>1500</v>
      </c>
      <c r="C81" s="66" t="s">
        <v>220</v>
      </c>
      <c r="D81" s="71">
        <v>4</v>
      </c>
      <c r="E81" s="167">
        <v>22037.967000000004</v>
      </c>
      <c r="F81" s="270">
        <f t="shared" si="25"/>
        <v>88151.87</v>
      </c>
      <c r="G81" s="270">
        <f t="shared" si="26"/>
        <v>105782.24</v>
      </c>
    </row>
    <row r="82" spans="1:7" s="57" customFormat="1" ht="15.6" x14ac:dyDescent="0.3">
      <c r="A82" s="66">
        <f t="shared" si="27"/>
        <v>61</v>
      </c>
      <c r="B82" s="67" t="s">
        <v>1501</v>
      </c>
      <c r="C82" s="66" t="s">
        <v>194</v>
      </c>
      <c r="D82" s="71">
        <v>4</v>
      </c>
      <c r="E82" s="167">
        <v>1054.2138599999998</v>
      </c>
      <c r="F82" s="270">
        <f t="shared" si="25"/>
        <v>4216.8599999999997</v>
      </c>
      <c r="G82" s="270">
        <f t="shared" si="26"/>
        <v>5060.2299999999996</v>
      </c>
    </row>
    <row r="83" spans="1:7" s="57" customFormat="1" ht="15.6" x14ac:dyDescent="0.3">
      <c r="A83" s="66">
        <f t="shared" si="27"/>
        <v>62</v>
      </c>
      <c r="B83" s="67" t="s">
        <v>1502</v>
      </c>
      <c r="C83" s="66" t="s">
        <v>220</v>
      </c>
      <c r="D83" s="71">
        <v>2</v>
      </c>
      <c r="E83" s="167">
        <v>62363.580300000009</v>
      </c>
      <c r="F83" s="270">
        <f t="shared" si="25"/>
        <v>124727.16</v>
      </c>
      <c r="G83" s="270">
        <f t="shared" si="26"/>
        <v>149672.59</v>
      </c>
    </row>
    <row r="84" spans="1:7" s="57" customFormat="1" ht="15.6" x14ac:dyDescent="0.3">
      <c r="A84" s="66">
        <f t="shared" si="27"/>
        <v>63</v>
      </c>
      <c r="B84" s="67" t="s">
        <v>1503</v>
      </c>
      <c r="C84" s="66" t="s">
        <v>220</v>
      </c>
      <c r="D84" s="71">
        <v>2</v>
      </c>
      <c r="E84" s="167">
        <v>5283.9570000000003</v>
      </c>
      <c r="F84" s="270">
        <f t="shared" si="25"/>
        <v>10567.91</v>
      </c>
      <c r="G84" s="270">
        <f t="shared" si="26"/>
        <v>12681.49</v>
      </c>
    </row>
    <row r="85" spans="1:7" s="57" customFormat="1" ht="15.6" x14ac:dyDescent="0.3">
      <c r="A85" s="66">
        <f t="shared" si="27"/>
        <v>64</v>
      </c>
      <c r="B85" s="67" t="s">
        <v>1043</v>
      </c>
      <c r="C85" s="66" t="s">
        <v>220</v>
      </c>
      <c r="D85" s="71">
        <v>2</v>
      </c>
      <c r="E85" s="167">
        <v>7255.7750999999998</v>
      </c>
      <c r="F85" s="270">
        <f t="shared" si="25"/>
        <v>14511.55</v>
      </c>
      <c r="G85" s="270">
        <f t="shared" si="26"/>
        <v>17413.86</v>
      </c>
    </row>
    <row r="86" spans="1:7" s="57" customFormat="1" ht="15.6" x14ac:dyDescent="0.3">
      <c r="A86" s="66">
        <f t="shared" si="27"/>
        <v>65</v>
      </c>
      <c r="B86" s="67" t="s">
        <v>1504</v>
      </c>
      <c r="C86" s="66" t="s">
        <v>220</v>
      </c>
      <c r="D86" s="71">
        <v>2</v>
      </c>
      <c r="E86" s="167">
        <v>2474.4384</v>
      </c>
      <c r="F86" s="270">
        <f t="shared" si="25"/>
        <v>4948.88</v>
      </c>
      <c r="G86" s="270">
        <f t="shared" si="26"/>
        <v>5938.66</v>
      </c>
    </row>
    <row r="87" spans="1:7" s="57" customFormat="1" ht="15.6" x14ac:dyDescent="0.3">
      <c r="A87" s="66">
        <f t="shared" si="27"/>
        <v>66</v>
      </c>
      <c r="B87" s="67" t="s">
        <v>1505</v>
      </c>
      <c r="C87" s="66" t="s">
        <v>220</v>
      </c>
      <c r="D87" s="71">
        <v>2</v>
      </c>
      <c r="E87" s="167">
        <v>2152.2458999999999</v>
      </c>
      <c r="F87" s="270">
        <f t="shared" si="25"/>
        <v>4304.49</v>
      </c>
      <c r="G87" s="270">
        <f t="shared" si="26"/>
        <v>5165.3900000000003</v>
      </c>
    </row>
    <row r="88" spans="1:7" s="57" customFormat="1" ht="27.6" x14ac:dyDescent="0.3">
      <c r="A88" s="66">
        <f t="shared" si="27"/>
        <v>67</v>
      </c>
      <c r="B88" s="67" t="s">
        <v>1506</v>
      </c>
      <c r="C88" s="66" t="s">
        <v>254</v>
      </c>
      <c r="D88" s="72">
        <v>0.4</v>
      </c>
      <c r="E88" s="167">
        <v>2448.663</v>
      </c>
      <c r="F88" s="270">
        <f t="shared" si="25"/>
        <v>979.47</v>
      </c>
      <c r="G88" s="270">
        <f t="shared" si="26"/>
        <v>1175.3599999999999</v>
      </c>
    </row>
    <row r="89" spans="1:7" s="57" customFormat="1" ht="15.6" x14ac:dyDescent="0.3">
      <c r="A89" s="66">
        <f t="shared" si="27"/>
        <v>68</v>
      </c>
      <c r="B89" s="67" t="s">
        <v>1045</v>
      </c>
      <c r="C89" s="66" t="s">
        <v>220</v>
      </c>
      <c r="D89" s="71">
        <v>2</v>
      </c>
      <c r="E89" s="167">
        <v>15465.24</v>
      </c>
      <c r="F89" s="270">
        <f t="shared" si="25"/>
        <v>30930.48</v>
      </c>
      <c r="G89" s="270">
        <f t="shared" si="26"/>
        <v>37116.58</v>
      </c>
    </row>
    <row r="90" spans="1:7" s="57" customFormat="1" ht="15.6" x14ac:dyDescent="0.3">
      <c r="A90" s="66">
        <f t="shared" si="27"/>
        <v>69</v>
      </c>
      <c r="B90" s="67" t="s">
        <v>1507</v>
      </c>
      <c r="C90" s="66" t="s">
        <v>194</v>
      </c>
      <c r="D90" s="72">
        <v>2.8</v>
      </c>
      <c r="E90" s="167">
        <v>10127.15466</v>
      </c>
      <c r="F90" s="270">
        <f t="shared" si="25"/>
        <v>28356.03</v>
      </c>
      <c r="G90" s="270">
        <f t="shared" si="26"/>
        <v>34027.24</v>
      </c>
    </row>
    <row r="91" spans="1:7" s="57" customFormat="1" ht="15.6" x14ac:dyDescent="0.3">
      <c r="A91" s="66">
        <f t="shared" si="27"/>
        <v>70</v>
      </c>
      <c r="B91" s="67" t="s">
        <v>1508</v>
      </c>
      <c r="C91" s="66" t="s">
        <v>194</v>
      </c>
      <c r="D91" s="71">
        <v>82</v>
      </c>
      <c r="E91" s="167">
        <v>24.486630000000002</v>
      </c>
      <c r="F91" s="270">
        <f t="shared" si="25"/>
        <v>2007.9</v>
      </c>
      <c r="G91" s="270">
        <f t="shared" si="26"/>
        <v>2409.48</v>
      </c>
    </row>
    <row r="92" spans="1:7" ht="27.6" x14ac:dyDescent="0.3">
      <c r="A92" s="66">
        <f t="shared" si="27"/>
        <v>71</v>
      </c>
      <c r="B92" s="67" t="s">
        <v>407</v>
      </c>
      <c r="C92" s="66" t="s">
        <v>243</v>
      </c>
      <c r="D92" s="71">
        <v>1</v>
      </c>
      <c r="E92" s="167">
        <v>167540.1</v>
      </c>
      <c r="F92" s="270">
        <f t="shared" si="25"/>
        <v>167540.1</v>
      </c>
      <c r="G92" s="270">
        <f t="shared" si="26"/>
        <v>201048.12</v>
      </c>
    </row>
    <row r="93" spans="1:7" ht="22.5" customHeight="1" x14ac:dyDescent="0.3">
      <c r="A93" s="977" t="s">
        <v>408</v>
      </c>
      <c r="B93" s="977"/>
      <c r="C93" s="977"/>
      <c r="D93" s="977"/>
      <c r="E93" s="977"/>
      <c r="F93" s="83">
        <f>SUM(F7:F92)</f>
        <v>2088899.2599999995</v>
      </c>
      <c r="G93" s="83">
        <f>SUM(G7:G92)</f>
        <v>2506679.1300000008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883D9-D64A-492E-A7BD-8EFEFAC4763C}">
  <dimension ref="A1"/>
  <sheetViews>
    <sheetView workbookViewId="0">
      <selection activeCell="R21" sqref="R21"/>
    </sheetView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4B5D-CABF-4371-AFA6-67C25E3B9CAA}">
  <dimension ref="A1:L90"/>
  <sheetViews>
    <sheetView topLeftCell="A79" workbookViewId="0">
      <selection activeCell="B30" sqref="B30"/>
    </sheetView>
  </sheetViews>
  <sheetFormatPr defaultRowHeight="14.4" x14ac:dyDescent="0.3"/>
  <cols>
    <col min="1" max="1" width="8.88671875" style="793"/>
    <col min="2" max="2" width="54.109375" style="794" customWidth="1"/>
    <col min="3" max="3" width="8.88671875" style="145"/>
    <col min="4" max="4" width="9.88671875" style="145" customWidth="1"/>
    <col min="5" max="5" width="13.21875" style="145" customWidth="1"/>
    <col min="6" max="6" width="14.77734375" style="145" customWidth="1"/>
    <col min="7" max="7" width="14.77734375" customWidth="1"/>
    <col min="8" max="8" width="14.6640625" bestFit="1" customWidth="1"/>
    <col min="10" max="10" width="12.6640625" bestFit="1" customWidth="1"/>
    <col min="11" max="12" width="14.6640625" bestFit="1" customWidth="1"/>
  </cols>
  <sheetData>
    <row r="1" spans="1:12" ht="41.4" x14ac:dyDescent="0.3">
      <c r="A1" s="785" t="s">
        <v>2183</v>
      </c>
      <c r="B1" s="786" t="s">
        <v>2184</v>
      </c>
      <c r="C1" s="786" t="s">
        <v>1691</v>
      </c>
      <c r="D1" s="786" t="s">
        <v>20</v>
      </c>
      <c r="E1" s="786" t="s">
        <v>2185</v>
      </c>
      <c r="F1" s="786" t="s">
        <v>2186</v>
      </c>
      <c r="G1" s="783" t="s">
        <v>2285</v>
      </c>
      <c r="H1" s="786" t="s">
        <v>2286</v>
      </c>
      <c r="I1" s="786" t="s">
        <v>2287</v>
      </c>
      <c r="J1" s="786" t="s">
        <v>2288</v>
      </c>
      <c r="K1" s="786" t="s">
        <v>2153</v>
      </c>
      <c r="L1" s="786" t="s">
        <v>2289</v>
      </c>
    </row>
    <row r="2" spans="1:12" x14ac:dyDescent="0.3">
      <c r="A2" s="787">
        <v>1</v>
      </c>
      <c r="B2" s="788">
        <v>2</v>
      </c>
      <c r="C2" s="787">
        <v>5</v>
      </c>
      <c r="D2" s="788">
        <v>6</v>
      </c>
      <c r="E2" s="787">
        <v>11</v>
      </c>
      <c r="F2" s="788">
        <v>12</v>
      </c>
      <c r="G2" s="784"/>
      <c r="H2" s="3"/>
      <c r="I2" s="3"/>
      <c r="J2" s="3"/>
      <c r="K2" s="3"/>
      <c r="L2" s="3"/>
    </row>
    <row r="3" spans="1:12" ht="28.2" x14ac:dyDescent="0.3">
      <c r="A3" s="787" t="s">
        <v>758</v>
      </c>
      <c r="B3" s="789" t="s">
        <v>2187</v>
      </c>
      <c r="C3" s="787" t="s">
        <v>220</v>
      </c>
      <c r="D3" s="787">
        <v>1</v>
      </c>
      <c r="E3" s="791">
        <v>220000</v>
      </c>
      <c r="F3" s="792">
        <f t="shared" ref="F3:F34" si="0">E3*D3</f>
        <v>220000</v>
      </c>
      <c r="G3" s="780">
        <f>E3/1.2</f>
        <v>183333.33333333334</v>
      </c>
      <c r="H3" s="780">
        <f>D3*G3</f>
        <v>183333.33333333334</v>
      </c>
      <c r="I3" s="3">
        <v>1.3</v>
      </c>
      <c r="J3" s="780">
        <f>G3*I3</f>
        <v>238333.33333333334</v>
      </c>
      <c r="K3" s="780">
        <f>D3*J3</f>
        <v>238333.33333333334</v>
      </c>
      <c r="L3" s="780">
        <f>K3*1.2</f>
        <v>286000</v>
      </c>
    </row>
    <row r="4" spans="1:12" ht="42" x14ac:dyDescent="0.3">
      <c r="A4" s="787" t="s">
        <v>761</v>
      </c>
      <c r="B4" s="789" t="s">
        <v>2188</v>
      </c>
      <c r="C4" s="787" t="s">
        <v>220</v>
      </c>
      <c r="D4" s="787">
        <v>11</v>
      </c>
      <c r="E4" s="791">
        <f>3.89*1.19*4000</f>
        <v>18516.400000000001</v>
      </c>
      <c r="F4" s="792">
        <f t="shared" si="0"/>
        <v>203680.40000000002</v>
      </c>
      <c r="G4" s="780">
        <f t="shared" ref="G4:G67" si="1">E4/1.2</f>
        <v>15430.333333333336</v>
      </c>
      <c r="H4" s="780">
        <f t="shared" ref="H4:H67" si="2">D4*G4</f>
        <v>169733.66666666669</v>
      </c>
      <c r="I4" s="3">
        <v>1.3</v>
      </c>
      <c r="J4" s="780">
        <f t="shared" ref="J4:J67" si="3">G4*I4</f>
        <v>20059.433333333338</v>
      </c>
      <c r="K4" s="780">
        <f t="shared" ref="K4:K67" si="4">D4*J4</f>
        <v>220653.76666666672</v>
      </c>
      <c r="L4" s="780">
        <f t="shared" ref="L4:L67" si="5">K4*1.2</f>
        <v>264784.52000000008</v>
      </c>
    </row>
    <row r="5" spans="1:12" ht="42" x14ac:dyDescent="0.3">
      <c r="A5" s="787" t="s">
        <v>1144</v>
      </c>
      <c r="B5" s="789" t="s">
        <v>2189</v>
      </c>
      <c r="C5" s="787" t="s">
        <v>220</v>
      </c>
      <c r="D5" s="787">
        <v>2</v>
      </c>
      <c r="E5" s="791">
        <f>1.89*1.19*4000</f>
        <v>8996.4</v>
      </c>
      <c r="F5" s="792">
        <f t="shared" si="0"/>
        <v>17992.8</v>
      </c>
      <c r="G5" s="780">
        <f t="shared" si="1"/>
        <v>7497</v>
      </c>
      <c r="H5" s="780">
        <f t="shared" si="2"/>
        <v>14994</v>
      </c>
      <c r="I5" s="3">
        <v>1.3</v>
      </c>
      <c r="J5" s="780">
        <f t="shared" si="3"/>
        <v>9746.1</v>
      </c>
      <c r="K5" s="780">
        <f t="shared" si="4"/>
        <v>19492.2</v>
      </c>
      <c r="L5" s="780">
        <f t="shared" si="5"/>
        <v>23390.639999999999</v>
      </c>
    </row>
    <row r="6" spans="1:12" ht="42" x14ac:dyDescent="0.3">
      <c r="A6" s="787" t="s">
        <v>586</v>
      </c>
      <c r="B6" s="789" t="s">
        <v>2190</v>
      </c>
      <c r="C6" s="787" t="s">
        <v>220</v>
      </c>
      <c r="D6" s="787">
        <v>2</v>
      </c>
      <c r="E6" s="791">
        <f>1.06*1.19*4000</f>
        <v>5045.6000000000004</v>
      </c>
      <c r="F6" s="792">
        <f t="shared" si="0"/>
        <v>10091.200000000001</v>
      </c>
      <c r="G6" s="780">
        <f t="shared" si="1"/>
        <v>4204.666666666667</v>
      </c>
      <c r="H6" s="780">
        <f t="shared" si="2"/>
        <v>8409.3333333333339</v>
      </c>
      <c r="I6" s="3">
        <v>1.3</v>
      </c>
      <c r="J6" s="780">
        <f t="shared" si="3"/>
        <v>5466.0666666666675</v>
      </c>
      <c r="K6" s="780">
        <f t="shared" si="4"/>
        <v>10932.133333333335</v>
      </c>
      <c r="L6" s="780">
        <f t="shared" si="5"/>
        <v>13118.560000000001</v>
      </c>
    </row>
    <row r="7" spans="1:12" ht="42" x14ac:dyDescent="0.3">
      <c r="A7" s="787" t="s">
        <v>770</v>
      </c>
      <c r="B7" s="789" t="s">
        <v>2243</v>
      </c>
      <c r="C7" s="787" t="s">
        <v>220</v>
      </c>
      <c r="D7" s="787">
        <v>10</v>
      </c>
      <c r="E7" s="791">
        <f>5.58*1.19*4000</f>
        <v>26560.799999999999</v>
      </c>
      <c r="F7" s="792">
        <f t="shared" si="0"/>
        <v>265608</v>
      </c>
      <c r="G7" s="780">
        <f t="shared" si="1"/>
        <v>22134</v>
      </c>
      <c r="H7" s="780">
        <f t="shared" si="2"/>
        <v>221340</v>
      </c>
      <c r="I7" s="3">
        <v>1.3</v>
      </c>
      <c r="J7" s="780">
        <f t="shared" si="3"/>
        <v>28774.2</v>
      </c>
      <c r="K7" s="780">
        <f t="shared" si="4"/>
        <v>287742</v>
      </c>
      <c r="L7" s="780">
        <f t="shared" si="5"/>
        <v>345290.39999999997</v>
      </c>
    </row>
    <row r="8" spans="1:12" ht="42" x14ac:dyDescent="0.3">
      <c r="A8" s="787" t="s">
        <v>777</v>
      </c>
      <c r="B8" s="789" t="s">
        <v>2191</v>
      </c>
      <c r="C8" s="787" t="s">
        <v>220</v>
      </c>
      <c r="D8" s="787">
        <v>12</v>
      </c>
      <c r="E8" s="791">
        <f>5.98*1.19*4000</f>
        <v>28464.799999999999</v>
      </c>
      <c r="F8" s="792">
        <f t="shared" si="0"/>
        <v>341577.6</v>
      </c>
      <c r="G8" s="780">
        <f t="shared" si="1"/>
        <v>23720.666666666668</v>
      </c>
      <c r="H8" s="780">
        <f t="shared" si="2"/>
        <v>284648</v>
      </c>
      <c r="I8" s="3">
        <v>1.3</v>
      </c>
      <c r="J8" s="780">
        <f t="shared" si="3"/>
        <v>30836.866666666669</v>
      </c>
      <c r="K8" s="780">
        <f t="shared" si="4"/>
        <v>370042.4</v>
      </c>
      <c r="L8" s="780">
        <f t="shared" si="5"/>
        <v>444050.88</v>
      </c>
    </row>
    <row r="9" spans="1:12" ht="42" x14ac:dyDescent="0.3">
      <c r="A9" s="787" t="s">
        <v>609</v>
      </c>
      <c r="B9" s="789" t="s">
        <v>2192</v>
      </c>
      <c r="C9" s="787" t="s">
        <v>220</v>
      </c>
      <c r="D9" s="787">
        <v>12</v>
      </c>
      <c r="E9" s="791">
        <f>6.22*1.19*4000</f>
        <v>29607.199999999997</v>
      </c>
      <c r="F9" s="792">
        <f t="shared" si="0"/>
        <v>355286.39999999997</v>
      </c>
      <c r="G9" s="780">
        <f t="shared" si="1"/>
        <v>24672.666666666664</v>
      </c>
      <c r="H9" s="780">
        <f t="shared" si="2"/>
        <v>296072</v>
      </c>
      <c r="I9" s="3">
        <v>1.3</v>
      </c>
      <c r="J9" s="780">
        <f t="shared" si="3"/>
        <v>32074.466666666664</v>
      </c>
      <c r="K9" s="780">
        <f t="shared" si="4"/>
        <v>384893.6</v>
      </c>
      <c r="L9" s="780">
        <f t="shared" si="5"/>
        <v>461872.31999999995</v>
      </c>
    </row>
    <row r="10" spans="1:12" x14ac:dyDescent="0.3">
      <c r="A10" s="787" t="s">
        <v>1750</v>
      </c>
      <c r="B10" s="789" t="s">
        <v>2238</v>
      </c>
      <c r="C10" s="787" t="s">
        <v>220</v>
      </c>
      <c r="D10" s="787">
        <v>100</v>
      </c>
      <c r="E10" s="791">
        <v>123</v>
      </c>
      <c r="F10" s="792">
        <f t="shared" si="0"/>
        <v>12300</v>
      </c>
      <c r="G10" s="780">
        <f t="shared" si="1"/>
        <v>102.5</v>
      </c>
      <c r="H10" s="780">
        <f t="shared" si="2"/>
        <v>10250</v>
      </c>
      <c r="I10" s="3">
        <v>1.3</v>
      </c>
      <c r="J10" s="780">
        <f t="shared" si="3"/>
        <v>133.25</v>
      </c>
      <c r="K10" s="780">
        <f t="shared" si="4"/>
        <v>13325</v>
      </c>
      <c r="L10" s="780">
        <f t="shared" si="5"/>
        <v>15990</v>
      </c>
    </row>
    <row r="11" spans="1:12" x14ac:dyDescent="0.3">
      <c r="A11" s="787" t="s">
        <v>1754</v>
      </c>
      <c r="B11" s="789" t="s">
        <v>2239</v>
      </c>
      <c r="C11" s="785" t="s">
        <v>193</v>
      </c>
      <c r="D11" s="787">
        <v>6.5</v>
      </c>
      <c r="E11" s="791">
        <f>5200+1000</f>
        <v>6200</v>
      </c>
      <c r="F11" s="792">
        <f t="shared" si="0"/>
        <v>40300</v>
      </c>
      <c r="G11" s="780">
        <f t="shared" si="1"/>
        <v>5166.666666666667</v>
      </c>
      <c r="H11" s="780">
        <f t="shared" si="2"/>
        <v>33583.333333333336</v>
      </c>
      <c r="I11" s="3">
        <v>1.3</v>
      </c>
      <c r="J11" s="780">
        <f t="shared" si="3"/>
        <v>6716.666666666667</v>
      </c>
      <c r="K11" s="780">
        <f t="shared" si="4"/>
        <v>43658.333333333336</v>
      </c>
      <c r="L11" s="780">
        <f t="shared" si="5"/>
        <v>52390</v>
      </c>
    </row>
    <row r="12" spans="1:12" x14ac:dyDescent="0.3">
      <c r="A12" s="787" t="s">
        <v>600</v>
      </c>
      <c r="B12" s="789" t="s">
        <v>2193</v>
      </c>
      <c r="C12" s="785" t="s">
        <v>193</v>
      </c>
      <c r="D12" s="787">
        <v>12.4</v>
      </c>
      <c r="E12" s="791">
        <f>5100+1000</f>
        <v>6100</v>
      </c>
      <c r="F12" s="792">
        <f t="shared" si="0"/>
        <v>75640</v>
      </c>
      <c r="G12" s="780">
        <f t="shared" si="1"/>
        <v>5083.3333333333339</v>
      </c>
      <c r="H12" s="780">
        <f t="shared" si="2"/>
        <v>63033.333333333343</v>
      </c>
      <c r="I12" s="3">
        <v>1.3</v>
      </c>
      <c r="J12" s="780">
        <f t="shared" si="3"/>
        <v>6608.3333333333339</v>
      </c>
      <c r="K12" s="780">
        <f t="shared" si="4"/>
        <v>81943.333333333343</v>
      </c>
      <c r="L12" s="780">
        <f t="shared" si="5"/>
        <v>98332.000000000015</v>
      </c>
    </row>
    <row r="13" spans="1:12" x14ac:dyDescent="0.3">
      <c r="A13" s="787" t="s">
        <v>1765</v>
      </c>
      <c r="B13" s="789" t="s">
        <v>2194</v>
      </c>
      <c r="C13" s="785" t="s">
        <v>193</v>
      </c>
      <c r="D13" s="787">
        <v>0.15</v>
      </c>
      <c r="E13" s="791">
        <f>5100+1000</f>
        <v>6100</v>
      </c>
      <c r="F13" s="792">
        <f t="shared" si="0"/>
        <v>915</v>
      </c>
      <c r="G13" s="780">
        <f t="shared" si="1"/>
        <v>5083.3333333333339</v>
      </c>
      <c r="H13" s="780">
        <f t="shared" si="2"/>
        <v>762.50000000000011</v>
      </c>
      <c r="I13" s="3">
        <v>1.3</v>
      </c>
      <c r="J13" s="780">
        <f t="shared" si="3"/>
        <v>6608.3333333333339</v>
      </c>
      <c r="K13" s="780">
        <f t="shared" si="4"/>
        <v>991.25</v>
      </c>
      <c r="L13" s="780">
        <f t="shared" si="5"/>
        <v>1189.5</v>
      </c>
    </row>
    <row r="14" spans="1:12" x14ac:dyDescent="0.3">
      <c r="A14" s="787" t="s">
        <v>792</v>
      </c>
      <c r="B14" s="789" t="s">
        <v>2195</v>
      </c>
      <c r="C14" s="785" t="s">
        <v>193</v>
      </c>
      <c r="D14" s="787">
        <v>3</v>
      </c>
      <c r="E14" s="791">
        <f>5200+1000</f>
        <v>6200</v>
      </c>
      <c r="F14" s="792">
        <f t="shared" si="0"/>
        <v>18600</v>
      </c>
      <c r="G14" s="780">
        <f t="shared" si="1"/>
        <v>5166.666666666667</v>
      </c>
      <c r="H14" s="780">
        <f t="shared" si="2"/>
        <v>15500</v>
      </c>
      <c r="I14" s="3">
        <v>1.3</v>
      </c>
      <c r="J14" s="780">
        <f t="shared" si="3"/>
        <v>6716.666666666667</v>
      </c>
      <c r="K14" s="780">
        <f t="shared" si="4"/>
        <v>20150</v>
      </c>
      <c r="L14" s="780">
        <f t="shared" si="5"/>
        <v>24180</v>
      </c>
    </row>
    <row r="15" spans="1:12" x14ac:dyDescent="0.3">
      <c r="A15" s="787" t="s">
        <v>1770</v>
      </c>
      <c r="B15" s="789" t="s">
        <v>2240</v>
      </c>
      <c r="C15" s="785" t="s">
        <v>193</v>
      </c>
      <c r="D15" s="787">
        <v>28.6</v>
      </c>
      <c r="E15" s="791">
        <v>3000</v>
      </c>
      <c r="F15" s="792">
        <f t="shared" si="0"/>
        <v>85800</v>
      </c>
      <c r="G15" s="780">
        <f t="shared" si="1"/>
        <v>2500</v>
      </c>
      <c r="H15" s="780">
        <f t="shared" si="2"/>
        <v>71500</v>
      </c>
      <c r="I15" s="3">
        <v>1.3</v>
      </c>
      <c r="J15" s="780">
        <f t="shared" si="3"/>
        <v>3250</v>
      </c>
      <c r="K15" s="780">
        <f t="shared" si="4"/>
        <v>92950</v>
      </c>
      <c r="L15" s="780">
        <f t="shared" si="5"/>
        <v>111540</v>
      </c>
    </row>
    <row r="16" spans="1:12" x14ac:dyDescent="0.3">
      <c r="A16" s="787" t="s">
        <v>612</v>
      </c>
      <c r="B16" s="789" t="s">
        <v>2244</v>
      </c>
      <c r="C16" s="785" t="s">
        <v>193</v>
      </c>
      <c r="D16" s="787">
        <v>5.71</v>
      </c>
      <c r="E16" s="791">
        <f>5000*2.5+1000</f>
        <v>13500</v>
      </c>
      <c r="F16" s="792">
        <f t="shared" si="0"/>
        <v>77085</v>
      </c>
      <c r="G16" s="780">
        <f t="shared" si="1"/>
        <v>11250</v>
      </c>
      <c r="H16" s="780">
        <f t="shared" si="2"/>
        <v>64237.5</v>
      </c>
      <c r="I16" s="3">
        <v>1.3</v>
      </c>
      <c r="J16" s="780">
        <f t="shared" si="3"/>
        <v>14625</v>
      </c>
      <c r="K16" s="780">
        <f t="shared" si="4"/>
        <v>83508.75</v>
      </c>
      <c r="L16" s="780">
        <f t="shared" si="5"/>
        <v>100210.5</v>
      </c>
    </row>
    <row r="17" spans="1:12" x14ac:dyDescent="0.3">
      <c r="A17" s="787" t="s">
        <v>834</v>
      </c>
      <c r="B17" s="789" t="s">
        <v>2245</v>
      </c>
      <c r="C17" s="785" t="s">
        <v>193</v>
      </c>
      <c r="D17" s="787">
        <v>1.4</v>
      </c>
      <c r="E17" s="791">
        <f>3000/0.27</f>
        <v>11111.111111111109</v>
      </c>
      <c r="F17" s="792">
        <f t="shared" si="0"/>
        <v>15555.555555555553</v>
      </c>
      <c r="G17" s="780">
        <f t="shared" si="1"/>
        <v>9259.2592592592591</v>
      </c>
      <c r="H17" s="780">
        <f t="shared" si="2"/>
        <v>12962.962962962962</v>
      </c>
      <c r="I17" s="3">
        <v>1.3</v>
      </c>
      <c r="J17" s="780">
        <f t="shared" si="3"/>
        <v>12037.037037037036</v>
      </c>
      <c r="K17" s="780">
        <f t="shared" si="4"/>
        <v>16851.85185185185</v>
      </c>
      <c r="L17" s="780">
        <f t="shared" si="5"/>
        <v>20222.222222222219</v>
      </c>
    </row>
    <row r="18" spans="1:12" x14ac:dyDescent="0.3">
      <c r="A18" s="787" t="s">
        <v>1774</v>
      </c>
      <c r="B18" s="789" t="s">
        <v>2196</v>
      </c>
      <c r="C18" s="785" t="s">
        <v>193</v>
      </c>
      <c r="D18" s="787">
        <v>0.7</v>
      </c>
      <c r="E18" s="791">
        <f>2800/0.27</f>
        <v>10370.37037037037</v>
      </c>
      <c r="F18" s="792">
        <f t="shared" si="0"/>
        <v>7259.2592592592591</v>
      </c>
      <c r="G18" s="780">
        <f t="shared" si="1"/>
        <v>8641.9753086419751</v>
      </c>
      <c r="H18" s="780">
        <f t="shared" si="2"/>
        <v>6049.382716049382</v>
      </c>
      <c r="I18" s="3">
        <v>1.3</v>
      </c>
      <c r="J18" s="780">
        <f t="shared" si="3"/>
        <v>11234.567901234568</v>
      </c>
      <c r="K18" s="780">
        <f t="shared" si="4"/>
        <v>7864.1975308641968</v>
      </c>
      <c r="L18" s="780">
        <f t="shared" si="5"/>
        <v>9437.0370370370365</v>
      </c>
    </row>
    <row r="19" spans="1:12" x14ac:dyDescent="0.3">
      <c r="A19" s="787" t="s">
        <v>1775</v>
      </c>
      <c r="B19" s="789" t="s">
        <v>2246</v>
      </c>
      <c r="C19" s="785" t="s">
        <v>2197</v>
      </c>
      <c r="D19" s="787">
        <v>250</v>
      </c>
      <c r="E19" s="791">
        <f>140/3</f>
        <v>46.666666666666664</v>
      </c>
      <c r="F19" s="792">
        <f t="shared" si="0"/>
        <v>11666.666666666666</v>
      </c>
      <c r="G19" s="780">
        <f t="shared" si="1"/>
        <v>38.888888888888886</v>
      </c>
      <c r="H19" s="780">
        <f t="shared" si="2"/>
        <v>9722.2222222222208</v>
      </c>
      <c r="I19" s="3">
        <v>1.3</v>
      </c>
      <c r="J19" s="780">
        <f t="shared" si="3"/>
        <v>50.55555555555555</v>
      </c>
      <c r="K19" s="780">
        <f t="shared" si="4"/>
        <v>12638.888888888887</v>
      </c>
      <c r="L19" s="780">
        <f t="shared" si="5"/>
        <v>15166.666666666664</v>
      </c>
    </row>
    <row r="20" spans="1:12" x14ac:dyDescent="0.3">
      <c r="A20" s="787" t="s">
        <v>1777</v>
      </c>
      <c r="B20" s="789" t="s">
        <v>2283</v>
      </c>
      <c r="C20" s="785" t="s">
        <v>2197</v>
      </c>
      <c r="D20" s="787">
        <v>1493.6</v>
      </c>
      <c r="E20" s="791">
        <f>204/2.9</f>
        <v>70.344827586206904</v>
      </c>
      <c r="F20" s="792">
        <f t="shared" si="0"/>
        <v>105067.03448275862</v>
      </c>
      <c r="G20" s="780">
        <f t="shared" si="1"/>
        <v>58.62068965517242</v>
      </c>
      <c r="H20" s="780">
        <f t="shared" si="2"/>
        <v>87555.862068965522</v>
      </c>
      <c r="I20" s="3">
        <v>1.3</v>
      </c>
      <c r="J20" s="780">
        <f t="shared" si="3"/>
        <v>76.206896551724142</v>
      </c>
      <c r="K20" s="780">
        <f t="shared" si="4"/>
        <v>113822.62068965517</v>
      </c>
      <c r="L20" s="780">
        <f t="shared" si="5"/>
        <v>136587.14482758619</v>
      </c>
    </row>
    <row r="21" spans="1:12" x14ac:dyDescent="0.3">
      <c r="A21" s="787" t="s">
        <v>1132</v>
      </c>
      <c r="B21" s="789" t="s">
        <v>2284</v>
      </c>
      <c r="C21" s="785" t="s">
        <v>431</v>
      </c>
      <c r="D21" s="787">
        <v>57</v>
      </c>
      <c r="E21" s="791">
        <v>110</v>
      </c>
      <c r="F21" s="792">
        <f t="shared" si="0"/>
        <v>6270</v>
      </c>
      <c r="G21" s="780">
        <f t="shared" si="1"/>
        <v>91.666666666666671</v>
      </c>
      <c r="H21" s="780">
        <f t="shared" si="2"/>
        <v>5225</v>
      </c>
      <c r="I21" s="3">
        <v>1.3</v>
      </c>
      <c r="J21" s="780">
        <f t="shared" si="3"/>
        <v>119.16666666666667</v>
      </c>
      <c r="K21" s="780">
        <f t="shared" si="4"/>
        <v>6792.5</v>
      </c>
      <c r="L21" s="780">
        <f t="shared" si="5"/>
        <v>8151</v>
      </c>
    </row>
    <row r="22" spans="1:12" x14ac:dyDescent="0.3">
      <c r="A22" s="787" t="s">
        <v>1780</v>
      </c>
      <c r="B22" s="789" t="s">
        <v>2198</v>
      </c>
      <c r="C22" s="785" t="s">
        <v>2197</v>
      </c>
      <c r="D22" s="787">
        <v>19.2</v>
      </c>
      <c r="E22" s="791">
        <f>1822/3</f>
        <v>607.33333333333337</v>
      </c>
      <c r="F22" s="792">
        <f t="shared" si="0"/>
        <v>11660.800000000001</v>
      </c>
      <c r="G22" s="780">
        <f t="shared" si="1"/>
        <v>506.11111111111114</v>
      </c>
      <c r="H22" s="780">
        <f t="shared" si="2"/>
        <v>9717.3333333333339</v>
      </c>
      <c r="I22" s="3">
        <v>1.3</v>
      </c>
      <c r="J22" s="780">
        <f t="shared" si="3"/>
        <v>657.94444444444446</v>
      </c>
      <c r="K22" s="780">
        <f t="shared" si="4"/>
        <v>12632.533333333333</v>
      </c>
      <c r="L22" s="780">
        <f t="shared" si="5"/>
        <v>15159.039999999999</v>
      </c>
    </row>
    <row r="23" spans="1:12" x14ac:dyDescent="0.3">
      <c r="A23" s="787" t="s">
        <v>816</v>
      </c>
      <c r="B23" s="789" t="s">
        <v>2199</v>
      </c>
      <c r="C23" s="785" t="s">
        <v>193</v>
      </c>
      <c r="D23" s="787">
        <v>0.63</v>
      </c>
      <c r="E23" s="791">
        <f>3900/0.02</f>
        <v>195000</v>
      </c>
      <c r="F23" s="792">
        <f t="shared" si="0"/>
        <v>122850</v>
      </c>
      <c r="G23" s="780">
        <f t="shared" si="1"/>
        <v>162500</v>
      </c>
      <c r="H23" s="780">
        <f t="shared" si="2"/>
        <v>102375</v>
      </c>
      <c r="I23" s="3">
        <v>1.3</v>
      </c>
      <c r="J23" s="780">
        <f t="shared" si="3"/>
        <v>211250</v>
      </c>
      <c r="K23" s="780">
        <f t="shared" si="4"/>
        <v>133087.5</v>
      </c>
      <c r="L23" s="780">
        <f t="shared" si="5"/>
        <v>159705</v>
      </c>
    </row>
    <row r="24" spans="1:12" x14ac:dyDescent="0.3">
      <c r="A24" s="787" t="s">
        <v>1786</v>
      </c>
      <c r="B24" s="789" t="s">
        <v>2247</v>
      </c>
      <c r="C24" s="785" t="s">
        <v>193</v>
      </c>
      <c r="D24" s="787">
        <v>0.04</v>
      </c>
      <c r="E24" s="791">
        <f>3900/0.2</f>
        <v>19500</v>
      </c>
      <c r="F24" s="792">
        <f t="shared" si="0"/>
        <v>780</v>
      </c>
      <c r="G24" s="780">
        <f t="shared" si="1"/>
        <v>16250</v>
      </c>
      <c r="H24" s="780">
        <f t="shared" si="2"/>
        <v>650</v>
      </c>
      <c r="I24" s="3">
        <v>1.3</v>
      </c>
      <c r="J24" s="780">
        <f t="shared" si="3"/>
        <v>21125</v>
      </c>
      <c r="K24" s="780">
        <f t="shared" si="4"/>
        <v>845</v>
      </c>
      <c r="L24" s="780">
        <f t="shared" si="5"/>
        <v>1014</v>
      </c>
    </row>
    <row r="25" spans="1:12" x14ac:dyDescent="0.3">
      <c r="A25" s="787" t="s">
        <v>766</v>
      </c>
      <c r="B25" s="789" t="s">
        <v>2248</v>
      </c>
      <c r="C25" s="785" t="s">
        <v>193</v>
      </c>
      <c r="D25" s="787">
        <v>18.11</v>
      </c>
      <c r="E25" s="791">
        <f>1700/0.2</f>
        <v>8500</v>
      </c>
      <c r="F25" s="792">
        <f t="shared" si="0"/>
        <v>153935</v>
      </c>
      <c r="G25" s="780">
        <f t="shared" si="1"/>
        <v>7083.3333333333339</v>
      </c>
      <c r="H25" s="780">
        <f t="shared" si="2"/>
        <v>128279.16666666667</v>
      </c>
      <c r="I25" s="3">
        <v>1.3</v>
      </c>
      <c r="J25" s="780">
        <f t="shared" si="3"/>
        <v>9208.3333333333339</v>
      </c>
      <c r="K25" s="780">
        <f t="shared" si="4"/>
        <v>166762.91666666669</v>
      </c>
      <c r="L25" s="780">
        <f t="shared" si="5"/>
        <v>200115.50000000003</v>
      </c>
    </row>
    <row r="26" spans="1:12" x14ac:dyDescent="0.3">
      <c r="A26" s="787" t="s">
        <v>1789</v>
      </c>
      <c r="B26" s="789" t="s">
        <v>2200</v>
      </c>
      <c r="C26" s="785" t="s">
        <v>431</v>
      </c>
      <c r="D26" s="787">
        <v>68</v>
      </c>
      <c r="E26" s="791">
        <f>400/10*2</f>
        <v>80</v>
      </c>
      <c r="F26" s="792">
        <f t="shared" si="0"/>
        <v>5440</v>
      </c>
      <c r="G26" s="780">
        <f t="shared" si="1"/>
        <v>66.666666666666671</v>
      </c>
      <c r="H26" s="780">
        <f t="shared" si="2"/>
        <v>4533.3333333333339</v>
      </c>
      <c r="I26" s="3">
        <v>1.3</v>
      </c>
      <c r="J26" s="780">
        <f t="shared" si="3"/>
        <v>86.666666666666671</v>
      </c>
      <c r="K26" s="780">
        <f t="shared" si="4"/>
        <v>5893.3333333333339</v>
      </c>
      <c r="L26" s="780">
        <f t="shared" si="5"/>
        <v>7072.0000000000009</v>
      </c>
    </row>
    <row r="27" spans="1:12" x14ac:dyDescent="0.3">
      <c r="A27" s="787" t="s">
        <v>1791</v>
      </c>
      <c r="B27" s="789" t="s">
        <v>2201</v>
      </c>
      <c r="C27" s="785" t="s">
        <v>254</v>
      </c>
      <c r="D27" s="787">
        <v>6.3</v>
      </c>
      <c r="E27" s="791">
        <f>3000/16</f>
        <v>187.5</v>
      </c>
      <c r="F27" s="792">
        <f t="shared" si="0"/>
        <v>1181.25</v>
      </c>
      <c r="G27" s="780">
        <f t="shared" si="1"/>
        <v>156.25</v>
      </c>
      <c r="H27" s="780">
        <f t="shared" si="2"/>
        <v>984.375</v>
      </c>
      <c r="I27" s="3">
        <v>1.3</v>
      </c>
      <c r="J27" s="780">
        <f t="shared" si="3"/>
        <v>203.125</v>
      </c>
      <c r="K27" s="780">
        <f t="shared" si="4"/>
        <v>1279.6875</v>
      </c>
      <c r="L27" s="780">
        <f t="shared" si="5"/>
        <v>1535.625</v>
      </c>
    </row>
    <row r="28" spans="1:12" x14ac:dyDescent="0.3">
      <c r="A28" s="787" t="s">
        <v>1794</v>
      </c>
      <c r="B28" s="789" t="s">
        <v>2202</v>
      </c>
      <c r="C28" s="785" t="s">
        <v>254</v>
      </c>
      <c r="D28" s="787">
        <v>6.2</v>
      </c>
      <c r="E28" s="791">
        <f>5500/9</f>
        <v>611.11111111111109</v>
      </c>
      <c r="F28" s="792">
        <f t="shared" si="0"/>
        <v>3788.8888888888887</v>
      </c>
      <c r="G28" s="780">
        <f t="shared" si="1"/>
        <v>509.25925925925924</v>
      </c>
      <c r="H28" s="780">
        <f t="shared" si="2"/>
        <v>3157.4074074074074</v>
      </c>
      <c r="I28" s="3">
        <v>1.3</v>
      </c>
      <c r="J28" s="780">
        <f t="shared" si="3"/>
        <v>662.03703703703707</v>
      </c>
      <c r="K28" s="780">
        <f t="shared" si="4"/>
        <v>4104.6296296296296</v>
      </c>
      <c r="L28" s="780">
        <f t="shared" si="5"/>
        <v>4925.5555555555557</v>
      </c>
    </row>
    <row r="29" spans="1:12" x14ac:dyDescent="0.3">
      <c r="A29" s="787" t="s">
        <v>1796</v>
      </c>
      <c r="B29" s="789" t="s">
        <v>2203</v>
      </c>
      <c r="C29" s="785" t="s">
        <v>431</v>
      </c>
      <c r="D29" s="787">
        <v>64.2</v>
      </c>
      <c r="E29" s="791">
        <v>40</v>
      </c>
      <c r="F29" s="792">
        <f t="shared" si="0"/>
        <v>2568</v>
      </c>
      <c r="G29" s="780">
        <f t="shared" si="1"/>
        <v>33.333333333333336</v>
      </c>
      <c r="H29" s="780">
        <f t="shared" si="2"/>
        <v>2140.0000000000005</v>
      </c>
      <c r="I29" s="3">
        <v>1.3</v>
      </c>
      <c r="J29" s="780">
        <f t="shared" si="3"/>
        <v>43.333333333333336</v>
      </c>
      <c r="K29" s="780">
        <f t="shared" si="4"/>
        <v>2782.0000000000005</v>
      </c>
      <c r="L29" s="780">
        <f t="shared" si="5"/>
        <v>3338.4000000000005</v>
      </c>
    </row>
    <row r="30" spans="1:12" ht="28.2" x14ac:dyDescent="0.3">
      <c r="A30" s="787" t="s">
        <v>1797</v>
      </c>
      <c r="B30" s="789" t="s">
        <v>2249</v>
      </c>
      <c r="C30" s="785" t="s">
        <v>193</v>
      </c>
      <c r="D30" s="787">
        <v>3</v>
      </c>
      <c r="E30" s="791">
        <f>1100/0.288</f>
        <v>3819.4444444444448</v>
      </c>
      <c r="F30" s="792">
        <f t="shared" si="0"/>
        <v>11458.333333333334</v>
      </c>
      <c r="G30" s="780">
        <f t="shared" si="1"/>
        <v>3182.8703703703709</v>
      </c>
      <c r="H30" s="780">
        <f t="shared" si="2"/>
        <v>9548.6111111111131</v>
      </c>
      <c r="I30" s="3">
        <v>1.3</v>
      </c>
      <c r="J30" s="780">
        <f t="shared" si="3"/>
        <v>4137.7314814814827</v>
      </c>
      <c r="K30" s="780">
        <f t="shared" si="4"/>
        <v>12413.194444444449</v>
      </c>
      <c r="L30" s="780">
        <f t="shared" si="5"/>
        <v>14895.833333333338</v>
      </c>
    </row>
    <row r="31" spans="1:12" ht="28.2" x14ac:dyDescent="0.3">
      <c r="A31" s="787" t="s">
        <v>1806</v>
      </c>
      <c r="B31" s="789" t="s">
        <v>2250</v>
      </c>
      <c r="C31" s="785" t="s">
        <v>193</v>
      </c>
      <c r="D31" s="787">
        <v>3</v>
      </c>
      <c r="E31" s="791">
        <f>1100/0.288</f>
        <v>3819.4444444444448</v>
      </c>
      <c r="F31" s="792">
        <f t="shared" si="0"/>
        <v>11458.333333333334</v>
      </c>
      <c r="G31" s="780">
        <f t="shared" si="1"/>
        <v>3182.8703703703709</v>
      </c>
      <c r="H31" s="780">
        <f t="shared" si="2"/>
        <v>9548.6111111111131</v>
      </c>
      <c r="I31" s="3">
        <v>1.3</v>
      </c>
      <c r="J31" s="780">
        <f t="shared" si="3"/>
        <v>4137.7314814814827</v>
      </c>
      <c r="K31" s="780">
        <f t="shared" si="4"/>
        <v>12413.194444444449</v>
      </c>
      <c r="L31" s="780">
        <f t="shared" si="5"/>
        <v>14895.833333333338</v>
      </c>
    </row>
    <row r="32" spans="1:12" x14ac:dyDescent="0.3">
      <c r="A32" s="787" t="s">
        <v>1811</v>
      </c>
      <c r="B32" s="789" t="s">
        <v>2204</v>
      </c>
      <c r="C32" s="785" t="s">
        <v>387</v>
      </c>
      <c r="D32" s="787">
        <v>20</v>
      </c>
      <c r="E32" s="791">
        <f>4000/20</f>
        <v>200</v>
      </c>
      <c r="F32" s="792">
        <f t="shared" si="0"/>
        <v>4000</v>
      </c>
      <c r="G32" s="780">
        <f t="shared" si="1"/>
        <v>166.66666666666669</v>
      </c>
      <c r="H32" s="780">
        <f t="shared" si="2"/>
        <v>3333.3333333333339</v>
      </c>
      <c r="I32" s="3">
        <v>1.3</v>
      </c>
      <c r="J32" s="780">
        <f t="shared" si="3"/>
        <v>216.66666666666669</v>
      </c>
      <c r="K32" s="780">
        <f t="shared" si="4"/>
        <v>4333.3333333333339</v>
      </c>
      <c r="L32" s="780">
        <f t="shared" si="5"/>
        <v>5200.0000000000009</v>
      </c>
    </row>
    <row r="33" spans="1:12" x14ac:dyDescent="0.3">
      <c r="A33" s="787" t="s">
        <v>808</v>
      </c>
      <c r="B33" s="789" t="s">
        <v>2251</v>
      </c>
      <c r="C33" s="785" t="s">
        <v>220</v>
      </c>
      <c r="D33" s="787">
        <v>100</v>
      </c>
      <c r="E33" s="791">
        <v>123</v>
      </c>
      <c r="F33" s="792">
        <f t="shared" si="0"/>
        <v>12300</v>
      </c>
      <c r="G33" s="780">
        <f t="shared" si="1"/>
        <v>102.5</v>
      </c>
      <c r="H33" s="780">
        <f t="shared" si="2"/>
        <v>10250</v>
      </c>
      <c r="I33" s="3">
        <v>1.3</v>
      </c>
      <c r="J33" s="780">
        <f t="shared" si="3"/>
        <v>133.25</v>
      </c>
      <c r="K33" s="780">
        <f t="shared" si="4"/>
        <v>13325</v>
      </c>
      <c r="L33" s="780">
        <f t="shared" si="5"/>
        <v>15990</v>
      </c>
    </row>
    <row r="34" spans="1:12" x14ac:dyDescent="0.3">
      <c r="A34" s="787" t="s">
        <v>1814</v>
      </c>
      <c r="B34" s="789" t="s">
        <v>2252</v>
      </c>
      <c r="C34" s="785" t="s">
        <v>254</v>
      </c>
      <c r="D34" s="787">
        <v>40</v>
      </c>
      <c r="E34" s="791">
        <v>220</v>
      </c>
      <c r="F34" s="792">
        <f t="shared" si="0"/>
        <v>8800</v>
      </c>
      <c r="G34" s="780">
        <f t="shared" si="1"/>
        <v>183.33333333333334</v>
      </c>
      <c r="H34" s="780">
        <f t="shared" si="2"/>
        <v>7333.3333333333339</v>
      </c>
      <c r="I34" s="3">
        <v>1.3</v>
      </c>
      <c r="J34" s="780">
        <f t="shared" si="3"/>
        <v>238.33333333333334</v>
      </c>
      <c r="K34" s="780">
        <f t="shared" si="4"/>
        <v>9533.3333333333339</v>
      </c>
      <c r="L34" s="780">
        <f t="shared" si="5"/>
        <v>11440</v>
      </c>
    </row>
    <row r="35" spans="1:12" x14ac:dyDescent="0.3">
      <c r="A35" s="787" t="s">
        <v>1817</v>
      </c>
      <c r="B35" s="789" t="s">
        <v>2253</v>
      </c>
      <c r="C35" s="785" t="s">
        <v>254</v>
      </c>
      <c r="D35" s="787">
        <v>5.3</v>
      </c>
      <c r="E35" s="791">
        <v>910</v>
      </c>
      <c r="F35" s="792">
        <f t="shared" ref="F35:F63" si="6">E35*D35</f>
        <v>4823</v>
      </c>
      <c r="G35" s="780">
        <f t="shared" si="1"/>
        <v>758.33333333333337</v>
      </c>
      <c r="H35" s="780">
        <f t="shared" si="2"/>
        <v>4019.1666666666665</v>
      </c>
      <c r="I35" s="3">
        <v>1.3</v>
      </c>
      <c r="J35" s="780">
        <f t="shared" si="3"/>
        <v>985.83333333333337</v>
      </c>
      <c r="K35" s="780">
        <f t="shared" si="4"/>
        <v>5224.916666666667</v>
      </c>
      <c r="L35" s="780">
        <f t="shared" si="5"/>
        <v>6269.9000000000005</v>
      </c>
    </row>
    <row r="36" spans="1:12" x14ac:dyDescent="0.3">
      <c r="A36" s="787" t="s">
        <v>771</v>
      </c>
      <c r="B36" s="789" t="s">
        <v>2254</v>
      </c>
      <c r="C36" s="785" t="s">
        <v>254</v>
      </c>
      <c r="D36" s="787">
        <v>792</v>
      </c>
      <c r="E36" s="791">
        <f>1100/30</f>
        <v>36.666666666666664</v>
      </c>
      <c r="F36" s="792">
        <f t="shared" si="6"/>
        <v>29039.999999999996</v>
      </c>
      <c r="G36" s="780">
        <f t="shared" si="1"/>
        <v>30.555555555555554</v>
      </c>
      <c r="H36" s="780">
        <f t="shared" si="2"/>
        <v>24200</v>
      </c>
      <c r="I36" s="3">
        <v>1.3</v>
      </c>
      <c r="J36" s="780">
        <f t="shared" si="3"/>
        <v>39.722222222222221</v>
      </c>
      <c r="K36" s="780">
        <f t="shared" si="4"/>
        <v>31460</v>
      </c>
      <c r="L36" s="780">
        <f t="shared" si="5"/>
        <v>37752</v>
      </c>
    </row>
    <row r="37" spans="1:12" x14ac:dyDescent="0.3">
      <c r="A37" s="787" t="s">
        <v>1819</v>
      </c>
      <c r="B37" s="789" t="s">
        <v>2255</v>
      </c>
      <c r="C37" s="785" t="s">
        <v>220</v>
      </c>
      <c r="D37" s="787">
        <v>185</v>
      </c>
      <c r="E37" s="791">
        <v>100</v>
      </c>
      <c r="F37" s="792">
        <f t="shared" si="6"/>
        <v>18500</v>
      </c>
      <c r="G37" s="780">
        <f t="shared" si="1"/>
        <v>83.333333333333343</v>
      </c>
      <c r="H37" s="780">
        <f t="shared" si="2"/>
        <v>15416.666666666668</v>
      </c>
      <c r="I37" s="3">
        <v>1.3</v>
      </c>
      <c r="J37" s="780">
        <f t="shared" si="3"/>
        <v>108.33333333333334</v>
      </c>
      <c r="K37" s="780">
        <f t="shared" si="4"/>
        <v>20041.666666666668</v>
      </c>
      <c r="L37" s="780">
        <f t="shared" si="5"/>
        <v>24050</v>
      </c>
    </row>
    <row r="38" spans="1:12" x14ac:dyDescent="0.3">
      <c r="A38" s="787" t="s">
        <v>1821</v>
      </c>
      <c r="B38" s="789" t="s">
        <v>2205</v>
      </c>
      <c r="C38" s="785" t="s">
        <v>220</v>
      </c>
      <c r="D38" s="787">
        <v>563</v>
      </c>
      <c r="E38" s="791">
        <v>7</v>
      </c>
      <c r="F38" s="792">
        <f t="shared" si="6"/>
        <v>3941</v>
      </c>
      <c r="G38" s="780">
        <f t="shared" si="1"/>
        <v>5.8333333333333339</v>
      </c>
      <c r="H38" s="780">
        <f t="shared" si="2"/>
        <v>3284.166666666667</v>
      </c>
      <c r="I38" s="3">
        <v>1.3</v>
      </c>
      <c r="J38" s="780">
        <f t="shared" si="3"/>
        <v>7.5833333333333339</v>
      </c>
      <c r="K38" s="780">
        <f t="shared" si="4"/>
        <v>4269.416666666667</v>
      </c>
      <c r="L38" s="780">
        <f t="shared" si="5"/>
        <v>5123.3</v>
      </c>
    </row>
    <row r="39" spans="1:12" s="1" customFormat="1" x14ac:dyDescent="0.3">
      <c r="A39" s="809" t="s">
        <v>1822</v>
      </c>
      <c r="B39" s="790" t="s">
        <v>1345</v>
      </c>
      <c r="C39" s="810"/>
      <c r="D39" s="809"/>
      <c r="E39" s="153"/>
      <c r="F39" s="797">
        <f t="shared" si="6"/>
        <v>0</v>
      </c>
      <c r="G39" s="808">
        <f t="shared" si="1"/>
        <v>0</v>
      </c>
      <c r="H39" s="808">
        <f t="shared" si="2"/>
        <v>0</v>
      </c>
      <c r="I39" s="4"/>
      <c r="J39" s="780">
        <f t="shared" si="3"/>
        <v>0</v>
      </c>
      <c r="K39" s="780">
        <f t="shared" si="4"/>
        <v>0</v>
      </c>
      <c r="L39" s="780">
        <f t="shared" si="5"/>
        <v>0</v>
      </c>
    </row>
    <row r="40" spans="1:12" s="1" customFormat="1" x14ac:dyDescent="0.3">
      <c r="A40" s="809" t="s">
        <v>1824</v>
      </c>
      <c r="B40" s="790" t="s">
        <v>2206</v>
      </c>
      <c r="C40" s="810"/>
      <c r="D40" s="809"/>
      <c r="E40" s="153"/>
      <c r="F40" s="797">
        <f t="shared" si="6"/>
        <v>0</v>
      </c>
      <c r="G40" s="808">
        <f t="shared" si="1"/>
        <v>0</v>
      </c>
      <c r="H40" s="808">
        <f t="shared" si="2"/>
        <v>0</v>
      </c>
      <c r="I40" s="4"/>
      <c r="J40" s="780">
        <f t="shared" si="3"/>
        <v>0</v>
      </c>
      <c r="K40" s="780">
        <f t="shared" si="4"/>
        <v>0</v>
      </c>
      <c r="L40" s="780">
        <f t="shared" si="5"/>
        <v>0</v>
      </c>
    </row>
    <row r="41" spans="1:12" x14ac:dyDescent="0.3">
      <c r="A41" s="787" t="s">
        <v>1138</v>
      </c>
      <c r="B41" s="789" t="s">
        <v>2256</v>
      </c>
      <c r="C41" s="785" t="s">
        <v>193</v>
      </c>
      <c r="D41" s="787">
        <v>5.18</v>
      </c>
      <c r="E41" s="791">
        <f>5200+1000</f>
        <v>6200</v>
      </c>
      <c r="F41" s="792">
        <f t="shared" si="6"/>
        <v>32116</v>
      </c>
      <c r="G41" s="780">
        <f t="shared" si="1"/>
        <v>5166.666666666667</v>
      </c>
      <c r="H41" s="780">
        <f t="shared" si="2"/>
        <v>26763.333333333332</v>
      </c>
      <c r="I41" s="3">
        <v>1.3</v>
      </c>
      <c r="J41" s="780">
        <f t="shared" si="3"/>
        <v>6716.666666666667</v>
      </c>
      <c r="K41" s="780">
        <f t="shared" si="4"/>
        <v>34792.333333333336</v>
      </c>
      <c r="L41" s="780">
        <f t="shared" si="5"/>
        <v>41750.800000000003</v>
      </c>
    </row>
    <row r="42" spans="1:12" x14ac:dyDescent="0.3">
      <c r="A42" s="787" t="s">
        <v>819</v>
      </c>
      <c r="B42" s="789" t="s">
        <v>2257</v>
      </c>
      <c r="C42" s="785" t="s">
        <v>220</v>
      </c>
      <c r="D42" s="787">
        <v>14</v>
      </c>
      <c r="E42" s="791">
        <f>200/2.9*4.66</f>
        <v>321.37931034482762</v>
      </c>
      <c r="F42" s="792">
        <f t="shared" si="6"/>
        <v>4499.310344827587</v>
      </c>
      <c r="G42" s="780">
        <f t="shared" si="1"/>
        <v>267.81609195402302</v>
      </c>
      <c r="H42" s="780">
        <f t="shared" si="2"/>
        <v>3749.4252873563223</v>
      </c>
      <c r="I42" s="3">
        <v>1.3</v>
      </c>
      <c r="J42" s="780">
        <f t="shared" si="3"/>
        <v>348.16091954022994</v>
      </c>
      <c r="K42" s="780">
        <f t="shared" si="4"/>
        <v>4874.2528735632195</v>
      </c>
      <c r="L42" s="780">
        <f t="shared" si="5"/>
        <v>5849.1034482758632</v>
      </c>
    </row>
    <row r="43" spans="1:12" x14ac:dyDescent="0.3">
      <c r="A43" s="787" t="s">
        <v>790</v>
      </c>
      <c r="B43" s="789" t="s">
        <v>2258</v>
      </c>
      <c r="C43" s="785" t="s">
        <v>220</v>
      </c>
      <c r="D43" s="787">
        <v>28</v>
      </c>
      <c r="E43" s="791">
        <f>200/2.9*0.78</f>
        <v>53.793103448275872</v>
      </c>
      <c r="F43" s="792">
        <f t="shared" si="6"/>
        <v>1506.2068965517244</v>
      </c>
      <c r="G43" s="780">
        <f t="shared" si="1"/>
        <v>44.827586206896562</v>
      </c>
      <c r="H43" s="780">
        <f t="shared" si="2"/>
        <v>1255.1724137931037</v>
      </c>
      <c r="I43" s="3">
        <v>1.3</v>
      </c>
      <c r="J43" s="780">
        <f t="shared" si="3"/>
        <v>58.27586206896553</v>
      </c>
      <c r="K43" s="780">
        <f t="shared" si="4"/>
        <v>1631.7241379310349</v>
      </c>
      <c r="L43" s="780">
        <f t="shared" si="5"/>
        <v>1958.0689655172418</v>
      </c>
    </row>
    <row r="44" spans="1:12" x14ac:dyDescent="0.3">
      <c r="A44" s="787" t="s">
        <v>801</v>
      </c>
      <c r="B44" s="789" t="s">
        <v>2259</v>
      </c>
      <c r="C44" s="785" t="s">
        <v>220</v>
      </c>
      <c r="D44" s="787">
        <v>24</v>
      </c>
      <c r="E44" s="791">
        <f>200/2.9*1.39</f>
        <v>95.862068965517238</v>
      </c>
      <c r="F44" s="792">
        <f t="shared" si="6"/>
        <v>2300.6896551724139</v>
      </c>
      <c r="G44" s="780">
        <f t="shared" si="1"/>
        <v>79.885057471264375</v>
      </c>
      <c r="H44" s="780">
        <f t="shared" si="2"/>
        <v>1917.2413793103451</v>
      </c>
      <c r="I44" s="3">
        <v>1.3</v>
      </c>
      <c r="J44" s="780">
        <f t="shared" si="3"/>
        <v>103.85057471264369</v>
      </c>
      <c r="K44" s="780">
        <f t="shared" si="4"/>
        <v>2492.4137931034484</v>
      </c>
      <c r="L44" s="780">
        <f t="shared" si="5"/>
        <v>2990.8965517241381</v>
      </c>
    </row>
    <row r="45" spans="1:12" x14ac:dyDescent="0.3">
      <c r="A45" s="787" t="s">
        <v>1839</v>
      </c>
      <c r="B45" s="789" t="s">
        <v>2260</v>
      </c>
      <c r="C45" s="785" t="s">
        <v>220</v>
      </c>
      <c r="D45" s="787">
        <v>80</v>
      </c>
      <c r="E45" s="791">
        <f>200/2.9*0.9</f>
        <v>62.068965517241388</v>
      </c>
      <c r="F45" s="792">
        <f t="shared" si="6"/>
        <v>4965.5172413793107</v>
      </c>
      <c r="G45" s="780">
        <f t="shared" si="1"/>
        <v>51.724137931034491</v>
      </c>
      <c r="H45" s="780">
        <f t="shared" si="2"/>
        <v>4137.9310344827591</v>
      </c>
      <c r="I45" s="3">
        <v>1.3</v>
      </c>
      <c r="J45" s="780">
        <f t="shared" si="3"/>
        <v>67.24137931034484</v>
      </c>
      <c r="K45" s="780">
        <f t="shared" si="4"/>
        <v>5379.310344827587</v>
      </c>
      <c r="L45" s="780">
        <f t="shared" si="5"/>
        <v>6455.1724137931042</v>
      </c>
    </row>
    <row r="46" spans="1:12" x14ac:dyDescent="0.3">
      <c r="A46" s="787" t="s">
        <v>1841</v>
      </c>
      <c r="B46" s="789" t="s">
        <v>2261</v>
      </c>
      <c r="C46" s="785" t="s">
        <v>220</v>
      </c>
      <c r="D46" s="787">
        <v>80</v>
      </c>
      <c r="E46" s="791">
        <f>200/2.9*1.95</f>
        <v>134.48275862068965</v>
      </c>
      <c r="F46" s="792">
        <f t="shared" si="6"/>
        <v>10758.620689655172</v>
      </c>
      <c r="G46" s="780">
        <f t="shared" si="1"/>
        <v>112.06896551724138</v>
      </c>
      <c r="H46" s="780">
        <f t="shared" si="2"/>
        <v>8965.5172413793098</v>
      </c>
      <c r="I46" s="3">
        <v>1.3</v>
      </c>
      <c r="J46" s="780">
        <f t="shared" si="3"/>
        <v>145.68965517241381</v>
      </c>
      <c r="K46" s="780">
        <f t="shared" si="4"/>
        <v>11655.172413793105</v>
      </c>
      <c r="L46" s="780">
        <f t="shared" si="5"/>
        <v>13986.206896551726</v>
      </c>
    </row>
    <row r="47" spans="1:12" x14ac:dyDescent="0.3">
      <c r="A47" s="787" t="s">
        <v>1842</v>
      </c>
      <c r="B47" s="789" t="s">
        <v>2262</v>
      </c>
      <c r="C47" s="785" t="s">
        <v>220</v>
      </c>
      <c r="D47" s="787">
        <v>28</v>
      </c>
      <c r="E47" s="791">
        <f>200/2.9*2.3</f>
        <v>158.62068965517241</v>
      </c>
      <c r="F47" s="792">
        <f t="shared" si="6"/>
        <v>4441.3793103448279</v>
      </c>
      <c r="G47" s="780">
        <f t="shared" si="1"/>
        <v>132.18390804597701</v>
      </c>
      <c r="H47" s="780">
        <f t="shared" si="2"/>
        <v>3701.1494252873563</v>
      </c>
      <c r="I47" s="3">
        <v>1.3</v>
      </c>
      <c r="J47" s="780">
        <f t="shared" si="3"/>
        <v>171.83908045977012</v>
      </c>
      <c r="K47" s="780">
        <f t="shared" si="4"/>
        <v>4811.4942528735628</v>
      </c>
      <c r="L47" s="780">
        <f t="shared" si="5"/>
        <v>5773.7931034482754</v>
      </c>
    </row>
    <row r="48" spans="1:12" x14ac:dyDescent="0.3">
      <c r="A48" s="787" t="s">
        <v>1848</v>
      </c>
      <c r="B48" s="789" t="s">
        <v>2263</v>
      </c>
      <c r="C48" s="785" t="s">
        <v>220</v>
      </c>
      <c r="D48" s="787">
        <v>8</v>
      </c>
      <c r="E48" s="791">
        <f>1120/3*0.49</f>
        <v>182.93333333333331</v>
      </c>
      <c r="F48" s="792">
        <f t="shared" si="6"/>
        <v>1463.4666666666665</v>
      </c>
      <c r="G48" s="780">
        <f t="shared" si="1"/>
        <v>152.44444444444443</v>
      </c>
      <c r="H48" s="780">
        <f t="shared" si="2"/>
        <v>1219.5555555555554</v>
      </c>
      <c r="I48" s="3">
        <v>1.3</v>
      </c>
      <c r="J48" s="780">
        <f t="shared" si="3"/>
        <v>198.17777777777778</v>
      </c>
      <c r="K48" s="780">
        <f t="shared" si="4"/>
        <v>1585.4222222222222</v>
      </c>
      <c r="L48" s="780">
        <f t="shared" si="5"/>
        <v>1902.5066666666667</v>
      </c>
    </row>
    <row r="49" spans="1:12" x14ac:dyDescent="0.3">
      <c r="A49" s="787" t="s">
        <v>1846</v>
      </c>
      <c r="B49" s="789" t="s">
        <v>2264</v>
      </c>
      <c r="C49" s="785" t="s">
        <v>220</v>
      </c>
      <c r="D49" s="787">
        <v>8</v>
      </c>
      <c r="E49" s="791">
        <f>1120/3*0.19</f>
        <v>70.933333333333337</v>
      </c>
      <c r="F49" s="792">
        <f t="shared" si="6"/>
        <v>567.4666666666667</v>
      </c>
      <c r="G49" s="780">
        <f t="shared" si="1"/>
        <v>59.111111111111114</v>
      </c>
      <c r="H49" s="780">
        <f t="shared" si="2"/>
        <v>472.88888888888891</v>
      </c>
      <c r="I49" s="3">
        <v>1.3</v>
      </c>
      <c r="J49" s="780">
        <f t="shared" si="3"/>
        <v>76.844444444444449</v>
      </c>
      <c r="K49" s="780">
        <f t="shared" si="4"/>
        <v>614.75555555555559</v>
      </c>
      <c r="L49" s="780">
        <f t="shared" si="5"/>
        <v>737.70666666666671</v>
      </c>
    </row>
    <row r="50" spans="1:12" x14ac:dyDescent="0.3">
      <c r="A50" s="787" t="s">
        <v>1848</v>
      </c>
      <c r="B50" s="789" t="s">
        <v>2207</v>
      </c>
      <c r="C50" s="785" t="s">
        <v>220</v>
      </c>
      <c r="D50" s="787">
        <v>8</v>
      </c>
      <c r="E50" s="791">
        <f>670+50</f>
        <v>720</v>
      </c>
      <c r="F50" s="792">
        <f t="shared" si="6"/>
        <v>5760</v>
      </c>
      <c r="G50" s="780">
        <f t="shared" si="1"/>
        <v>600</v>
      </c>
      <c r="H50" s="780">
        <f t="shared" si="2"/>
        <v>4800</v>
      </c>
      <c r="I50" s="3">
        <v>1.3</v>
      </c>
      <c r="J50" s="780">
        <f t="shared" si="3"/>
        <v>780</v>
      </c>
      <c r="K50" s="780">
        <f t="shared" si="4"/>
        <v>6240</v>
      </c>
      <c r="L50" s="780">
        <f t="shared" si="5"/>
        <v>7488</v>
      </c>
    </row>
    <row r="51" spans="1:12" x14ac:dyDescent="0.3">
      <c r="A51" s="787" t="s">
        <v>817</v>
      </c>
      <c r="B51" s="789" t="s">
        <v>2208</v>
      </c>
      <c r="C51" s="785" t="s">
        <v>193</v>
      </c>
      <c r="D51" s="787">
        <v>1</v>
      </c>
      <c r="E51" s="791">
        <v>6000</v>
      </c>
      <c r="F51" s="792">
        <f t="shared" si="6"/>
        <v>6000</v>
      </c>
      <c r="G51" s="780">
        <f t="shared" si="1"/>
        <v>5000</v>
      </c>
      <c r="H51" s="780">
        <f t="shared" si="2"/>
        <v>5000</v>
      </c>
      <c r="I51" s="3">
        <v>1.3</v>
      </c>
      <c r="J51" s="780">
        <f t="shared" si="3"/>
        <v>6500</v>
      </c>
      <c r="K51" s="780">
        <f t="shared" si="4"/>
        <v>6500</v>
      </c>
      <c r="L51" s="780">
        <f t="shared" si="5"/>
        <v>7800</v>
      </c>
    </row>
    <row r="52" spans="1:12" x14ac:dyDescent="0.3">
      <c r="A52" s="787" t="s">
        <v>1851</v>
      </c>
      <c r="B52" s="789" t="s">
        <v>2209</v>
      </c>
      <c r="C52" s="785" t="s">
        <v>193</v>
      </c>
      <c r="D52" s="787">
        <v>0.5</v>
      </c>
      <c r="E52" s="791">
        <v>6100</v>
      </c>
      <c r="F52" s="792">
        <f t="shared" si="6"/>
        <v>3050</v>
      </c>
      <c r="G52" s="780">
        <f t="shared" si="1"/>
        <v>5083.3333333333339</v>
      </c>
      <c r="H52" s="780">
        <f t="shared" si="2"/>
        <v>2541.666666666667</v>
      </c>
      <c r="I52" s="3">
        <v>1.3</v>
      </c>
      <c r="J52" s="780">
        <f t="shared" si="3"/>
        <v>6608.3333333333339</v>
      </c>
      <c r="K52" s="780">
        <f t="shared" si="4"/>
        <v>3304.166666666667</v>
      </c>
      <c r="L52" s="780">
        <f t="shared" si="5"/>
        <v>3965</v>
      </c>
    </row>
    <row r="53" spans="1:12" x14ac:dyDescent="0.3">
      <c r="A53" s="787" t="s">
        <v>1853</v>
      </c>
      <c r="B53" s="789" t="s">
        <v>2210</v>
      </c>
      <c r="C53" s="785" t="s">
        <v>220</v>
      </c>
      <c r="D53" s="787">
        <v>8</v>
      </c>
      <c r="E53" s="791"/>
      <c r="F53" s="792">
        <f t="shared" si="6"/>
        <v>0</v>
      </c>
      <c r="G53" s="780">
        <f t="shared" si="1"/>
        <v>0</v>
      </c>
      <c r="H53" s="780">
        <f t="shared" si="2"/>
        <v>0</v>
      </c>
      <c r="I53" s="3"/>
      <c r="J53" s="780">
        <f t="shared" si="3"/>
        <v>0</v>
      </c>
      <c r="K53" s="780">
        <f t="shared" si="4"/>
        <v>0</v>
      </c>
      <c r="L53" s="780">
        <f t="shared" si="5"/>
        <v>0</v>
      </c>
    </row>
    <row r="54" spans="1:12" ht="28.2" x14ac:dyDescent="0.3">
      <c r="A54" s="787" t="s">
        <v>2009</v>
      </c>
      <c r="B54" s="790" t="s">
        <v>2265</v>
      </c>
      <c r="C54" s="785"/>
      <c r="D54" s="787"/>
      <c r="E54" s="791"/>
      <c r="F54" s="792">
        <f t="shared" si="6"/>
        <v>0</v>
      </c>
      <c r="G54" s="780">
        <f t="shared" si="1"/>
        <v>0</v>
      </c>
      <c r="H54" s="780">
        <f t="shared" si="2"/>
        <v>0</v>
      </c>
      <c r="I54" s="3"/>
      <c r="J54" s="780">
        <f t="shared" si="3"/>
        <v>0</v>
      </c>
      <c r="K54" s="780">
        <f t="shared" si="4"/>
        <v>0</v>
      </c>
      <c r="L54" s="780">
        <f t="shared" si="5"/>
        <v>0</v>
      </c>
    </row>
    <row r="55" spans="1:12" x14ac:dyDescent="0.3">
      <c r="A55" s="787" t="s">
        <v>2010</v>
      </c>
      <c r="B55" s="789" t="s">
        <v>2256</v>
      </c>
      <c r="C55" s="785" t="s">
        <v>193</v>
      </c>
      <c r="D55" s="787">
        <v>2.7</v>
      </c>
      <c r="E55" s="791">
        <f>5200+1000</f>
        <v>6200</v>
      </c>
      <c r="F55" s="792">
        <f t="shared" si="6"/>
        <v>16740</v>
      </c>
      <c r="G55" s="780">
        <f t="shared" si="1"/>
        <v>5166.666666666667</v>
      </c>
      <c r="H55" s="780">
        <f t="shared" si="2"/>
        <v>13950.000000000002</v>
      </c>
      <c r="I55" s="3">
        <v>1.3</v>
      </c>
      <c r="J55" s="780">
        <f t="shared" si="3"/>
        <v>6716.666666666667</v>
      </c>
      <c r="K55" s="780">
        <f t="shared" si="4"/>
        <v>18135.000000000004</v>
      </c>
      <c r="L55" s="780">
        <f t="shared" si="5"/>
        <v>21762.000000000004</v>
      </c>
    </row>
    <row r="56" spans="1:12" x14ac:dyDescent="0.3">
      <c r="A56" s="787" t="s">
        <v>2013</v>
      </c>
      <c r="B56" s="789" t="s">
        <v>2208</v>
      </c>
      <c r="C56" s="785" t="s">
        <v>193</v>
      </c>
      <c r="D56" s="787">
        <v>1.87</v>
      </c>
      <c r="E56" s="791">
        <v>6100</v>
      </c>
      <c r="F56" s="792">
        <f t="shared" si="6"/>
        <v>11407</v>
      </c>
      <c r="G56" s="780">
        <f t="shared" si="1"/>
        <v>5083.3333333333339</v>
      </c>
      <c r="H56" s="780">
        <f t="shared" si="2"/>
        <v>9505.8333333333358</v>
      </c>
      <c r="I56" s="3">
        <v>1.3</v>
      </c>
      <c r="J56" s="780">
        <f t="shared" si="3"/>
        <v>6608.3333333333339</v>
      </c>
      <c r="K56" s="780">
        <f t="shared" si="4"/>
        <v>12357.583333333336</v>
      </c>
      <c r="L56" s="780">
        <f t="shared" si="5"/>
        <v>14829.100000000002</v>
      </c>
    </row>
    <row r="57" spans="1:12" x14ac:dyDescent="0.3">
      <c r="A57" s="787" t="s">
        <v>2015</v>
      </c>
      <c r="B57" s="789" t="s">
        <v>2266</v>
      </c>
      <c r="C57" s="785" t="s">
        <v>220</v>
      </c>
      <c r="D57" s="787">
        <v>62</v>
      </c>
      <c r="E57" s="791">
        <f>200/2.9*1.36</f>
        <v>93.793103448275872</v>
      </c>
      <c r="F57" s="792">
        <f t="shared" si="6"/>
        <v>5815.1724137931042</v>
      </c>
      <c r="G57" s="780">
        <f t="shared" si="1"/>
        <v>78.160919540229898</v>
      </c>
      <c r="H57" s="780">
        <f t="shared" si="2"/>
        <v>4845.9770114942539</v>
      </c>
      <c r="I57" s="3">
        <v>1.3</v>
      </c>
      <c r="J57" s="780">
        <f t="shared" si="3"/>
        <v>101.60919540229887</v>
      </c>
      <c r="K57" s="780">
        <f t="shared" si="4"/>
        <v>6299.7701149425293</v>
      </c>
      <c r="L57" s="780">
        <f t="shared" si="5"/>
        <v>7559.7241379310344</v>
      </c>
    </row>
    <row r="58" spans="1:12" x14ac:dyDescent="0.3">
      <c r="A58" s="787" t="s">
        <v>2019</v>
      </c>
      <c r="B58" s="789" t="s">
        <v>2267</v>
      </c>
      <c r="C58" s="785" t="s">
        <v>220</v>
      </c>
      <c r="D58" s="787">
        <v>10</v>
      </c>
      <c r="E58" s="791">
        <f>760/2.9*4.62</f>
        <v>1210.7586206896553</v>
      </c>
      <c r="F58" s="792">
        <f t="shared" si="6"/>
        <v>12107.586206896554</v>
      </c>
      <c r="G58" s="780">
        <f t="shared" si="1"/>
        <v>1008.9655172413795</v>
      </c>
      <c r="H58" s="780">
        <f t="shared" si="2"/>
        <v>10089.655172413795</v>
      </c>
      <c r="I58" s="3">
        <v>1.3</v>
      </c>
      <c r="J58" s="780">
        <f t="shared" si="3"/>
        <v>1311.6551724137935</v>
      </c>
      <c r="K58" s="780">
        <f t="shared" si="4"/>
        <v>13116.551724137935</v>
      </c>
      <c r="L58" s="780">
        <f t="shared" si="5"/>
        <v>15739.862068965522</v>
      </c>
    </row>
    <row r="59" spans="1:12" x14ac:dyDescent="0.3">
      <c r="A59" s="787" t="s">
        <v>2022</v>
      </c>
      <c r="B59" s="789" t="s">
        <v>2268</v>
      </c>
      <c r="C59" s="785" t="s">
        <v>220</v>
      </c>
      <c r="D59" s="787">
        <v>5</v>
      </c>
      <c r="E59" s="791">
        <f>760/2.9*5.44</f>
        <v>1425.6551724137933</v>
      </c>
      <c r="F59" s="792">
        <f t="shared" si="6"/>
        <v>7128.2758620689665</v>
      </c>
      <c r="G59" s="780">
        <f t="shared" si="1"/>
        <v>1188.0459770114944</v>
      </c>
      <c r="H59" s="780">
        <f t="shared" si="2"/>
        <v>5940.2298850574716</v>
      </c>
      <c r="I59" s="3">
        <v>1.3</v>
      </c>
      <c r="J59" s="780">
        <f t="shared" si="3"/>
        <v>1544.4597701149428</v>
      </c>
      <c r="K59" s="780">
        <f t="shared" si="4"/>
        <v>7722.2988505747144</v>
      </c>
      <c r="L59" s="780">
        <f t="shared" si="5"/>
        <v>9266.7586206896576</v>
      </c>
    </row>
    <row r="60" spans="1:12" x14ac:dyDescent="0.3">
      <c r="A60" s="787" t="s">
        <v>2023</v>
      </c>
      <c r="B60" s="789" t="s">
        <v>2269</v>
      </c>
      <c r="C60" s="785" t="s">
        <v>220</v>
      </c>
      <c r="D60" s="787">
        <v>5</v>
      </c>
      <c r="E60" s="791">
        <f>760/2.9*3.09</f>
        <v>809.79310344827593</v>
      </c>
      <c r="F60" s="792">
        <f t="shared" si="6"/>
        <v>4048.9655172413795</v>
      </c>
      <c r="G60" s="780">
        <f t="shared" si="1"/>
        <v>674.82758620689663</v>
      </c>
      <c r="H60" s="780">
        <f t="shared" si="2"/>
        <v>3374.1379310344832</v>
      </c>
      <c r="I60" s="3">
        <v>1.3</v>
      </c>
      <c r="J60" s="780">
        <f t="shared" si="3"/>
        <v>877.27586206896569</v>
      </c>
      <c r="K60" s="780">
        <f t="shared" si="4"/>
        <v>4386.3793103448288</v>
      </c>
      <c r="L60" s="780">
        <f t="shared" si="5"/>
        <v>5263.6551724137944</v>
      </c>
    </row>
    <row r="61" spans="1:12" x14ac:dyDescent="0.3">
      <c r="A61" s="787" t="s">
        <v>2026</v>
      </c>
      <c r="B61" s="789" t="s">
        <v>2270</v>
      </c>
      <c r="C61" s="785" t="s">
        <v>254</v>
      </c>
      <c r="D61" s="787">
        <v>71.75</v>
      </c>
      <c r="E61" s="791">
        <f>4300/20</f>
        <v>215</v>
      </c>
      <c r="F61" s="792">
        <f t="shared" si="6"/>
        <v>15426.25</v>
      </c>
      <c r="G61" s="780">
        <f t="shared" si="1"/>
        <v>179.16666666666669</v>
      </c>
      <c r="H61" s="780">
        <f t="shared" si="2"/>
        <v>12855.208333333334</v>
      </c>
      <c r="I61" s="3">
        <v>1.3</v>
      </c>
      <c r="J61" s="780">
        <f t="shared" si="3"/>
        <v>232.91666666666669</v>
      </c>
      <c r="K61" s="780">
        <f t="shared" si="4"/>
        <v>16711.770833333336</v>
      </c>
      <c r="L61" s="780">
        <f t="shared" si="5"/>
        <v>20054.125000000004</v>
      </c>
    </row>
    <row r="62" spans="1:12" x14ac:dyDescent="0.3">
      <c r="A62" s="787" t="s">
        <v>2054</v>
      </c>
      <c r="B62" s="789" t="s">
        <v>2271</v>
      </c>
      <c r="C62" s="785" t="s">
        <v>254</v>
      </c>
      <c r="D62" s="787">
        <v>15.4</v>
      </c>
      <c r="E62" s="791">
        <f>4300/20</f>
        <v>215</v>
      </c>
      <c r="F62" s="792">
        <f t="shared" si="6"/>
        <v>3311</v>
      </c>
      <c r="G62" s="780">
        <f t="shared" si="1"/>
        <v>179.16666666666669</v>
      </c>
      <c r="H62" s="780">
        <f t="shared" si="2"/>
        <v>2759.166666666667</v>
      </c>
      <c r="I62" s="3">
        <v>1.3</v>
      </c>
      <c r="J62" s="780">
        <f t="shared" si="3"/>
        <v>232.91666666666669</v>
      </c>
      <c r="K62" s="780">
        <f t="shared" si="4"/>
        <v>3586.916666666667</v>
      </c>
      <c r="L62" s="780">
        <f t="shared" si="5"/>
        <v>4304.3</v>
      </c>
    </row>
    <row r="63" spans="1:12" ht="28.2" x14ac:dyDescent="0.3">
      <c r="A63" s="787" t="s">
        <v>2057</v>
      </c>
      <c r="B63" s="789" t="s">
        <v>2272</v>
      </c>
      <c r="C63" s="785" t="s">
        <v>220</v>
      </c>
      <c r="D63" s="787">
        <v>8</v>
      </c>
      <c r="E63" s="791">
        <v>1407</v>
      </c>
      <c r="F63" s="792">
        <f t="shared" si="6"/>
        <v>11256</v>
      </c>
      <c r="G63" s="780">
        <f t="shared" si="1"/>
        <v>1172.5</v>
      </c>
      <c r="H63" s="780">
        <f t="shared" si="2"/>
        <v>9380</v>
      </c>
      <c r="I63" s="3">
        <v>1.3</v>
      </c>
      <c r="J63" s="780">
        <f t="shared" si="3"/>
        <v>1524.25</v>
      </c>
      <c r="K63" s="780">
        <f t="shared" si="4"/>
        <v>12194</v>
      </c>
      <c r="L63" s="780">
        <f t="shared" si="5"/>
        <v>14632.8</v>
      </c>
    </row>
    <row r="64" spans="1:12" s="1" customFormat="1" x14ac:dyDescent="0.3">
      <c r="A64" s="809" t="s">
        <v>2062</v>
      </c>
      <c r="B64" s="790" t="s">
        <v>2211</v>
      </c>
      <c r="C64" s="810"/>
      <c r="D64" s="809"/>
      <c r="E64" s="153"/>
      <c r="F64" s="797"/>
      <c r="G64" s="808">
        <f t="shared" si="1"/>
        <v>0</v>
      </c>
      <c r="H64" s="808">
        <f t="shared" si="2"/>
        <v>0</v>
      </c>
      <c r="I64" s="4"/>
      <c r="J64" s="780">
        <f t="shared" si="3"/>
        <v>0</v>
      </c>
      <c r="K64" s="780">
        <f t="shared" si="4"/>
        <v>0</v>
      </c>
      <c r="L64" s="780">
        <f t="shared" si="5"/>
        <v>0</v>
      </c>
    </row>
    <row r="65" spans="1:12" s="1" customFormat="1" x14ac:dyDescent="0.3">
      <c r="A65" s="809" t="s">
        <v>2065</v>
      </c>
      <c r="B65" s="790" t="s">
        <v>2212</v>
      </c>
      <c r="C65" s="810"/>
      <c r="D65" s="809"/>
      <c r="E65" s="153"/>
      <c r="F65" s="797"/>
      <c r="G65" s="808">
        <f t="shared" si="1"/>
        <v>0</v>
      </c>
      <c r="H65" s="808">
        <f t="shared" si="2"/>
        <v>0</v>
      </c>
      <c r="I65" s="4"/>
      <c r="J65" s="780">
        <f t="shared" si="3"/>
        <v>0</v>
      </c>
      <c r="K65" s="780">
        <f t="shared" si="4"/>
        <v>0</v>
      </c>
      <c r="L65" s="780">
        <f t="shared" si="5"/>
        <v>0</v>
      </c>
    </row>
    <row r="66" spans="1:12" x14ac:dyDescent="0.3">
      <c r="A66" s="787" t="s">
        <v>2067</v>
      </c>
      <c r="B66" s="789" t="s">
        <v>2213</v>
      </c>
      <c r="C66" s="785" t="s">
        <v>239</v>
      </c>
      <c r="D66" s="787">
        <v>2.7</v>
      </c>
      <c r="E66" s="791">
        <v>175097</v>
      </c>
      <c r="F66" s="792">
        <f>E66*D66</f>
        <v>472761.9</v>
      </c>
      <c r="G66" s="780">
        <f t="shared" si="1"/>
        <v>145914.16666666669</v>
      </c>
      <c r="H66" s="780">
        <f t="shared" si="2"/>
        <v>393968.25000000006</v>
      </c>
      <c r="I66" s="3">
        <v>1.3</v>
      </c>
      <c r="J66" s="780">
        <f t="shared" si="3"/>
        <v>189688.41666666669</v>
      </c>
      <c r="K66" s="780">
        <f t="shared" si="4"/>
        <v>512158.72500000009</v>
      </c>
      <c r="L66" s="780">
        <f t="shared" si="5"/>
        <v>614590.47000000009</v>
      </c>
    </row>
    <row r="67" spans="1:12" x14ac:dyDescent="0.3">
      <c r="A67" s="787" t="s">
        <v>2069</v>
      </c>
      <c r="B67" s="789" t="s">
        <v>2214</v>
      </c>
      <c r="C67" s="785" t="s">
        <v>239</v>
      </c>
      <c r="D67" s="787">
        <v>7.0000000000000007E-2</v>
      </c>
      <c r="E67" s="791">
        <v>175097</v>
      </c>
      <c r="F67" s="792">
        <f>E67*D67</f>
        <v>12256.79</v>
      </c>
      <c r="G67" s="780">
        <f t="shared" si="1"/>
        <v>145914.16666666669</v>
      </c>
      <c r="H67" s="780">
        <f t="shared" si="2"/>
        <v>10213.991666666669</v>
      </c>
      <c r="I67" s="3">
        <v>1.3</v>
      </c>
      <c r="J67" s="780">
        <f t="shared" si="3"/>
        <v>189688.41666666669</v>
      </c>
      <c r="K67" s="780">
        <f t="shared" si="4"/>
        <v>13278.189166666669</v>
      </c>
      <c r="L67" s="780">
        <f t="shared" si="5"/>
        <v>15933.827000000001</v>
      </c>
    </row>
    <row r="68" spans="1:12" x14ac:dyDescent="0.3">
      <c r="A68" s="787" t="s">
        <v>2071</v>
      </c>
      <c r="B68" s="789" t="s">
        <v>2273</v>
      </c>
      <c r="C68" s="785" t="s">
        <v>239</v>
      </c>
      <c r="D68" s="787">
        <v>0.2</v>
      </c>
      <c r="E68" s="791">
        <v>175097</v>
      </c>
      <c r="F68" s="792">
        <f>E68*D68</f>
        <v>35019.4</v>
      </c>
      <c r="G68" s="780">
        <f t="shared" ref="G68:G89" si="7">E68/1.2</f>
        <v>145914.16666666669</v>
      </c>
      <c r="H68" s="780">
        <f t="shared" ref="H68:H89" si="8">D68*G68</f>
        <v>29182.833333333339</v>
      </c>
      <c r="I68" s="3">
        <v>1.3</v>
      </c>
      <c r="J68" s="780">
        <f t="shared" ref="J68:J89" si="9">G68*I68</f>
        <v>189688.41666666669</v>
      </c>
      <c r="K68" s="780">
        <f t="shared" ref="K68:K89" si="10">D68*J68</f>
        <v>37937.683333333342</v>
      </c>
      <c r="L68" s="780">
        <f t="shared" ref="L68:L89" si="11">K68*1.2</f>
        <v>45525.220000000008</v>
      </c>
    </row>
    <row r="69" spans="1:12" x14ac:dyDescent="0.3">
      <c r="A69" s="787" t="s">
        <v>2073</v>
      </c>
      <c r="B69" s="789" t="s">
        <v>2241</v>
      </c>
      <c r="C69" s="785" t="s">
        <v>239</v>
      </c>
      <c r="D69" s="787">
        <v>0.06</v>
      </c>
      <c r="E69" s="791">
        <v>175097</v>
      </c>
      <c r="F69" s="792">
        <f>E69*D69</f>
        <v>10505.82</v>
      </c>
      <c r="G69" s="780">
        <f t="shared" si="7"/>
        <v>145914.16666666669</v>
      </c>
      <c r="H69" s="780">
        <f t="shared" si="8"/>
        <v>8754.85</v>
      </c>
      <c r="I69" s="3">
        <v>1.3</v>
      </c>
      <c r="J69" s="780">
        <f t="shared" si="9"/>
        <v>189688.41666666669</v>
      </c>
      <c r="K69" s="780">
        <f t="shared" si="10"/>
        <v>11381.305</v>
      </c>
      <c r="L69" s="780">
        <f t="shared" si="11"/>
        <v>13657.566000000001</v>
      </c>
    </row>
    <row r="70" spans="1:12" x14ac:dyDescent="0.3">
      <c r="A70" s="787" t="s">
        <v>2075</v>
      </c>
      <c r="B70" s="789" t="s">
        <v>2242</v>
      </c>
      <c r="C70" s="785" t="s">
        <v>239</v>
      </c>
      <c r="D70" s="787">
        <v>0.18</v>
      </c>
      <c r="E70" s="791">
        <v>175097</v>
      </c>
      <c r="F70" s="792">
        <f>E70*D70</f>
        <v>31517.46</v>
      </c>
      <c r="G70" s="780">
        <f t="shared" si="7"/>
        <v>145914.16666666669</v>
      </c>
      <c r="H70" s="780">
        <f t="shared" si="8"/>
        <v>26264.550000000003</v>
      </c>
      <c r="I70" s="3">
        <v>1.3</v>
      </c>
      <c r="J70" s="780">
        <f t="shared" si="9"/>
        <v>189688.41666666669</v>
      </c>
      <c r="K70" s="780">
        <f t="shared" si="10"/>
        <v>34143.915000000001</v>
      </c>
      <c r="L70" s="780">
        <f t="shared" si="11"/>
        <v>40972.697999999997</v>
      </c>
    </row>
    <row r="71" spans="1:12" x14ac:dyDescent="0.3">
      <c r="A71" s="787" t="s">
        <v>2077</v>
      </c>
      <c r="B71" s="789" t="s">
        <v>2215</v>
      </c>
      <c r="C71" s="785"/>
      <c r="D71" s="787"/>
      <c r="E71" s="791"/>
      <c r="F71" s="792"/>
      <c r="G71" s="780">
        <f t="shared" si="7"/>
        <v>0</v>
      </c>
      <c r="H71" s="780">
        <f t="shared" si="8"/>
        <v>0</v>
      </c>
      <c r="I71" s="3">
        <v>1.3</v>
      </c>
      <c r="J71" s="780">
        <f t="shared" si="9"/>
        <v>0</v>
      </c>
      <c r="K71" s="780">
        <f t="shared" si="10"/>
        <v>0</v>
      </c>
      <c r="L71" s="780">
        <f t="shared" si="11"/>
        <v>0</v>
      </c>
    </row>
    <row r="72" spans="1:12" x14ac:dyDescent="0.3">
      <c r="A72" s="787" t="s">
        <v>2081</v>
      </c>
      <c r="B72" s="789" t="s">
        <v>2216</v>
      </c>
      <c r="C72" s="785" t="s">
        <v>239</v>
      </c>
      <c r="D72" s="787">
        <v>1.2</v>
      </c>
      <c r="E72" s="791">
        <v>175097</v>
      </c>
      <c r="F72" s="792">
        <f>E72*D72</f>
        <v>210116.4</v>
      </c>
      <c r="G72" s="780">
        <f t="shared" si="7"/>
        <v>145914.16666666669</v>
      </c>
      <c r="H72" s="780">
        <f t="shared" si="8"/>
        <v>175097.00000000003</v>
      </c>
      <c r="I72" s="3">
        <v>1.3</v>
      </c>
      <c r="J72" s="780">
        <f t="shared" si="9"/>
        <v>189688.41666666669</v>
      </c>
      <c r="K72" s="780">
        <f t="shared" si="10"/>
        <v>227626.1</v>
      </c>
      <c r="L72" s="780">
        <f t="shared" si="11"/>
        <v>273151.32</v>
      </c>
    </row>
    <row r="73" spans="1:12" x14ac:dyDescent="0.3">
      <c r="A73" s="787" t="s">
        <v>2089</v>
      </c>
      <c r="B73" s="789" t="s">
        <v>2274</v>
      </c>
      <c r="C73" s="785" t="s">
        <v>239</v>
      </c>
      <c r="D73" s="787">
        <v>0.3</v>
      </c>
      <c r="E73" s="791">
        <v>175097</v>
      </c>
      <c r="F73" s="792">
        <f>E73*D73</f>
        <v>52529.1</v>
      </c>
      <c r="G73" s="780">
        <f t="shared" si="7"/>
        <v>145914.16666666669</v>
      </c>
      <c r="H73" s="780">
        <f t="shared" si="8"/>
        <v>43774.250000000007</v>
      </c>
      <c r="I73" s="3">
        <v>1.3</v>
      </c>
      <c r="J73" s="780">
        <f t="shared" si="9"/>
        <v>189688.41666666669</v>
      </c>
      <c r="K73" s="780">
        <f t="shared" si="10"/>
        <v>56906.525000000001</v>
      </c>
      <c r="L73" s="780">
        <f t="shared" si="11"/>
        <v>68287.83</v>
      </c>
    </row>
    <row r="74" spans="1:12" x14ac:dyDescent="0.3">
      <c r="A74" s="787" t="s">
        <v>789</v>
      </c>
      <c r="B74" s="789" t="s">
        <v>2217</v>
      </c>
      <c r="C74" s="785"/>
      <c r="D74" s="787"/>
      <c r="E74" s="791"/>
      <c r="F74" s="792"/>
      <c r="G74" s="780">
        <f t="shared" si="7"/>
        <v>0</v>
      </c>
      <c r="H74" s="780">
        <f t="shared" si="8"/>
        <v>0</v>
      </c>
      <c r="I74" s="3">
        <v>1.3</v>
      </c>
      <c r="J74" s="780">
        <f t="shared" si="9"/>
        <v>0</v>
      </c>
      <c r="K74" s="780">
        <f t="shared" si="10"/>
        <v>0</v>
      </c>
      <c r="L74" s="780">
        <f t="shared" si="11"/>
        <v>0</v>
      </c>
    </row>
    <row r="75" spans="1:12" x14ac:dyDescent="0.3">
      <c r="A75" s="787" t="s">
        <v>2218</v>
      </c>
      <c r="B75" s="789" t="s">
        <v>2219</v>
      </c>
      <c r="C75" s="785" t="s">
        <v>239</v>
      </c>
      <c r="D75" s="787">
        <v>0.7</v>
      </c>
      <c r="E75" s="791">
        <v>175097</v>
      </c>
      <c r="F75" s="792">
        <f t="shared" ref="F75:F87" si="12">E75*D75</f>
        <v>122567.9</v>
      </c>
      <c r="G75" s="780">
        <f t="shared" si="7"/>
        <v>145914.16666666669</v>
      </c>
      <c r="H75" s="780">
        <f t="shared" si="8"/>
        <v>102139.91666666667</v>
      </c>
      <c r="I75" s="3">
        <v>1.3</v>
      </c>
      <c r="J75" s="780">
        <f t="shared" si="9"/>
        <v>189688.41666666669</v>
      </c>
      <c r="K75" s="780">
        <f t="shared" si="10"/>
        <v>132781.89166666666</v>
      </c>
      <c r="L75" s="780">
        <f t="shared" si="11"/>
        <v>159338.26999999999</v>
      </c>
    </row>
    <row r="76" spans="1:12" x14ac:dyDescent="0.3">
      <c r="A76" s="787" t="s">
        <v>2220</v>
      </c>
      <c r="B76" s="789" t="s">
        <v>2241</v>
      </c>
      <c r="C76" s="785" t="s">
        <v>2221</v>
      </c>
      <c r="D76" s="787">
        <v>2.4E-2</v>
      </c>
      <c r="E76" s="791">
        <v>175097</v>
      </c>
      <c r="F76" s="792">
        <f t="shared" si="12"/>
        <v>4202.3280000000004</v>
      </c>
      <c r="G76" s="780">
        <f t="shared" si="7"/>
        <v>145914.16666666669</v>
      </c>
      <c r="H76" s="780">
        <f t="shared" si="8"/>
        <v>3501.9400000000005</v>
      </c>
      <c r="I76" s="3">
        <v>1.3</v>
      </c>
      <c r="J76" s="780">
        <f t="shared" si="9"/>
        <v>189688.41666666669</v>
      </c>
      <c r="K76" s="780">
        <f t="shared" si="10"/>
        <v>4552.5220000000008</v>
      </c>
      <c r="L76" s="780">
        <f t="shared" si="11"/>
        <v>5463.0264000000006</v>
      </c>
    </row>
    <row r="77" spans="1:12" x14ac:dyDescent="0.3">
      <c r="A77" s="787" t="s">
        <v>2222</v>
      </c>
      <c r="B77" s="789" t="s">
        <v>2275</v>
      </c>
      <c r="C77" s="785" t="s">
        <v>239</v>
      </c>
      <c r="D77" s="787">
        <v>0.254</v>
      </c>
      <c r="E77" s="791">
        <v>175097</v>
      </c>
      <c r="F77" s="792">
        <f t="shared" si="12"/>
        <v>44474.637999999999</v>
      </c>
      <c r="G77" s="780">
        <f t="shared" si="7"/>
        <v>145914.16666666669</v>
      </c>
      <c r="H77" s="780">
        <f t="shared" si="8"/>
        <v>37062.198333333341</v>
      </c>
      <c r="I77" s="3">
        <v>1.3</v>
      </c>
      <c r="J77" s="780">
        <f t="shared" si="9"/>
        <v>189688.41666666669</v>
      </c>
      <c r="K77" s="780">
        <f t="shared" si="10"/>
        <v>48180.857833333343</v>
      </c>
      <c r="L77" s="780">
        <f t="shared" si="11"/>
        <v>57817.029400000007</v>
      </c>
    </row>
    <row r="78" spans="1:12" x14ac:dyDescent="0.3">
      <c r="A78" s="787"/>
      <c r="B78" s="789" t="s">
        <v>2276</v>
      </c>
      <c r="C78" s="785" t="s">
        <v>220</v>
      </c>
      <c r="D78" s="787">
        <v>25</v>
      </c>
      <c r="E78" s="791">
        <v>800</v>
      </c>
      <c r="F78" s="792">
        <f t="shared" si="12"/>
        <v>20000</v>
      </c>
      <c r="G78" s="780">
        <f t="shared" si="7"/>
        <v>666.66666666666674</v>
      </c>
      <c r="H78" s="780">
        <f t="shared" si="8"/>
        <v>16666.666666666668</v>
      </c>
      <c r="I78" s="3">
        <v>1.3</v>
      </c>
      <c r="J78" s="780">
        <f t="shared" si="9"/>
        <v>866.66666666666674</v>
      </c>
      <c r="K78" s="780">
        <f t="shared" si="10"/>
        <v>21666.666666666668</v>
      </c>
      <c r="L78" s="780">
        <f t="shared" si="11"/>
        <v>26000</v>
      </c>
    </row>
    <row r="79" spans="1:12" x14ac:dyDescent="0.3">
      <c r="A79" s="787" t="s">
        <v>2223</v>
      </c>
      <c r="B79" s="789" t="s">
        <v>2224</v>
      </c>
      <c r="C79" s="785" t="s">
        <v>254</v>
      </c>
      <c r="D79" s="787">
        <v>12.3</v>
      </c>
      <c r="E79" s="791">
        <f>2100/12</f>
        <v>175</v>
      </c>
      <c r="F79" s="792">
        <f t="shared" si="12"/>
        <v>2152.5</v>
      </c>
      <c r="G79" s="780">
        <f t="shared" si="7"/>
        <v>145.83333333333334</v>
      </c>
      <c r="H79" s="780">
        <f t="shared" si="8"/>
        <v>1793.7500000000002</v>
      </c>
      <c r="I79" s="3">
        <v>1.3</v>
      </c>
      <c r="J79" s="780">
        <f t="shared" si="9"/>
        <v>189.58333333333334</v>
      </c>
      <c r="K79" s="780">
        <f t="shared" si="10"/>
        <v>2331.8750000000005</v>
      </c>
      <c r="L79" s="780">
        <f t="shared" si="11"/>
        <v>2798.2500000000005</v>
      </c>
    </row>
    <row r="80" spans="1:12" x14ac:dyDescent="0.3">
      <c r="A80" s="787" t="s">
        <v>2225</v>
      </c>
      <c r="B80" s="789" t="s">
        <v>2226</v>
      </c>
      <c r="C80" s="785" t="s">
        <v>254</v>
      </c>
      <c r="D80" s="787">
        <v>70.7</v>
      </c>
      <c r="E80" s="791">
        <f>750/1.9</f>
        <v>394.73684210526318</v>
      </c>
      <c r="F80" s="792">
        <f t="shared" si="12"/>
        <v>27907.894736842107</v>
      </c>
      <c r="G80" s="780">
        <f t="shared" si="7"/>
        <v>328.94736842105266</v>
      </c>
      <c r="H80" s="780">
        <f t="shared" si="8"/>
        <v>23256.578947368424</v>
      </c>
      <c r="I80" s="3">
        <v>1.3</v>
      </c>
      <c r="J80" s="780">
        <f t="shared" si="9"/>
        <v>427.6315789473685</v>
      </c>
      <c r="K80" s="780">
        <f t="shared" si="10"/>
        <v>30233.552631578954</v>
      </c>
      <c r="L80" s="780">
        <f t="shared" si="11"/>
        <v>36280.26315789474</v>
      </c>
    </row>
    <row r="81" spans="1:12" x14ac:dyDescent="0.3">
      <c r="A81" s="795">
        <v>88</v>
      </c>
      <c r="B81" s="789" t="s">
        <v>2277</v>
      </c>
      <c r="C81" s="785" t="s">
        <v>220</v>
      </c>
      <c r="D81" s="787">
        <v>8</v>
      </c>
      <c r="E81" s="791">
        <v>286</v>
      </c>
      <c r="F81" s="792">
        <f t="shared" si="12"/>
        <v>2288</v>
      </c>
      <c r="G81" s="780">
        <f t="shared" si="7"/>
        <v>238.33333333333334</v>
      </c>
      <c r="H81" s="780">
        <f t="shared" si="8"/>
        <v>1906.6666666666667</v>
      </c>
      <c r="I81" s="3">
        <v>1.3</v>
      </c>
      <c r="J81" s="780">
        <f t="shared" si="9"/>
        <v>309.83333333333337</v>
      </c>
      <c r="K81" s="780">
        <f t="shared" si="10"/>
        <v>2478.666666666667</v>
      </c>
      <c r="L81" s="780">
        <f t="shared" si="11"/>
        <v>2974.4</v>
      </c>
    </row>
    <row r="82" spans="1:12" x14ac:dyDescent="0.3">
      <c r="A82" s="809" t="s">
        <v>2227</v>
      </c>
      <c r="B82" s="790" t="s">
        <v>2228</v>
      </c>
      <c r="C82" s="785"/>
      <c r="D82" s="787"/>
      <c r="E82" s="791"/>
      <c r="F82" s="792">
        <f t="shared" si="12"/>
        <v>0</v>
      </c>
      <c r="G82" s="780">
        <f t="shared" si="7"/>
        <v>0</v>
      </c>
      <c r="H82" s="780">
        <f t="shared" si="8"/>
        <v>0</v>
      </c>
      <c r="I82" s="3"/>
      <c r="J82" s="780">
        <f t="shared" si="9"/>
        <v>0</v>
      </c>
      <c r="K82" s="780">
        <f t="shared" si="10"/>
        <v>0</v>
      </c>
      <c r="L82" s="780">
        <f t="shared" si="11"/>
        <v>0</v>
      </c>
    </row>
    <row r="83" spans="1:12" ht="28.2" x14ac:dyDescent="0.3">
      <c r="A83" s="787" t="s">
        <v>2229</v>
      </c>
      <c r="B83" s="789" t="s">
        <v>2278</v>
      </c>
      <c r="C83" s="785" t="s">
        <v>431</v>
      </c>
      <c r="D83" s="787">
        <v>23.18</v>
      </c>
      <c r="E83" s="791">
        <v>1700</v>
      </c>
      <c r="F83" s="792">
        <f t="shared" si="12"/>
        <v>39406</v>
      </c>
      <c r="G83" s="780">
        <f t="shared" si="7"/>
        <v>1416.6666666666667</v>
      </c>
      <c r="H83" s="780">
        <f t="shared" si="8"/>
        <v>32838.333333333336</v>
      </c>
      <c r="I83" s="3">
        <v>1.3</v>
      </c>
      <c r="J83" s="780">
        <f t="shared" si="9"/>
        <v>1841.6666666666667</v>
      </c>
      <c r="K83" s="780">
        <f t="shared" si="10"/>
        <v>42689.833333333336</v>
      </c>
      <c r="L83" s="780">
        <f t="shared" si="11"/>
        <v>51227.8</v>
      </c>
    </row>
    <row r="84" spans="1:12" ht="28.2" x14ac:dyDescent="0.3">
      <c r="A84" s="787" t="s">
        <v>2230</v>
      </c>
      <c r="B84" s="789" t="s">
        <v>2279</v>
      </c>
      <c r="C84" s="785" t="s">
        <v>431</v>
      </c>
      <c r="D84" s="787">
        <v>0.27</v>
      </c>
      <c r="E84" s="791">
        <v>1700</v>
      </c>
      <c r="F84" s="792">
        <f t="shared" si="12"/>
        <v>459.00000000000006</v>
      </c>
      <c r="G84" s="780">
        <f t="shared" si="7"/>
        <v>1416.6666666666667</v>
      </c>
      <c r="H84" s="780">
        <f t="shared" si="8"/>
        <v>382.50000000000006</v>
      </c>
      <c r="I84" s="3">
        <v>1.3</v>
      </c>
      <c r="J84" s="780">
        <f t="shared" si="9"/>
        <v>1841.6666666666667</v>
      </c>
      <c r="K84" s="780">
        <f t="shared" si="10"/>
        <v>497.25000000000006</v>
      </c>
      <c r="L84" s="780">
        <f t="shared" si="11"/>
        <v>596.70000000000005</v>
      </c>
    </row>
    <row r="85" spans="1:12" ht="28.2" x14ac:dyDescent="0.3">
      <c r="A85" s="787" t="s">
        <v>2231</v>
      </c>
      <c r="B85" s="789" t="s">
        <v>2280</v>
      </c>
      <c r="C85" s="785" t="s">
        <v>431</v>
      </c>
      <c r="D85" s="787">
        <v>0.19500000000000001</v>
      </c>
      <c r="E85" s="791">
        <v>1700</v>
      </c>
      <c r="F85" s="792">
        <f t="shared" si="12"/>
        <v>331.5</v>
      </c>
      <c r="G85" s="780">
        <f t="shared" si="7"/>
        <v>1416.6666666666667</v>
      </c>
      <c r="H85" s="780">
        <f t="shared" si="8"/>
        <v>276.25</v>
      </c>
      <c r="I85" s="3">
        <v>1.3</v>
      </c>
      <c r="J85" s="780">
        <f t="shared" si="9"/>
        <v>1841.6666666666667</v>
      </c>
      <c r="K85" s="780">
        <f t="shared" si="10"/>
        <v>359.125</v>
      </c>
      <c r="L85" s="780">
        <f t="shared" si="11"/>
        <v>430.95</v>
      </c>
    </row>
    <row r="86" spans="1:12" ht="28.2" x14ac:dyDescent="0.3">
      <c r="A86" s="787" t="s">
        <v>2232</v>
      </c>
      <c r="B86" s="789" t="s">
        <v>2281</v>
      </c>
      <c r="C86" s="785" t="s">
        <v>431</v>
      </c>
      <c r="D86" s="787">
        <v>22.57</v>
      </c>
      <c r="E86" s="791">
        <v>1700</v>
      </c>
      <c r="F86" s="792">
        <f t="shared" si="12"/>
        <v>38369</v>
      </c>
      <c r="G86" s="780">
        <f t="shared" si="7"/>
        <v>1416.6666666666667</v>
      </c>
      <c r="H86" s="780">
        <f t="shared" si="8"/>
        <v>31974.166666666668</v>
      </c>
      <c r="I86" s="3">
        <v>1.3</v>
      </c>
      <c r="J86" s="780">
        <f t="shared" si="9"/>
        <v>1841.6666666666667</v>
      </c>
      <c r="K86" s="780">
        <f t="shared" si="10"/>
        <v>41566.416666666672</v>
      </c>
      <c r="L86" s="780">
        <f t="shared" si="11"/>
        <v>49879.700000000004</v>
      </c>
    </row>
    <row r="87" spans="1:12" x14ac:dyDescent="0.3">
      <c r="A87" s="787" t="s">
        <v>2233</v>
      </c>
      <c r="B87" s="789" t="s">
        <v>2282</v>
      </c>
      <c r="C87" s="785" t="s">
        <v>431</v>
      </c>
      <c r="D87" s="787">
        <v>12.6</v>
      </c>
      <c r="E87" s="791">
        <v>1700</v>
      </c>
      <c r="F87" s="792">
        <f t="shared" si="12"/>
        <v>21420</v>
      </c>
      <c r="G87" s="780">
        <f t="shared" si="7"/>
        <v>1416.6666666666667</v>
      </c>
      <c r="H87" s="780">
        <f t="shared" si="8"/>
        <v>17850</v>
      </c>
      <c r="I87" s="3">
        <v>1.3</v>
      </c>
      <c r="J87" s="780">
        <f t="shared" si="9"/>
        <v>1841.6666666666667</v>
      </c>
      <c r="K87" s="780">
        <f t="shared" si="10"/>
        <v>23205</v>
      </c>
      <c r="L87" s="780">
        <f t="shared" si="11"/>
        <v>27846</v>
      </c>
    </row>
    <row r="88" spans="1:12" x14ac:dyDescent="0.3">
      <c r="A88" s="787" t="s">
        <v>2234</v>
      </c>
      <c r="B88" s="789"/>
      <c r="C88" s="785"/>
      <c r="D88" s="787"/>
      <c r="E88" s="791"/>
      <c r="F88" s="792"/>
      <c r="G88" s="780">
        <f t="shared" si="7"/>
        <v>0</v>
      </c>
      <c r="H88" s="780">
        <f t="shared" si="8"/>
        <v>0</v>
      </c>
      <c r="I88" s="3">
        <v>1.3</v>
      </c>
      <c r="J88" s="780">
        <f t="shared" si="9"/>
        <v>0</v>
      </c>
      <c r="K88" s="780">
        <f t="shared" si="10"/>
        <v>0</v>
      </c>
      <c r="L88" s="780">
        <f t="shared" si="11"/>
        <v>0</v>
      </c>
    </row>
    <row r="89" spans="1:12" x14ac:dyDescent="0.3">
      <c r="A89" s="787" t="s">
        <v>2235</v>
      </c>
      <c r="B89" s="789" t="s">
        <v>2236</v>
      </c>
      <c r="C89" s="785" t="s">
        <v>220</v>
      </c>
      <c r="D89" s="785">
        <v>4</v>
      </c>
      <c r="E89" s="791">
        <v>62</v>
      </c>
      <c r="F89" s="792">
        <f>E89*D89</f>
        <v>248</v>
      </c>
      <c r="G89" s="780">
        <f t="shared" si="7"/>
        <v>51.666666666666671</v>
      </c>
      <c r="H89" s="780">
        <f t="shared" si="8"/>
        <v>206.66666666666669</v>
      </c>
      <c r="I89" s="3">
        <v>1.3</v>
      </c>
      <c r="J89" s="780">
        <f t="shared" si="9"/>
        <v>67.166666666666671</v>
      </c>
      <c r="K89" s="780">
        <f t="shared" si="10"/>
        <v>268.66666666666669</v>
      </c>
      <c r="L89" s="780">
        <f t="shared" si="11"/>
        <v>322.40000000000003</v>
      </c>
    </row>
    <row r="90" spans="1:12" x14ac:dyDescent="0.3">
      <c r="A90" s="795"/>
      <c r="B90" s="796" t="s">
        <v>2237</v>
      </c>
      <c r="C90" s="120"/>
      <c r="D90" s="120"/>
      <c r="E90" s="120"/>
      <c r="F90" s="797">
        <f>SUM(F3:F89)</f>
        <v>3590422.0597279025</v>
      </c>
      <c r="G90" s="808"/>
      <c r="H90" s="797">
        <f>SUM(H3:H89)</f>
        <v>2992018.3831065842</v>
      </c>
      <c r="I90" s="3"/>
      <c r="J90" s="3"/>
      <c r="K90" s="797">
        <f t="shared" ref="K90:L90" si="13">SUM(K3:K89)</f>
        <v>3889623.8980385596</v>
      </c>
      <c r="L90" s="797">
        <f t="shared" si="13"/>
        <v>4667548.6776462728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C192-568A-4110-AAB0-C21871EF631E}">
  <dimension ref="A1:K75"/>
  <sheetViews>
    <sheetView topLeftCell="A7" zoomScale="85" zoomScaleNormal="85" workbookViewId="0">
      <selection activeCell="A11" sqref="A11:XFD11"/>
    </sheetView>
  </sheetViews>
  <sheetFormatPr defaultRowHeight="13.8" x14ac:dyDescent="0.3"/>
  <cols>
    <col min="1" max="1" width="7.21875" style="536" bestFit="1" customWidth="1"/>
    <col min="2" max="2" width="63" style="537" customWidth="1"/>
    <col min="3" max="3" width="22.88671875" style="536" bestFit="1" customWidth="1"/>
    <col min="4" max="4" width="8.77734375" style="536" bestFit="1" customWidth="1"/>
    <col min="5" max="5" width="26.21875" style="536" hidden="1" customWidth="1"/>
    <col min="6" max="6" width="13.6640625" style="538" customWidth="1"/>
    <col min="7" max="7" width="15.88671875" style="527" bestFit="1" customWidth="1"/>
    <col min="8" max="8" width="16.21875" style="527" bestFit="1" customWidth="1"/>
    <col min="9" max="11" width="21.88671875" style="527" customWidth="1"/>
    <col min="12" max="16384" width="8.88671875" style="527"/>
  </cols>
  <sheetData>
    <row r="1" spans="1:8" ht="64.2" customHeight="1" x14ac:dyDescent="0.3">
      <c r="A1" s="890" t="s">
        <v>2172</v>
      </c>
      <c r="B1" s="890"/>
      <c r="C1" s="890"/>
      <c r="D1" s="890"/>
      <c r="E1" s="890"/>
      <c r="F1" s="890"/>
      <c r="G1" s="890"/>
      <c r="H1" s="890"/>
    </row>
    <row r="2" spans="1:8" ht="27.6" x14ac:dyDescent="0.3">
      <c r="A2" s="379" t="s">
        <v>226</v>
      </c>
      <c r="B2" s="379" t="s">
        <v>3</v>
      </c>
      <c r="C2" s="379" t="s">
        <v>228</v>
      </c>
      <c r="D2" s="379" t="s">
        <v>2104</v>
      </c>
      <c r="E2" s="539" t="s">
        <v>2105</v>
      </c>
      <c r="F2" s="608" t="s">
        <v>2106</v>
      </c>
      <c r="G2" s="528" t="s">
        <v>2107</v>
      </c>
      <c r="H2" s="528" t="s">
        <v>198</v>
      </c>
    </row>
    <row r="3" spans="1:8" x14ac:dyDescent="0.3">
      <c r="A3" s="540">
        <v>1</v>
      </c>
      <c r="B3" s="540">
        <v>2</v>
      </c>
      <c r="C3" s="540">
        <v>3</v>
      </c>
      <c r="D3" s="540">
        <v>4</v>
      </c>
      <c r="E3" s="541">
        <v>5</v>
      </c>
      <c r="F3" s="529"/>
      <c r="G3" s="530"/>
      <c r="H3" s="530"/>
    </row>
    <row r="4" spans="1:8" x14ac:dyDescent="0.3">
      <c r="A4" s="891" t="s">
        <v>1700</v>
      </c>
      <c r="B4" s="891"/>
      <c r="C4" s="542"/>
      <c r="D4" s="542"/>
      <c r="E4" s="543"/>
      <c r="F4" s="529"/>
      <c r="G4" s="530"/>
      <c r="H4" s="530"/>
    </row>
    <row r="5" spans="1:8" ht="41.4" x14ac:dyDescent="0.3">
      <c r="A5" s="544">
        <v>1</v>
      </c>
      <c r="B5" s="545" t="s">
        <v>1702</v>
      </c>
      <c r="C5" s="66" t="s">
        <v>178</v>
      </c>
      <c r="D5" s="544">
        <v>44</v>
      </c>
      <c r="E5" s="531"/>
      <c r="F5" s="529">
        <v>15945.86</v>
      </c>
      <c r="G5" s="532">
        <f>D5*F5</f>
        <v>701617.84000000008</v>
      </c>
      <c r="H5" s="532">
        <f>G5*1.2</f>
        <v>841941.40800000005</v>
      </c>
    </row>
    <row r="6" spans="1:8" ht="27.6" x14ac:dyDescent="0.3">
      <c r="A6" s="544">
        <v>2</v>
      </c>
      <c r="B6" s="545" t="s">
        <v>1717</v>
      </c>
      <c r="C6" s="66" t="s">
        <v>178</v>
      </c>
      <c r="D6" s="544">
        <v>44</v>
      </c>
      <c r="E6" s="531"/>
      <c r="F6" s="529">
        <v>7267.68</v>
      </c>
      <c r="G6" s="532">
        <f>D6*F6</f>
        <v>319777.92000000004</v>
      </c>
      <c r="H6" s="532">
        <f t="shared" ref="H6:H73" si="0">G6*1.2</f>
        <v>383733.50400000002</v>
      </c>
    </row>
    <row r="7" spans="1:8" ht="27.6" x14ac:dyDescent="0.3">
      <c r="A7" s="590">
        <v>3</v>
      </c>
      <c r="B7" s="593" t="s">
        <v>1722</v>
      </c>
      <c r="C7" s="591" t="s">
        <v>1723</v>
      </c>
      <c r="D7" s="596">
        <v>191.91</v>
      </c>
      <c r="E7" s="592" t="s">
        <v>2116</v>
      </c>
      <c r="F7" s="588">
        <v>464.83</v>
      </c>
      <c r="G7" s="589">
        <f>D7*F7</f>
        <v>89205.525299999994</v>
      </c>
      <c r="H7" s="589">
        <f t="shared" si="0"/>
        <v>107046.63036</v>
      </c>
    </row>
    <row r="8" spans="1:8" ht="27.6" x14ac:dyDescent="0.3">
      <c r="A8" s="559">
        <v>4</v>
      </c>
      <c r="B8" s="560" t="s">
        <v>1727</v>
      </c>
      <c r="C8" s="507" t="s">
        <v>193</v>
      </c>
      <c r="D8" s="566">
        <v>239.36</v>
      </c>
      <c r="E8" s="562" t="s">
        <v>2117</v>
      </c>
      <c r="F8" s="563">
        <v>1350</v>
      </c>
      <c r="G8" s="564">
        <f t="shared" ref="G8:G73" si="1">F8*D8</f>
        <v>323136</v>
      </c>
      <c r="H8" s="564">
        <f t="shared" si="0"/>
        <v>387763.20000000001</v>
      </c>
    </row>
    <row r="9" spans="1:8" s="557" customFormat="1" x14ac:dyDescent="0.3">
      <c r="A9" s="540"/>
      <c r="B9" s="553" t="s">
        <v>169</v>
      </c>
      <c r="C9" s="379"/>
      <c r="D9" s="554"/>
      <c r="E9" s="550"/>
      <c r="F9" s="555"/>
      <c r="G9" s="556">
        <f>SUM(G5:G8)</f>
        <v>1433737.2853000001</v>
      </c>
      <c r="H9" s="556">
        <f>SUM(H5:H8)</f>
        <v>1720484.74236</v>
      </c>
    </row>
    <row r="10" spans="1:8" x14ac:dyDescent="0.3">
      <c r="A10" s="888" t="s">
        <v>1731</v>
      </c>
      <c r="B10" s="888"/>
      <c r="C10" s="379"/>
      <c r="D10" s="379"/>
      <c r="E10" s="539"/>
      <c r="F10" s="529"/>
      <c r="G10" s="532"/>
      <c r="H10" s="532"/>
    </row>
    <row r="11" spans="1:8" ht="41.4" x14ac:dyDescent="0.3">
      <c r="A11" s="544">
        <v>5</v>
      </c>
      <c r="B11" s="545" t="s">
        <v>2118</v>
      </c>
      <c r="C11" s="66" t="s">
        <v>194</v>
      </c>
      <c r="D11" s="548">
        <v>159.19999999999999</v>
      </c>
      <c r="E11" s="547" t="s">
        <v>2119</v>
      </c>
      <c r="F11" s="529">
        <v>2090.15</v>
      </c>
      <c r="G11" s="532">
        <f>D11*F11</f>
        <v>332751.88</v>
      </c>
      <c r="H11" s="532">
        <f t="shared" si="0"/>
        <v>399302.25599999999</v>
      </c>
    </row>
    <row r="12" spans="1:8" ht="27.6" x14ac:dyDescent="0.3">
      <c r="A12" s="590">
        <v>6</v>
      </c>
      <c r="B12" s="593" t="s">
        <v>2120</v>
      </c>
      <c r="C12" s="591" t="s">
        <v>239</v>
      </c>
      <c r="D12" s="590">
        <v>64</v>
      </c>
      <c r="E12" s="592" t="s">
        <v>2121</v>
      </c>
      <c r="F12" s="588">
        <v>464.83</v>
      </c>
      <c r="G12" s="589">
        <f>D12*F12</f>
        <v>29749.119999999999</v>
      </c>
      <c r="H12" s="589">
        <f t="shared" si="0"/>
        <v>35698.943999999996</v>
      </c>
    </row>
    <row r="13" spans="1:8" ht="41.4" x14ac:dyDescent="0.3">
      <c r="A13" s="544">
        <v>7</v>
      </c>
      <c r="B13" s="585" t="s">
        <v>1748</v>
      </c>
      <c r="C13" s="591" t="s">
        <v>1723</v>
      </c>
      <c r="D13" s="595">
        <f>27.2*0.8</f>
        <v>21.76</v>
      </c>
      <c r="E13" s="592" t="s">
        <v>2122</v>
      </c>
      <c r="F13" s="588">
        <v>464.83</v>
      </c>
      <c r="G13" s="589">
        <f>D13*F13</f>
        <v>10114.700800000001</v>
      </c>
      <c r="H13" s="589">
        <f t="shared" si="0"/>
        <v>12137.640960000001</v>
      </c>
    </row>
    <row r="14" spans="1:8" ht="27.6" x14ac:dyDescent="0.3">
      <c r="A14" s="544"/>
      <c r="B14" s="593" t="s">
        <v>2156</v>
      </c>
      <c r="C14" s="591" t="s">
        <v>1723</v>
      </c>
      <c r="D14" s="595">
        <f>27.2*0.2</f>
        <v>5.44</v>
      </c>
      <c r="E14" s="592"/>
      <c r="F14" s="588">
        <v>654.41</v>
      </c>
      <c r="G14" s="589">
        <f>D14*F14</f>
        <v>3559.9904000000001</v>
      </c>
      <c r="H14" s="589">
        <f t="shared" si="0"/>
        <v>4271.98848</v>
      </c>
    </row>
    <row r="15" spans="1:8" ht="41.4" x14ac:dyDescent="0.3">
      <c r="A15" s="559">
        <v>8</v>
      </c>
      <c r="B15" s="560" t="s">
        <v>2123</v>
      </c>
      <c r="C15" s="507" t="s">
        <v>193</v>
      </c>
      <c r="D15" s="561">
        <v>79.2</v>
      </c>
      <c r="E15" s="565" t="s">
        <v>2124</v>
      </c>
      <c r="F15" s="563">
        <v>1350</v>
      </c>
      <c r="G15" s="564">
        <f t="shared" si="1"/>
        <v>106920</v>
      </c>
      <c r="H15" s="564">
        <f t="shared" si="0"/>
        <v>128304</v>
      </c>
    </row>
    <row r="16" spans="1:8" s="557" customFormat="1" x14ac:dyDescent="0.3">
      <c r="A16" s="540"/>
      <c r="B16" s="553" t="s">
        <v>169</v>
      </c>
      <c r="C16" s="379"/>
      <c r="D16" s="554"/>
      <c r="E16" s="550"/>
      <c r="F16" s="555"/>
      <c r="G16" s="556">
        <f>SUM(G11:G15)</f>
        <v>483095.6912</v>
      </c>
      <c r="H16" s="556">
        <f>SUM(H11:H15)</f>
        <v>579714.82944</v>
      </c>
    </row>
    <row r="17" spans="1:8" x14ac:dyDescent="0.3">
      <c r="A17" s="888" t="s">
        <v>1756</v>
      </c>
      <c r="B17" s="888"/>
      <c r="C17" s="379"/>
      <c r="D17" s="379"/>
      <c r="E17" s="539"/>
      <c r="F17" s="529"/>
      <c r="G17" s="532"/>
      <c r="H17" s="532"/>
    </row>
    <row r="18" spans="1:8" ht="41.4" x14ac:dyDescent="0.3">
      <c r="A18" s="544">
        <v>9</v>
      </c>
      <c r="B18" s="545" t="s">
        <v>1758</v>
      </c>
      <c r="C18" s="66" t="s">
        <v>2125</v>
      </c>
      <c r="D18" s="548">
        <v>364.8</v>
      </c>
      <c r="E18" s="547" t="s">
        <v>2126</v>
      </c>
      <c r="F18" s="644">
        <v>517</v>
      </c>
      <c r="G18" s="532">
        <f>D18*F18</f>
        <v>188601.60000000001</v>
      </c>
      <c r="H18" s="532">
        <f t="shared" si="0"/>
        <v>226321.92000000001</v>
      </c>
    </row>
    <row r="19" spans="1:8" ht="27.6" x14ac:dyDescent="0.3">
      <c r="A19" s="544">
        <v>10</v>
      </c>
      <c r="B19" s="545" t="s">
        <v>2174</v>
      </c>
      <c r="C19" s="66" t="s">
        <v>193</v>
      </c>
      <c r="D19" s="548">
        <v>67.2</v>
      </c>
      <c r="E19" s="547" t="s">
        <v>2127</v>
      </c>
      <c r="F19" s="644">
        <v>34949.42</v>
      </c>
      <c r="G19" s="532">
        <f>D19*F19</f>
        <v>2348601.0240000002</v>
      </c>
      <c r="H19" s="532">
        <f t="shared" si="0"/>
        <v>2818321.2288000002</v>
      </c>
    </row>
    <row r="20" spans="1:8" ht="41.4" x14ac:dyDescent="0.3">
      <c r="A20" s="544">
        <v>11</v>
      </c>
      <c r="B20" s="585" t="s">
        <v>1748</v>
      </c>
      <c r="C20" s="591" t="s">
        <v>1723</v>
      </c>
      <c r="D20" s="590">
        <f>168*0.8</f>
        <v>134.4</v>
      </c>
      <c r="E20" s="592" t="s">
        <v>2128</v>
      </c>
      <c r="F20" s="588">
        <v>464.83</v>
      </c>
      <c r="G20" s="589">
        <f>D20*F20</f>
        <v>62473.152000000002</v>
      </c>
      <c r="H20" s="589">
        <f t="shared" si="0"/>
        <v>74967.782399999996</v>
      </c>
    </row>
    <row r="21" spans="1:8" ht="27.6" x14ac:dyDescent="0.3">
      <c r="A21" s="544"/>
      <c r="B21" s="593" t="s">
        <v>2156</v>
      </c>
      <c r="C21" s="591" t="s">
        <v>1723</v>
      </c>
      <c r="D21" s="590">
        <f>168*0.2</f>
        <v>33.6</v>
      </c>
      <c r="E21" s="592"/>
      <c r="F21" s="588">
        <v>654.41</v>
      </c>
      <c r="G21" s="589">
        <f>D21*F21</f>
        <v>21988.175999999999</v>
      </c>
      <c r="H21" s="589">
        <f t="shared" si="0"/>
        <v>26385.8112</v>
      </c>
    </row>
    <row r="22" spans="1:8" ht="41.4" x14ac:dyDescent="0.3">
      <c r="A22" s="559">
        <v>12</v>
      </c>
      <c r="B22" s="560" t="s">
        <v>2129</v>
      </c>
      <c r="C22" s="507" t="s">
        <v>193</v>
      </c>
      <c r="D22" s="561">
        <v>67.2</v>
      </c>
      <c r="E22" s="562"/>
      <c r="F22" s="563">
        <v>1350</v>
      </c>
      <c r="G22" s="564">
        <f t="shared" si="1"/>
        <v>90720</v>
      </c>
      <c r="H22" s="564">
        <f t="shared" si="0"/>
        <v>108864</v>
      </c>
    </row>
    <row r="23" spans="1:8" s="557" customFormat="1" x14ac:dyDescent="0.3">
      <c r="A23" s="540"/>
      <c r="B23" s="553" t="s">
        <v>169</v>
      </c>
      <c r="C23" s="379"/>
      <c r="D23" s="554"/>
      <c r="E23" s="550"/>
      <c r="F23" s="555"/>
      <c r="G23" s="556">
        <f>SUM(G18:G22)</f>
        <v>2712383.9520000005</v>
      </c>
      <c r="H23" s="556">
        <f>SUM(H18:H22)</f>
        <v>3254860.7423999999</v>
      </c>
    </row>
    <row r="24" spans="1:8" x14ac:dyDescent="0.3">
      <c r="A24" s="888" t="s">
        <v>1772</v>
      </c>
      <c r="B24" s="888"/>
      <c r="C24" s="379"/>
      <c r="D24" s="379"/>
      <c r="E24" s="539"/>
      <c r="F24" s="529"/>
      <c r="G24" s="532"/>
      <c r="H24" s="532"/>
    </row>
    <row r="25" spans="1:8" ht="41.4" x14ac:dyDescent="0.3">
      <c r="A25" s="544">
        <v>13</v>
      </c>
      <c r="B25" s="545" t="s">
        <v>1758</v>
      </c>
      <c r="C25" s="66" t="s">
        <v>2125</v>
      </c>
      <c r="D25" s="548">
        <v>364.8</v>
      </c>
      <c r="E25" s="547" t="s">
        <v>2130</v>
      </c>
      <c r="F25" s="644">
        <v>517</v>
      </c>
      <c r="G25" s="532">
        <f>D25*F25</f>
        <v>188601.60000000001</v>
      </c>
      <c r="H25" s="532">
        <f t="shared" si="0"/>
        <v>226321.92000000001</v>
      </c>
    </row>
    <row r="26" spans="1:8" ht="27.6" x14ac:dyDescent="0.3">
      <c r="A26" s="544">
        <v>14</v>
      </c>
      <c r="B26" s="545" t="s">
        <v>2174</v>
      </c>
      <c r="C26" s="66" t="s">
        <v>193</v>
      </c>
      <c r="D26" s="546">
        <v>41.28</v>
      </c>
      <c r="E26" s="547" t="s">
        <v>2131</v>
      </c>
      <c r="F26" s="644">
        <f>F19</f>
        <v>34949.42</v>
      </c>
      <c r="G26" s="532">
        <f>D26*F26</f>
        <v>1442712.0575999999</v>
      </c>
      <c r="H26" s="532">
        <f t="shared" si="0"/>
        <v>1731254.4691199998</v>
      </c>
    </row>
    <row r="27" spans="1:8" ht="41.4" x14ac:dyDescent="0.3">
      <c r="A27" s="544">
        <v>15</v>
      </c>
      <c r="B27" s="585" t="s">
        <v>1748</v>
      </c>
      <c r="C27" s="591" t="s">
        <v>1723</v>
      </c>
      <c r="D27" s="595">
        <f>103.2*0.8</f>
        <v>82.56</v>
      </c>
      <c r="E27" s="592" t="s">
        <v>2132</v>
      </c>
      <c r="F27" s="588">
        <v>464.83</v>
      </c>
      <c r="G27" s="589">
        <f>D27*F27</f>
        <v>38376.364800000003</v>
      </c>
      <c r="H27" s="589">
        <f t="shared" si="0"/>
        <v>46051.637760000005</v>
      </c>
    </row>
    <row r="28" spans="1:8" ht="27.6" x14ac:dyDescent="0.3">
      <c r="A28" s="544"/>
      <c r="B28" s="593" t="s">
        <v>2156</v>
      </c>
      <c r="C28" s="591" t="s">
        <v>1723</v>
      </c>
      <c r="D28" s="595">
        <f>103.2*0.2</f>
        <v>20.64</v>
      </c>
      <c r="E28" s="592"/>
      <c r="F28" s="588">
        <v>654.41</v>
      </c>
      <c r="G28" s="589">
        <f>D28*F28</f>
        <v>13507.0224</v>
      </c>
      <c r="H28" s="589">
        <f t="shared" si="0"/>
        <v>16208.426879999999</v>
      </c>
    </row>
    <row r="29" spans="1:8" ht="41.4" x14ac:dyDescent="0.3">
      <c r="A29" s="559">
        <v>16</v>
      </c>
      <c r="B29" s="560" t="s">
        <v>2123</v>
      </c>
      <c r="C29" s="507" t="s">
        <v>193</v>
      </c>
      <c r="D29" s="566">
        <v>41.28</v>
      </c>
      <c r="E29" s="562"/>
      <c r="F29" s="563">
        <v>1350</v>
      </c>
      <c r="G29" s="564">
        <f t="shared" si="1"/>
        <v>55728</v>
      </c>
      <c r="H29" s="564">
        <f t="shared" si="0"/>
        <v>66873.599999999991</v>
      </c>
    </row>
    <row r="30" spans="1:8" x14ac:dyDescent="0.3">
      <c r="A30" s="540"/>
      <c r="B30" s="553" t="s">
        <v>169</v>
      </c>
      <c r="C30" s="379"/>
      <c r="D30" s="554"/>
      <c r="E30" s="550"/>
      <c r="F30" s="555"/>
      <c r="G30" s="556">
        <f>SUM(G25:G29)</f>
        <v>1738925.0448</v>
      </c>
      <c r="H30" s="556">
        <f>SUM(H25:H29)</f>
        <v>2086710.0537599998</v>
      </c>
    </row>
    <row r="31" spans="1:8" x14ac:dyDescent="0.3">
      <c r="A31" s="888" t="s">
        <v>1779</v>
      </c>
      <c r="B31" s="888"/>
      <c r="C31" s="379"/>
      <c r="D31" s="379"/>
      <c r="E31" s="539"/>
      <c r="F31" s="529"/>
      <c r="G31" s="532"/>
      <c r="H31" s="532"/>
    </row>
    <row r="32" spans="1:8" ht="41.4" x14ac:dyDescent="0.3">
      <c r="A32" s="544">
        <v>17</v>
      </c>
      <c r="B32" s="545" t="s">
        <v>1758</v>
      </c>
      <c r="C32" s="66" t="s">
        <v>2125</v>
      </c>
      <c r="D32" s="544">
        <v>432</v>
      </c>
      <c r="E32" s="547" t="s">
        <v>2133</v>
      </c>
      <c r="F32" s="529">
        <v>596.15300000000002</v>
      </c>
      <c r="G32" s="532">
        <f>D32*F32</f>
        <v>257538.09600000002</v>
      </c>
      <c r="H32" s="532">
        <f t="shared" si="0"/>
        <v>309045.71520000004</v>
      </c>
    </row>
    <row r="33" spans="1:11" x14ac:dyDescent="0.3">
      <c r="A33" s="540"/>
      <c r="B33" s="553" t="s">
        <v>169</v>
      </c>
      <c r="C33" s="379"/>
      <c r="D33" s="554"/>
      <c r="E33" s="550"/>
      <c r="F33" s="555"/>
      <c r="G33" s="556">
        <f>SUM(G32)</f>
        <v>257538.09600000002</v>
      </c>
      <c r="H33" s="556">
        <f>SUM(H32)</f>
        <v>309045.71520000004</v>
      </c>
    </row>
    <row r="34" spans="1:11" x14ac:dyDescent="0.3">
      <c r="A34" s="888" t="s">
        <v>2134</v>
      </c>
      <c r="B34" s="888"/>
      <c r="C34" s="379"/>
      <c r="D34" s="379"/>
      <c r="E34" s="539"/>
      <c r="F34" s="529"/>
      <c r="G34" s="532"/>
      <c r="H34" s="532"/>
    </row>
    <row r="35" spans="1:11" ht="27.6" x14ac:dyDescent="0.3">
      <c r="A35" s="641">
        <v>18</v>
      </c>
      <c r="B35" s="642" t="s">
        <v>1784</v>
      </c>
      <c r="C35" s="87" t="s">
        <v>2125</v>
      </c>
      <c r="D35" s="87">
        <v>8253.2999999999993</v>
      </c>
      <c r="E35" s="643" t="s">
        <v>2135</v>
      </c>
      <c r="F35" s="644">
        <v>517</v>
      </c>
      <c r="G35" s="645">
        <f>D35*F35</f>
        <v>4266956.0999999996</v>
      </c>
      <c r="H35" s="645">
        <f t="shared" si="0"/>
        <v>5120347.3199999994</v>
      </c>
      <c r="I35" s="610">
        <v>1034.3671476863801</v>
      </c>
      <c r="J35" s="610">
        <v>8536942.3800000008</v>
      </c>
      <c r="K35" s="610">
        <v>10244330.856000001</v>
      </c>
    </row>
    <row r="36" spans="1:11" ht="27.6" x14ac:dyDescent="0.3">
      <c r="A36" s="641">
        <v>19</v>
      </c>
      <c r="B36" s="545" t="s">
        <v>2174</v>
      </c>
      <c r="C36" s="87" t="s">
        <v>193</v>
      </c>
      <c r="D36" s="646">
        <v>53.72</v>
      </c>
      <c r="E36" s="643" t="s">
        <v>2136</v>
      </c>
      <c r="F36" s="644">
        <f>F26</f>
        <v>34949.42</v>
      </c>
      <c r="G36" s="645">
        <f>D36*F36</f>
        <v>1877482.8424</v>
      </c>
      <c r="H36" s="645">
        <f t="shared" si="0"/>
        <v>2252979.4108799999</v>
      </c>
      <c r="I36" s="611">
        <v>73981.82073715562</v>
      </c>
      <c r="J36" s="611">
        <v>3974303.4099999997</v>
      </c>
      <c r="K36" s="611">
        <v>4769164.0919999992</v>
      </c>
    </row>
    <row r="37" spans="1:11" ht="41.4" x14ac:dyDescent="0.3">
      <c r="A37" s="590">
        <v>20</v>
      </c>
      <c r="B37" s="585" t="s">
        <v>1748</v>
      </c>
      <c r="C37" s="591" t="s">
        <v>1723</v>
      </c>
      <c r="D37" s="591">
        <f>3930.86*0.8</f>
        <v>3144.6880000000001</v>
      </c>
      <c r="E37" s="594" t="s">
        <v>2137</v>
      </c>
      <c r="F37" s="588">
        <v>464.83</v>
      </c>
      <c r="G37" s="589">
        <f>D37*F37</f>
        <v>1461745.3230399999</v>
      </c>
      <c r="H37" s="589">
        <f t="shared" si="0"/>
        <v>1754094.3876479999</v>
      </c>
    </row>
    <row r="38" spans="1:11" ht="27.6" x14ac:dyDescent="0.3">
      <c r="A38" s="590"/>
      <c r="B38" s="593" t="s">
        <v>2156</v>
      </c>
      <c r="C38" s="591" t="s">
        <v>1723</v>
      </c>
      <c r="D38" s="591">
        <f>3930.86*0.2</f>
        <v>786.17200000000003</v>
      </c>
      <c r="E38" s="594"/>
      <c r="F38" s="588">
        <v>654.41</v>
      </c>
      <c r="G38" s="589">
        <f>D38*F38</f>
        <v>514478.81851999997</v>
      </c>
      <c r="H38" s="589">
        <f t="shared" si="0"/>
        <v>617374.5822239999</v>
      </c>
    </row>
    <row r="39" spans="1:11" ht="41.4" x14ac:dyDescent="0.3">
      <c r="A39" s="559">
        <v>21</v>
      </c>
      <c r="B39" s="567" t="s">
        <v>2138</v>
      </c>
      <c r="C39" s="507" t="s">
        <v>193</v>
      </c>
      <c r="D39" s="566">
        <v>1876.05</v>
      </c>
      <c r="E39" s="565" t="s">
        <v>2139</v>
      </c>
      <c r="F39" s="563">
        <v>1350</v>
      </c>
      <c r="G39" s="564">
        <f t="shared" si="1"/>
        <v>2532667.5</v>
      </c>
      <c r="H39" s="564">
        <f t="shared" si="0"/>
        <v>3039201</v>
      </c>
    </row>
    <row r="40" spans="1:11" x14ac:dyDescent="0.3">
      <c r="A40" s="540"/>
      <c r="B40" s="553" t="s">
        <v>169</v>
      </c>
      <c r="C40" s="379"/>
      <c r="D40" s="554"/>
      <c r="E40" s="550"/>
      <c r="F40" s="555"/>
      <c r="G40" s="556">
        <f>SUM(G35:G39)</f>
        <v>10653330.58396</v>
      </c>
      <c r="H40" s="556">
        <f>SUM(H35:H39)</f>
        <v>12783996.700751999</v>
      </c>
    </row>
    <row r="41" spans="1:11" ht="13.8" customHeight="1" x14ac:dyDescent="0.3">
      <c r="A41" s="886" t="s">
        <v>1793</v>
      </c>
      <c r="B41" s="887"/>
      <c r="C41" s="379"/>
      <c r="D41" s="379"/>
      <c r="E41" s="539"/>
      <c r="F41" s="529"/>
      <c r="G41" s="532"/>
      <c r="H41" s="532"/>
    </row>
    <row r="42" spans="1:11" ht="69" x14ac:dyDescent="0.3">
      <c r="A42" s="641">
        <v>22</v>
      </c>
      <c r="B42" s="642" t="s">
        <v>1784</v>
      </c>
      <c r="C42" s="647" t="s">
        <v>2140</v>
      </c>
      <c r="D42" s="646">
        <v>4170.8999999999996</v>
      </c>
      <c r="E42" s="648" t="s">
        <v>2141</v>
      </c>
      <c r="F42" s="644">
        <v>517</v>
      </c>
      <c r="G42" s="645">
        <f t="shared" ref="G42:G47" si="2">D42*F42</f>
        <v>2156355.2999999998</v>
      </c>
      <c r="H42" s="645">
        <f t="shared" si="0"/>
        <v>2587626.36</v>
      </c>
      <c r="I42" s="610">
        <v>1034.3670502769189</v>
      </c>
      <c r="J42" s="611">
        <f>D42*I42</f>
        <v>4314241.5300000012</v>
      </c>
      <c r="K42" s="611">
        <f t="shared" ref="K42" si="3">J42*1.2</f>
        <v>5177089.8360000011</v>
      </c>
    </row>
    <row r="43" spans="1:11" ht="41.4" x14ac:dyDescent="0.3">
      <c r="A43" s="641">
        <v>23</v>
      </c>
      <c r="B43" s="545" t="s">
        <v>2174</v>
      </c>
      <c r="C43" s="87" t="s">
        <v>193</v>
      </c>
      <c r="D43" s="646">
        <v>69.760000000000005</v>
      </c>
      <c r="E43" s="648" t="s">
        <v>2142</v>
      </c>
      <c r="F43" s="644">
        <f>F36</f>
        <v>34949.42</v>
      </c>
      <c r="G43" s="645">
        <f t="shared" si="2"/>
        <v>2438071.5392</v>
      </c>
      <c r="H43" s="645">
        <f t="shared" si="0"/>
        <v>2925685.8470399999</v>
      </c>
    </row>
    <row r="44" spans="1:11" ht="27.6" x14ac:dyDescent="0.3">
      <c r="A44" s="544">
        <v>24</v>
      </c>
      <c r="B44" s="604" t="s">
        <v>1799</v>
      </c>
      <c r="C44" s="605" t="s">
        <v>193</v>
      </c>
      <c r="D44" s="606">
        <v>728.12</v>
      </c>
      <c r="E44" s="607" t="s">
        <v>2143</v>
      </c>
      <c r="F44" s="601">
        <v>178.78</v>
      </c>
      <c r="G44" s="602">
        <f t="shared" si="2"/>
        <v>130173.2936</v>
      </c>
      <c r="H44" s="602">
        <f t="shared" si="0"/>
        <v>156207.95232000001</v>
      </c>
    </row>
    <row r="45" spans="1:11" x14ac:dyDescent="0.3">
      <c r="A45" s="590">
        <v>25</v>
      </c>
      <c r="B45" s="593" t="s">
        <v>161</v>
      </c>
      <c r="C45" s="591" t="s">
        <v>193</v>
      </c>
      <c r="D45" s="590">
        <v>821</v>
      </c>
      <c r="E45" s="594"/>
      <c r="F45" s="588">
        <f>I45/1.2</f>
        <v>979</v>
      </c>
      <c r="G45" s="589">
        <f t="shared" si="2"/>
        <v>803759</v>
      </c>
      <c r="H45" s="589">
        <f t="shared" si="0"/>
        <v>964510.79999999993</v>
      </c>
      <c r="I45" s="527">
        <f>979*1.2</f>
        <v>1174.8</v>
      </c>
    </row>
    <row r="46" spans="1:11" ht="41.4" x14ac:dyDescent="0.3">
      <c r="A46" s="590">
        <v>26</v>
      </c>
      <c r="B46" s="585" t="s">
        <v>1748</v>
      </c>
      <c r="C46" s="591" t="s">
        <v>1723</v>
      </c>
      <c r="D46" s="591">
        <f>2093*0.8</f>
        <v>1674.4</v>
      </c>
      <c r="E46" s="594" t="s">
        <v>2144</v>
      </c>
      <c r="F46" s="588">
        <v>464.83</v>
      </c>
      <c r="G46" s="589">
        <f t="shared" si="2"/>
        <v>778311.35200000007</v>
      </c>
      <c r="H46" s="589">
        <f t="shared" si="0"/>
        <v>933973.62240000011</v>
      </c>
    </row>
    <row r="47" spans="1:11" ht="27.6" x14ac:dyDescent="0.3">
      <c r="A47" s="590"/>
      <c r="B47" s="593" t="s">
        <v>2156</v>
      </c>
      <c r="C47" s="591" t="s">
        <v>1723</v>
      </c>
      <c r="D47" s="591">
        <f>2093*0.2</f>
        <v>418.6</v>
      </c>
      <c r="E47" s="594"/>
      <c r="F47" s="588">
        <v>654.41</v>
      </c>
      <c r="G47" s="589">
        <f t="shared" si="2"/>
        <v>273936.02600000001</v>
      </c>
      <c r="H47" s="589">
        <f t="shared" si="0"/>
        <v>328723.23119999998</v>
      </c>
    </row>
    <row r="48" spans="1:11" ht="41.4" x14ac:dyDescent="0.3">
      <c r="A48" s="559">
        <v>27</v>
      </c>
      <c r="B48" s="567" t="s">
        <v>2145</v>
      </c>
      <c r="C48" s="507" t="s">
        <v>193</v>
      </c>
      <c r="D48" s="566">
        <v>990.69</v>
      </c>
      <c r="E48" s="562" t="s">
        <v>2146</v>
      </c>
      <c r="F48" s="563">
        <v>1350</v>
      </c>
      <c r="G48" s="564">
        <f t="shared" si="1"/>
        <v>1337431.5</v>
      </c>
      <c r="H48" s="564">
        <f t="shared" si="0"/>
        <v>1604917.8</v>
      </c>
    </row>
    <row r="49" spans="1:11" x14ac:dyDescent="0.3">
      <c r="A49" s="540"/>
      <c r="B49" s="553" t="s">
        <v>169</v>
      </c>
      <c r="C49" s="379"/>
      <c r="D49" s="554"/>
      <c r="E49" s="550"/>
      <c r="F49" s="555"/>
      <c r="G49" s="556">
        <f>SUM(G42:G48)</f>
        <v>7918038.0107999993</v>
      </c>
      <c r="H49" s="556">
        <f>SUM(H42:H48)</f>
        <v>9501645.6129599996</v>
      </c>
    </row>
    <row r="50" spans="1:11" x14ac:dyDescent="0.3">
      <c r="A50" s="888" t="s">
        <v>1816</v>
      </c>
      <c r="B50" s="888"/>
      <c r="C50" s="379"/>
      <c r="D50" s="379"/>
      <c r="E50" s="539"/>
      <c r="F50" s="529"/>
      <c r="G50" s="532"/>
      <c r="H50" s="532"/>
    </row>
    <row r="51" spans="1:11" ht="27.6" x14ac:dyDescent="0.3">
      <c r="A51" s="641">
        <v>28</v>
      </c>
      <c r="B51" s="642" t="s">
        <v>1784</v>
      </c>
      <c r="C51" s="87" t="s">
        <v>2125</v>
      </c>
      <c r="D51" s="641">
        <v>748</v>
      </c>
      <c r="E51" s="648" t="s">
        <v>2147</v>
      </c>
      <c r="F51" s="644">
        <v>517</v>
      </c>
      <c r="G51" s="645">
        <f t="shared" ref="G51:G56" si="4">D51*F51</f>
        <v>386716</v>
      </c>
      <c r="H51" s="645">
        <f t="shared" si="0"/>
        <v>464059.2</v>
      </c>
      <c r="I51" s="611">
        <v>1034.3674064171123</v>
      </c>
      <c r="J51" s="611">
        <v>773706.82</v>
      </c>
      <c r="K51" s="611">
        <v>928448.18399999989</v>
      </c>
    </row>
    <row r="52" spans="1:11" ht="27.6" x14ac:dyDescent="0.3">
      <c r="A52" s="641">
        <v>29</v>
      </c>
      <c r="B52" s="545" t="s">
        <v>2174</v>
      </c>
      <c r="C52" s="87" t="s">
        <v>193</v>
      </c>
      <c r="D52" s="646">
        <v>69.760000000000005</v>
      </c>
      <c r="E52" s="643" t="s">
        <v>2148</v>
      </c>
      <c r="F52" s="644">
        <f>F43</f>
        <v>34949.42</v>
      </c>
      <c r="G52" s="645">
        <f t="shared" si="4"/>
        <v>2438071.5392</v>
      </c>
      <c r="H52" s="645">
        <f t="shared" si="0"/>
        <v>2925685.8470399999</v>
      </c>
      <c r="I52" s="611">
        <v>73981.832998853206</v>
      </c>
      <c r="J52" s="611">
        <v>5160972.67</v>
      </c>
      <c r="K52" s="611">
        <v>6193167.2039999999</v>
      </c>
    </row>
    <row r="53" spans="1:11" ht="27.6" x14ac:dyDescent="0.3">
      <c r="A53" s="603">
        <v>30</v>
      </c>
      <c r="B53" s="604" t="s">
        <v>1799</v>
      </c>
      <c r="C53" s="605" t="s">
        <v>193</v>
      </c>
      <c r="D53" s="606">
        <v>69.760000000000005</v>
      </c>
      <c r="E53" s="607"/>
      <c r="F53" s="601">
        <v>178.78</v>
      </c>
      <c r="G53" s="602">
        <f t="shared" si="4"/>
        <v>12471.692800000001</v>
      </c>
      <c r="H53" s="602">
        <f t="shared" si="0"/>
        <v>14966.031360000001</v>
      </c>
    </row>
    <row r="54" spans="1:11" x14ac:dyDescent="0.3">
      <c r="A54" s="590">
        <v>31</v>
      </c>
      <c r="B54" s="593" t="s">
        <v>161</v>
      </c>
      <c r="C54" s="591" t="s">
        <v>193</v>
      </c>
      <c r="D54" s="596">
        <v>69.760000000000005</v>
      </c>
      <c r="E54" s="594"/>
      <c r="F54" s="588">
        <v>979</v>
      </c>
      <c r="G54" s="589">
        <f t="shared" si="4"/>
        <v>68295.040000000008</v>
      </c>
      <c r="H54" s="589">
        <f t="shared" si="0"/>
        <v>81954.04800000001</v>
      </c>
    </row>
    <row r="55" spans="1:11" ht="41.4" x14ac:dyDescent="0.3">
      <c r="A55" s="590">
        <v>32</v>
      </c>
      <c r="B55" s="585" t="s">
        <v>1748</v>
      </c>
      <c r="C55" s="591" t="s">
        <v>1723</v>
      </c>
      <c r="D55" s="591">
        <f>516.58*0.8</f>
        <v>413.26400000000007</v>
      </c>
      <c r="E55" s="592" t="s">
        <v>2149</v>
      </c>
      <c r="F55" s="588">
        <v>464.83</v>
      </c>
      <c r="G55" s="589">
        <f t="shared" si="4"/>
        <v>192097.50512000002</v>
      </c>
      <c r="H55" s="589">
        <f t="shared" si="0"/>
        <v>230517.00614400001</v>
      </c>
    </row>
    <row r="56" spans="1:11" ht="27.6" x14ac:dyDescent="0.3">
      <c r="A56" s="590"/>
      <c r="B56" s="593" t="s">
        <v>2156</v>
      </c>
      <c r="C56" s="591" t="s">
        <v>1723</v>
      </c>
      <c r="D56" s="591">
        <f>516.58*0.2</f>
        <v>103.31600000000002</v>
      </c>
      <c r="E56" s="592"/>
      <c r="F56" s="588">
        <v>654.41</v>
      </c>
      <c r="G56" s="589">
        <f t="shared" si="4"/>
        <v>67611.023560000001</v>
      </c>
      <c r="H56" s="589">
        <f t="shared" si="0"/>
        <v>81133.228271999993</v>
      </c>
    </row>
    <row r="57" spans="1:11" ht="41.4" x14ac:dyDescent="0.3">
      <c r="A57" s="559">
        <v>33</v>
      </c>
      <c r="B57" s="560" t="s">
        <v>2150</v>
      </c>
      <c r="C57" s="507" t="s">
        <v>193</v>
      </c>
      <c r="D57" s="566">
        <v>249.39</v>
      </c>
      <c r="E57" s="565" t="s">
        <v>2151</v>
      </c>
      <c r="F57" s="563">
        <v>1350</v>
      </c>
      <c r="G57" s="564">
        <f t="shared" si="1"/>
        <v>336676.5</v>
      </c>
      <c r="H57" s="564">
        <f t="shared" si="0"/>
        <v>404011.8</v>
      </c>
    </row>
    <row r="58" spans="1:11" x14ac:dyDescent="0.3">
      <c r="A58" s="540"/>
      <c r="B58" s="553" t="s">
        <v>169</v>
      </c>
      <c r="C58" s="379"/>
      <c r="D58" s="554"/>
      <c r="E58" s="550"/>
      <c r="F58" s="555"/>
      <c r="G58" s="556">
        <f>SUM(G51:G57)</f>
        <v>3501939.3006799999</v>
      </c>
      <c r="H58" s="556">
        <f>SUM(H51:H57)</f>
        <v>4202327.1608159998</v>
      </c>
    </row>
    <row r="59" spans="1:11" x14ac:dyDescent="0.3">
      <c r="A59" s="889" t="s">
        <v>2108</v>
      </c>
      <c r="B59" s="889"/>
      <c r="C59" s="549"/>
      <c r="D59" s="549"/>
      <c r="E59" s="550"/>
      <c r="F59" s="535"/>
      <c r="G59" s="532"/>
      <c r="H59" s="532"/>
    </row>
    <row r="60" spans="1:11" ht="41.4" x14ac:dyDescent="0.3">
      <c r="A60" s="578">
        <v>45</v>
      </c>
      <c r="B60" s="579" t="s">
        <v>2302</v>
      </c>
      <c r="C60" s="580" t="s">
        <v>193</v>
      </c>
      <c r="D60" s="580">
        <v>67</v>
      </c>
      <c r="E60" s="581"/>
      <c r="F60" s="582">
        <v>929.66</v>
      </c>
      <c r="G60" s="583">
        <f>F60*D60</f>
        <v>62287.22</v>
      </c>
      <c r="H60" s="583">
        <f t="shared" si="0"/>
        <v>74744.664000000004</v>
      </c>
    </row>
    <row r="61" spans="1:11" x14ac:dyDescent="0.3">
      <c r="A61" s="551">
        <v>46</v>
      </c>
      <c r="B61" s="533" t="s">
        <v>1832</v>
      </c>
      <c r="C61" s="534" t="s">
        <v>178</v>
      </c>
      <c r="D61" s="551">
        <v>3</v>
      </c>
      <c r="E61" s="552"/>
      <c r="F61" s="529">
        <v>2150.6799999999998</v>
      </c>
      <c r="G61" s="532">
        <f>D61*F61</f>
        <v>6452.0399999999991</v>
      </c>
      <c r="H61" s="532">
        <f t="shared" si="0"/>
        <v>7742.4479999999985</v>
      </c>
    </row>
    <row r="62" spans="1:11" x14ac:dyDescent="0.3">
      <c r="A62" s="613">
        <v>47</v>
      </c>
      <c r="B62" s="614" t="s">
        <v>2108</v>
      </c>
      <c r="C62" s="609" t="s">
        <v>193</v>
      </c>
      <c r="D62" s="609">
        <v>76.8</v>
      </c>
      <c r="E62" s="615"/>
      <c r="F62" s="610">
        <v>18476.04</v>
      </c>
      <c r="G62" s="611">
        <f>D62*F62</f>
        <v>1418959.872</v>
      </c>
      <c r="H62" s="611">
        <f t="shared" si="0"/>
        <v>1702751.8463999999</v>
      </c>
    </row>
    <row r="63" spans="1:11" ht="27.6" x14ac:dyDescent="0.3">
      <c r="A63" s="597">
        <v>48</v>
      </c>
      <c r="B63" s="598" t="s">
        <v>1799</v>
      </c>
      <c r="C63" s="599" t="s">
        <v>193</v>
      </c>
      <c r="D63" s="599">
        <v>1080</v>
      </c>
      <c r="E63" s="600"/>
      <c r="F63" s="601">
        <v>178.78</v>
      </c>
      <c r="G63" s="602">
        <f>D63*F63</f>
        <v>193082.4</v>
      </c>
      <c r="H63" s="602">
        <f t="shared" si="0"/>
        <v>231698.87999999998</v>
      </c>
    </row>
    <row r="64" spans="1:11" x14ac:dyDescent="0.3">
      <c r="A64" s="584">
        <v>49</v>
      </c>
      <c r="B64" s="585" t="s">
        <v>1808</v>
      </c>
      <c r="C64" s="586" t="s">
        <v>193</v>
      </c>
      <c r="D64" s="586">
        <v>1003</v>
      </c>
      <c r="E64" s="587"/>
      <c r="F64" s="588">
        <v>712.49</v>
      </c>
      <c r="G64" s="589">
        <f>D64*F64</f>
        <v>714627.47</v>
      </c>
      <c r="H64" s="589">
        <f t="shared" si="0"/>
        <v>857552.96399999992</v>
      </c>
      <c r="I64" s="616">
        <f>F64*1.2</f>
        <v>854.98799999999994</v>
      </c>
    </row>
    <row r="65" spans="1:8" ht="41.4" x14ac:dyDescent="0.3">
      <c r="A65" s="578">
        <v>50</v>
      </c>
      <c r="B65" s="579" t="s">
        <v>1829</v>
      </c>
      <c r="C65" s="580" t="s">
        <v>193</v>
      </c>
      <c r="D65" s="580">
        <v>1003</v>
      </c>
      <c r="E65" s="581"/>
      <c r="F65" s="582">
        <v>929.66</v>
      </c>
      <c r="G65" s="583">
        <f>F65*D65</f>
        <v>932448.98</v>
      </c>
      <c r="H65" s="583">
        <f t="shared" si="0"/>
        <v>1118938.7759999998</v>
      </c>
    </row>
    <row r="66" spans="1:8" ht="41.4" x14ac:dyDescent="0.3">
      <c r="A66" s="584">
        <v>51</v>
      </c>
      <c r="B66" s="585" t="s">
        <v>1748</v>
      </c>
      <c r="C66" s="586" t="s">
        <v>1723</v>
      </c>
      <c r="D66" s="586">
        <v>153.6</v>
      </c>
      <c r="E66" s="587" t="s">
        <v>2109</v>
      </c>
      <c r="F66" s="588">
        <v>464.83</v>
      </c>
      <c r="G66" s="589">
        <f>D66*F66</f>
        <v>71397.887999999992</v>
      </c>
      <c r="H66" s="589">
        <f t="shared" si="0"/>
        <v>85677.465599999981</v>
      </c>
    </row>
    <row r="67" spans="1:8" ht="27.6" x14ac:dyDescent="0.3">
      <c r="A67" s="584">
        <v>52</v>
      </c>
      <c r="B67" s="585" t="s">
        <v>2110</v>
      </c>
      <c r="C67" s="586" t="s">
        <v>1723</v>
      </c>
      <c r="D67" s="586">
        <v>38.4</v>
      </c>
      <c r="E67" s="587" t="s">
        <v>2111</v>
      </c>
      <c r="F67" s="588">
        <v>654.41</v>
      </c>
      <c r="G67" s="589">
        <f>D67*F67</f>
        <v>25129.343999999997</v>
      </c>
      <c r="H67" s="589">
        <f t="shared" si="0"/>
        <v>30155.212799999994</v>
      </c>
    </row>
    <row r="68" spans="1:8" ht="27.6" x14ac:dyDescent="0.3">
      <c r="A68" s="568">
        <v>53</v>
      </c>
      <c r="B68" s="567" t="s">
        <v>2112</v>
      </c>
      <c r="C68" s="569" t="s">
        <v>193</v>
      </c>
      <c r="D68" s="569">
        <v>76.8</v>
      </c>
      <c r="E68" s="570"/>
      <c r="F68" s="563">
        <v>1350</v>
      </c>
      <c r="G68" s="564">
        <f t="shared" si="1"/>
        <v>103680</v>
      </c>
      <c r="H68" s="564">
        <f t="shared" si="0"/>
        <v>124416</v>
      </c>
    </row>
    <row r="69" spans="1:8" x14ac:dyDescent="0.3">
      <c r="A69" s="540"/>
      <c r="B69" s="553" t="s">
        <v>169</v>
      </c>
      <c r="C69" s="379"/>
      <c r="D69" s="554"/>
      <c r="E69" s="550"/>
      <c r="F69" s="555"/>
      <c r="G69" s="556">
        <f>SUM(G60:G68)</f>
        <v>3528065.2139999997</v>
      </c>
      <c r="H69" s="556">
        <f>SUM(H60:H68)</f>
        <v>4233678.2567999987</v>
      </c>
    </row>
    <row r="70" spans="1:8" x14ac:dyDescent="0.3">
      <c r="A70" s="889" t="s">
        <v>1849</v>
      </c>
      <c r="B70" s="889"/>
      <c r="C70" s="549"/>
      <c r="D70" s="549"/>
      <c r="E70" s="550"/>
      <c r="F70" s="529"/>
      <c r="G70" s="532"/>
      <c r="H70" s="532"/>
    </row>
    <row r="71" spans="1:8" ht="41.4" x14ac:dyDescent="0.3">
      <c r="A71" s="584">
        <v>54</v>
      </c>
      <c r="B71" s="585" t="s">
        <v>1748</v>
      </c>
      <c r="C71" s="586" t="s">
        <v>1723</v>
      </c>
      <c r="D71" s="586">
        <v>1920</v>
      </c>
      <c r="E71" s="587" t="s">
        <v>2113</v>
      </c>
      <c r="F71" s="588">
        <v>464.83</v>
      </c>
      <c r="G71" s="589">
        <f>D71*F71</f>
        <v>892473.6</v>
      </c>
      <c r="H71" s="589">
        <f t="shared" si="0"/>
        <v>1070968.3199999998</v>
      </c>
    </row>
    <row r="72" spans="1:8" ht="27.6" x14ac:dyDescent="0.3">
      <c r="A72" s="584">
        <v>55</v>
      </c>
      <c r="B72" s="585" t="s">
        <v>2110</v>
      </c>
      <c r="C72" s="586" t="s">
        <v>1723</v>
      </c>
      <c r="D72" s="586">
        <v>480</v>
      </c>
      <c r="E72" s="587" t="s">
        <v>2114</v>
      </c>
      <c r="F72" s="588">
        <v>654.41</v>
      </c>
      <c r="G72" s="589">
        <f>D72*F72</f>
        <v>314116.8</v>
      </c>
      <c r="H72" s="589">
        <f t="shared" si="0"/>
        <v>376940.16</v>
      </c>
    </row>
    <row r="73" spans="1:8" ht="27.6" x14ac:dyDescent="0.3">
      <c r="A73" s="571">
        <v>56</v>
      </c>
      <c r="B73" s="572" t="s">
        <v>2112</v>
      </c>
      <c r="C73" s="573" t="s">
        <v>193</v>
      </c>
      <c r="D73" s="573">
        <v>1000</v>
      </c>
      <c r="E73" s="574"/>
      <c r="F73" s="563">
        <v>1350</v>
      </c>
      <c r="G73" s="564">
        <f t="shared" si="1"/>
        <v>1350000</v>
      </c>
      <c r="H73" s="564">
        <f t="shared" si="0"/>
        <v>1620000</v>
      </c>
    </row>
    <row r="74" spans="1:8" x14ac:dyDescent="0.3">
      <c r="A74" s="540"/>
      <c r="B74" s="553" t="s">
        <v>169</v>
      </c>
      <c r="C74" s="379"/>
      <c r="D74" s="554"/>
      <c r="E74" s="550"/>
      <c r="F74" s="555"/>
      <c r="G74" s="556">
        <f>SUM(G71:G73)</f>
        <v>2556590.4</v>
      </c>
      <c r="H74" s="556">
        <f>SUM(H71:H73)</f>
        <v>3067908.4799999995</v>
      </c>
    </row>
    <row r="75" spans="1:8" ht="38.4" customHeight="1" x14ac:dyDescent="0.3">
      <c r="A75" s="528"/>
      <c r="B75" s="558" t="s">
        <v>2115</v>
      </c>
      <c r="C75" s="528"/>
      <c r="D75" s="528"/>
      <c r="E75" s="528"/>
      <c r="F75" s="555"/>
      <c r="G75" s="555">
        <f>G74+G69+G58+G49+G40+G33+G30+G23+G16+G9</f>
        <v>34783643.578740001</v>
      </c>
      <c r="H75" s="555">
        <f>H74+H69+H58+H49+H40+H33+H30+H23+H16+H9</f>
        <v>41740372.294487998</v>
      </c>
    </row>
  </sheetData>
  <mergeCells count="11">
    <mergeCell ref="A41:B41"/>
    <mergeCell ref="A50:B50"/>
    <mergeCell ref="A59:B59"/>
    <mergeCell ref="A70:B70"/>
    <mergeCell ref="A1:H1"/>
    <mergeCell ref="A4:B4"/>
    <mergeCell ref="A10:B10"/>
    <mergeCell ref="A17:B17"/>
    <mergeCell ref="A24:B24"/>
    <mergeCell ref="A31:B31"/>
    <mergeCell ref="A34:B34"/>
  </mergeCells>
  <phoneticPr fontId="4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4E5C-893F-4DA9-B7DA-6822129F7055}">
  <dimension ref="A1:AW459"/>
  <sheetViews>
    <sheetView topLeftCell="A412" workbookViewId="0">
      <selection activeCell="N421" sqref="N421"/>
    </sheetView>
  </sheetViews>
  <sheetFormatPr defaultColWidth="9.109375" defaultRowHeight="10.199999999999999" x14ac:dyDescent="0.2"/>
  <cols>
    <col min="1" max="1" width="9.109375" style="394"/>
    <col min="2" max="2" width="20.109375" style="493" customWidth="1"/>
    <col min="3" max="3" width="13.44140625" style="493" customWidth="1"/>
    <col min="4" max="4" width="12.88671875" style="493" customWidth="1"/>
    <col min="5" max="5" width="13.33203125" style="493" customWidth="1"/>
    <col min="6" max="6" width="8.5546875" style="493" customWidth="1"/>
    <col min="7" max="7" width="10.5546875" style="493" customWidth="1"/>
    <col min="8" max="8" width="8.44140625" style="493" customWidth="1"/>
    <col min="9" max="9" width="13" style="493" customWidth="1"/>
    <col min="10" max="10" width="12.44140625" style="493" customWidth="1"/>
    <col min="11" max="11" width="8.5546875" style="493" customWidth="1"/>
    <col min="12" max="12" width="12.88671875" style="493" customWidth="1"/>
    <col min="13" max="13" width="7.44140625" style="493" customWidth="1"/>
    <col min="14" max="14" width="13.44140625" style="493" customWidth="1"/>
    <col min="15" max="15" width="14.5546875" style="493" hidden="1" customWidth="1"/>
    <col min="16" max="16" width="78.33203125" style="493" hidden="1" customWidth="1"/>
    <col min="17" max="17" width="73.6640625" style="493" hidden="1" customWidth="1"/>
    <col min="18" max="21" width="9.109375" style="493"/>
    <col min="22" max="27" width="86.6640625" style="426" hidden="1" customWidth="1"/>
    <col min="28" max="30" width="164.109375" style="426" hidden="1" customWidth="1"/>
    <col min="31" max="31" width="34.6640625" style="426" hidden="1" customWidth="1"/>
    <col min="32" max="33" width="164.109375" style="426" hidden="1" customWidth="1"/>
    <col min="34" max="34" width="39.5546875" style="426" hidden="1" customWidth="1"/>
    <col min="35" max="35" width="134.88671875" style="426" hidden="1" customWidth="1"/>
    <col min="36" max="39" width="39.5546875" style="426" hidden="1" customWidth="1"/>
    <col min="40" max="42" width="134.88671875" style="426" hidden="1" customWidth="1"/>
    <col min="43" max="45" width="101.109375" style="426" hidden="1" customWidth="1"/>
    <col min="46" max="46" width="58.6640625" style="426" hidden="1" customWidth="1"/>
    <col min="47" max="47" width="55.33203125" style="426" hidden="1" customWidth="1"/>
    <col min="48" max="48" width="58.6640625" style="426" hidden="1" customWidth="1"/>
    <col min="49" max="49" width="55.33203125" style="426" hidden="1" customWidth="1"/>
    <col min="50" max="16384" width="9.109375" style="493"/>
  </cols>
  <sheetData>
    <row r="1" spans="1:29" customFormat="1" ht="14.4" x14ac:dyDescent="0.3">
      <c r="N1" s="380" t="s">
        <v>1649</v>
      </c>
    </row>
    <row r="2" spans="1:29" customFormat="1" ht="11.25" customHeight="1" x14ac:dyDescent="0.3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2" t="s">
        <v>1650</v>
      </c>
    </row>
    <row r="3" spans="1:29" customFormat="1" ht="6.75" customHeight="1" x14ac:dyDescent="0.3">
      <c r="A3" s="381"/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0"/>
    </row>
    <row r="4" spans="1:29" customFormat="1" ht="2.25" customHeight="1" x14ac:dyDescent="0.3">
      <c r="A4" s="384"/>
      <c r="B4" s="385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</row>
    <row r="5" spans="1:29" customFormat="1" ht="11.25" customHeight="1" x14ac:dyDescent="0.3">
      <c r="A5" s="384" t="s">
        <v>1651</v>
      </c>
      <c r="B5" s="385"/>
      <c r="C5" s="381"/>
      <c r="E5" s="381"/>
      <c r="F5" s="381"/>
      <c r="G5" s="892" t="s">
        <v>1652</v>
      </c>
      <c r="H5" s="892"/>
      <c r="I5" s="892"/>
      <c r="J5" s="892"/>
      <c r="K5" s="892"/>
      <c r="L5" s="892"/>
      <c r="M5" s="892"/>
      <c r="N5" s="892"/>
    </row>
    <row r="6" spans="1:29" customFormat="1" ht="22.5" customHeight="1" x14ac:dyDescent="0.3">
      <c r="A6" s="384" t="s">
        <v>1653</v>
      </c>
      <c r="B6" s="385"/>
      <c r="C6" s="381"/>
      <c r="E6" s="386"/>
      <c r="F6" s="386"/>
      <c r="G6" s="893" t="s">
        <v>1654</v>
      </c>
      <c r="H6" s="893"/>
      <c r="I6" s="893"/>
      <c r="J6" s="893"/>
      <c r="K6" s="893"/>
      <c r="L6" s="893"/>
      <c r="M6" s="893"/>
      <c r="N6" s="893"/>
      <c r="V6" s="387" t="s">
        <v>1654</v>
      </c>
    </row>
    <row r="7" spans="1:29" customFormat="1" ht="90" customHeight="1" x14ac:dyDescent="0.3">
      <c r="A7" s="894" t="s">
        <v>1655</v>
      </c>
      <c r="B7" s="894"/>
      <c r="C7" s="894"/>
      <c r="D7" s="894"/>
      <c r="E7" s="894"/>
      <c r="F7" s="894"/>
      <c r="G7" s="893" t="s">
        <v>1656</v>
      </c>
      <c r="H7" s="893"/>
      <c r="I7" s="893"/>
      <c r="J7" s="893"/>
      <c r="K7" s="893"/>
      <c r="L7" s="893"/>
      <c r="M7" s="893"/>
      <c r="N7" s="893"/>
      <c r="P7" s="388" t="s">
        <v>1655</v>
      </c>
      <c r="Q7" s="388" t="s">
        <v>1656</v>
      </c>
      <c r="R7" s="389"/>
      <c r="S7" s="389"/>
      <c r="T7" s="389"/>
      <c r="U7" s="389"/>
      <c r="W7" s="387" t="s">
        <v>1656</v>
      </c>
    </row>
    <row r="8" spans="1:29" customFormat="1" ht="67.5" customHeight="1" x14ac:dyDescent="0.3">
      <c r="A8" s="895" t="s">
        <v>1657</v>
      </c>
      <c r="B8" s="895"/>
      <c r="C8" s="895"/>
      <c r="D8" s="895"/>
      <c r="E8" s="895"/>
      <c r="F8" s="895"/>
      <c r="G8" s="893"/>
      <c r="H8" s="893"/>
      <c r="I8" s="893"/>
      <c r="J8" s="893"/>
      <c r="K8" s="893"/>
      <c r="L8" s="893"/>
      <c r="M8" s="893"/>
      <c r="N8" s="893"/>
      <c r="P8" s="388" t="s">
        <v>1658</v>
      </c>
      <c r="Q8" s="388"/>
      <c r="R8" s="389"/>
      <c r="S8" s="389"/>
      <c r="T8" s="389"/>
      <c r="U8" s="389"/>
      <c r="X8" s="387" t="s">
        <v>1659</v>
      </c>
    </row>
    <row r="9" spans="1:29" customFormat="1" ht="33.75" customHeight="1" x14ac:dyDescent="0.3">
      <c r="A9" s="894" t="s">
        <v>1660</v>
      </c>
      <c r="B9" s="894"/>
      <c r="C9" s="894"/>
      <c r="D9" s="894"/>
      <c r="E9" s="894"/>
      <c r="F9" s="894"/>
      <c r="G9" s="893"/>
      <c r="H9" s="893"/>
      <c r="I9" s="893"/>
      <c r="J9" s="893"/>
      <c r="K9" s="893"/>
      <c r="L9" s="893"/>
      <c r="M9" s="893"/>
      <c r="N9" s="893"/>
      <c r="P9" s="388" t="s">
        <v>1660</v>
      </c>
      <c r="Q9" s="388"/>
      <c r="R9" s="389"/>
      <c r="S9" s="389"/>
      <c r="T9" s="389"/>
      <c r="U9" s="389"/>
      <c r="Y9" s="387" t="s">
        <v>1659</v>
      </c>
    </row>
    <row r="10" spans="1:29" customFormat="1" ht="11.25" customHeight="1" x14ac:dyDescent="0.3">
      <c r="A10" s="900" t="s">
        <v>1661</v>
      </c>
      <c r="B10" s="900"/>
      <c r="C10" s="900"/>
      <c r="D10" s="900"/>
      <c r="E10" s="900"/>
      <c r="F10" s="900"/>
      <c r="G10" s="893"/>
      <c r="H10" s="893"/>
      <c r="I10" s="893"/>
      <c r="J10" s="893"/>
      <c r="K10" s="893"/>
      <c r="L10" s="893"/>
      <c r="M10" s="893"/>
      <c r="N10" s="893"/>
      <c r="Z10" s="387" t="s">
        <v>1659</v>
      </c>
    </row>
    <row r="11" spans="1:29" customFormat="1" ht="14.4" x14ac:dyDescent="0.3">
      <c r="A11" s="900" t="s">
        <v>1662</v>
      </c>
      <c r="B11" s="900"/>
      <c r="C11" s="900"/>
      <c r="D11" s="900"/>
      <c r="E11" s="900"/>
      <c r="F11" s="900"/>
      <c r="G11" s="893"/>
      <c r="H11" s="893"/>
      <c r="I11" s="893"/>
      <c r="J11" s="893"/>
      <c r="K11" s="893"/>
      <c r="L11" s="893"/>
      <c r="M11" s="893"/>
      <c r="N11" s="893"/>
      <c r="AA11" s="387" t="s">
        <v>1659</v>
      </c>
    </row>
    <row r="12" spans="1:29" customFormat="1" ht="3.75" customHeight="1" x14ac:dyDescent="0.3">
      <c r="A12" s="390"/>
      <c r="B12" s="381"/>
      <c r="C12" s="381"/>
      <c r="D12" s="381"/>
      <c r="E12" s="381"/>
      <c r="F12" s="385"/>
      <c r="G12" s="385"/>
      <c r="H12" s="385"/>
      <c r="I12" s="385"/>
      <c r="J12" s="385"/>
      <c r="K12" s="385"/>
      <c r="L12" s="385"/>
      <c r="M12" s="385"/>
      <c r="N12" s="385"/>
    </row>
    <row r="13" spans="1:29" customFormat="1" ht="14.4" x14ac:dyDescent="0.3">
      <c r="A13" s="896"/>
      <c r="B13" s="896"/>
      <c r="C13" s="896"/>
      <c r="D13" s="896"/>
      <c r="E13" s="896"/>
      <c r="F13" s="896"/>
      <c r="G13" s="896"/>
      <c r="H13" s="896"/>
      <c r="I13" s="896"/>
      <c r="J13" s="896"/>
      <c r="K13" s="896"/>
      <c r="L13" s="896"/>
      <c r="M13" s="896"/>
      <c r="N13" s="896"/>
      <c r="AB13" s="387" t="s">
        <v>1659</v>
      </c>
    </row>
    <row r="14" spans="1:29" customFormat="1" ht="14.4" x14ac:dyDescent="0.3">
      <c r="A14" s="897" t="s">
        <v>1663</v>
      </c>
      <c r="B14" s="897"/>
      <c r="C14" s="897"/>
      <c r="D14" s="897"/>
      <c r="E14" s="897"/>
      <c r="F14" s="897"/>
      <c r="G14" s="897"/>
      <c r="H14" s="897"/>
      <c r="I14" s="897"/>
      <c r="J14" s="897"/>
      <c r="K14" s="897"/>
      <c r="L14" s="897"/>
      <c r="M14" s="897"/>
      <c r="N14" s="897"/>
    </row>
    <row r="15" spans="1:29" customFormat="1" ht="5.25" customHeight="1" x14ac:dyDescent="0.3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</row>
    <row r="16" spans="1:29" customFormat="1" ht="14.4" x14ac:dyDescent="0.3">
      <c r="A16" s="896"/>
      <c r="B16" s="896"/>
      <c r="C16" s="896"/>
      <c r="D16" s="896"/>
      <c r="E16" s="896"/>
      <c r="F16" s="896"/>
      <c r="G16" s="896"/>
      <c r="H16" s="896"/>
      <c r="I16" s="896"/>
      <c r="J16" s="896"/>
      <c r="K16" s="896"/>
      <c r="L16" s="896"/>
      <c r="M16" s="896"/>
      <c r="N16" s="896"/>
      <c r="AC16" s="387" t="s">
        <v>1659</v>
      </c>
    </row>
    <row r="17" spans="1:31" customFormat="1" ht="14.4" x14ac:dyDescent="0.3">
      <c r="A17" s="897" t="s">
        <v>1664</v>
      </c>
      <c r="B17" s="897"/>
      <c r="C17" s="897"/>
      <c r="D17" s="897"/>
      <c r="E17" s="897"/>
      <c r="F17" s="897"/>
      <c r="G17" s="897"/>
      <c r="H17" s="897"/>
      <c r="I17" s="897"/>
      <c r="J17" s="897"/>
      <c r="K17" s="897"/>
      <c r="L17" s="897"/>
      <c r="M17" s="897"/>
      <c r="N17" s="897"/>
    </row>
    <row r="18" spans="1:31" customFormat="1" ht="21" customHeight="1" x14ac:dyDescent="0.3">
      <c r="A18" s="898" t="s">
        <v>1665</v>
      </c>
      <c r="B18" s="898"/>
      <c r="C18" s="898"/>
      <c r="D18" s="898"/>
      <c r="E18" s="898"/>
      <c r="F18" s="898"/>
      <c r="G18" s="898"/>
      <c r="H18" s="898"/>
      <c r="I18" s="898"/>
      <c r="J18" s="898"/>
      <c r="K18" s="898"/>
      <c r="L18" s="898"/>
      <c r="M18" s="898"/>
      <c r="N18" s="898"/>
    </row>
    <row r="19" spans="1:31" customFormat="1" ht="3.75" customHeight="1" x14ac:dyDescent="0.3">
      <c r="A19" s="392"/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</row>
    <row r="20" spans="1:31" customFormat="1" ht="14.4" x14ac:dyDescent="0.3">
      <c r="A20" s="899" t="s">
        <v>1666</v>
      </c>
      <c r="B20" s="899"/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AD20" s="387" t="s">
        <v>1666</v>
      </c>
    </row>
    <row r="21" spans="1:31" customFormat="1" ht="12" customHeight="1" x14ac:dyDescent="0.3">
      <c r="A21" s="897" t="s">
        <v>1667</v>
      </c>
      <c r="B21" s="897"/>
      <c r="C21" s="897"/>
      <c r="D21" s="897"/>
      <c r="E21" s="897"/>
      <c r="F21" s="897"/>
      <c r="G21" s="897"/>
      <c r="H21" s="897"/>
      <c r="I21" s="897"/>
      <c r="J21" s="897"/>
      <c r="K21" s="897"/>
      <c r="L21" s="897"/>
      <c r="M21" s="897"/>
      <c r="N21" s="897"/>
    </row>
    <row r="22" spans="1:31" customFormat="1" ht="12" customHeight="1" x14ac:dyDescent="0.3">
      <c r="A22" s="381" t="s">
        <v>1668</v>
      </c>
      <c r="B22" s="393" t="s">
        <v>1669</v>
      </c>
      <c r="C22" s="394" t="s">
        <v>1670</v>
      </c>
      <c r="D22" s="394"/>
      <c r="E22" s="394"/>
      <c r="F22" s="386"/>
      <c r="G22" s="386"/>
      <c r="H22" s="386"/>
      <c r="I22" s="386"/>
      <c r="J22" s="386"/>
      <c r="K22" s="386"/>
      <c r="L22" s="386"/>
      <c r="M22" s="386"/>
      <c r="N22" s="386"/>
    </row>
    <row r="23" spans="1:31" customFormat="1" ht="12" customHeight="1" x14ac:dyDescent="0.3">
      <c r="A23" s="381" t="s">
        <v>1671</v>
      </c>
      <c r="B23" s="892"/>
      <c r="C23" s="892"/>
      <c r="D23" s="892"/>
      <c r="E23" s="892"/>
      <c r="F23" s="892"/>
      <c r="G23" s="386"/>
      <c r="H23" s="386"/>
      <c r="I23" s="386"/>
      <c r="J23" s="386"/>
      <c r="K23" s="386"/>
      <c r="L23" s="386"/>
      <c r="M23" s="386"/>
      <c r="N23" s="386"/>
    </row>
    <row r="24" spans="1:31" customFormat="1" ht="14.4" x14ac:dyDescent="0.3">
      <c r="A24" s="381"/>
      <c r="B24" s="904" t="s">
        <v>1672</v>
      </c>
      <c r="C24" s="904"/>
      <c r="D24" s="904"/>
      <c r="E24" s="904"/>
      <c r="F24" s="904"/>
      <c r="G24" s="395"/>
      <c r="H24" s="395"/>
      <c r="I24" s="395"/>
      <c r="J24" s="395"/>
      <c r="K24" s="395"/>
      <c r="L24" s="395"/>
      <c r="M24" s="396"/>
      <c r="N24" s="395"/>
    </row>
    <row r="25" spans="1:31" customFormat="1" ht="5.25" customHeight="1" x14ac:dyDescent="0.3">
      <c r="A25" s="381"/>
      <c r="B25" s="381"/>
      <c r="C25" s="381"/>
      <c r="D25" s="397"/>
      <c r="E25" s="397"/>
      <c r="F25" s="397"/>
      <c r="G25" s="397"/>
      <c r="H25" s="397"/>
      <c r="I25" s="397"/>
      <c r="J25" s="397"/>
      <c r="K25" s="397"/>
      <c r="L25" s="397"/>
      <c r="M25" s="395"/>
      <c r="N25" s="395"/>
    </row>
    <row r="26" spans="1:31" customFormat="1" ht="14.4" x14ac:dyDescent="0.3">
      <c r="A26" s="398" t="s">
        <v>1673</v>
      </c>
      <c r="B26" s="381"/>
      <c r="C26" s="381"/>
      <c r="D26" s="905" t="s">
        <v>2100</v>
      </c>
      <c r="E26" s="905"/>
      <c r="F26" s="905"/>
      <c r="G26" s="399"/>
      <c r="H26" s="399"/>
      <c r="I26" s="399"/>
      <c r="J26" s="399"/>
      <c r="K26" s="399"/>
      <c r="L26" s="399"/>
      <c r="M26" s="399"/>
      <c r="N26" s="399"/>
      <c r="AE26" s="387" t="s">
        <v>2100</v>
      </c>
    </row>
    <row r="27" spans="1:31" customFormat="1" ht="7.5" customHeight="1" x14ac:dyDescent="0.3">
      <c r="A27" s="381"/>
      <c r="B27" s="383"/>
      <c r="C27" s="383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</row>
    <row r="28" spans="1:31" customFormat="1" ht="12" customHeight="1" x14ac:dyDescent="0.3">
      <c r="A28" s="398" t="s">
        <v>1675</v>
      </c>
      <c r="B28" s="383"/>
      <c r="C28" s="401">
        <v>48402.26</v>
      </c>
      <c r="D28" s="402" t="s">
        <v>1676</v>
      </c>
      <c r="E28" s="403" t="s">
        <v>1677</v>
      </c>
      <c r="G28" s="383"/>
      <c r="H28" s="383"/>
      <c r="I28" s="383"/>
      <c r="J28" s="383"/>
      <c r="K28" s="383"/>
      <c r="L28" s="404"/>
      <c r="M28" s="404"/>
      <c r="N28" s="383"/>
    </row>
    <row r="29" spans="1:31" customFormat="1" ht="11.25" customHeight="1" x14ac:dyDescent="0.3">
      <c r="A29" s="381"/>
      <c r="B29" s="405" t="s">
        <v>1678</v>
      </c>
      <c r="C29" s="406"/>
      <c r="D29" s="407"/>
      <c r="E29" s="403"/>
      <c r="G29" s="383"/>
    </row>
    <row r="30" spans="1:31" customFormat="1" ht="12" customHeight="1" x14ac:dyDescent="0.3">
      <c r="A30" s="381"/>
      <c r="B30" s="408" t="s">
        <v>1679</v>
      </c>
      <c r="C30" s="401">
        <v>48402.26</v>
      </c>
      <c r="D30" s="402" t="s">
        <v>1676</v>
      </c>
      <c r="E30" s="403" t="s">
        <v>1677</v>
      </c>
      <c r="G30" s="383" t="s">
        <v>1680</v>
      </c>
      <c r="I30" s="383"/>
      <c r="J30" s="383"/>
      <c r="K30" s="383"/>
      <c r="L30" s="401">
        <v>9476.24</v>
      </c>
      <c r="M30" s="409" t="s">
        <v>1681</v>
      </c>
      <c r="N30" s="403" t="s">
        <v>1677</v>
      </c>
    </row>
    <row r="31" spans="1:31" customFormat="1" ht="12" customHeight="1" x14ac:dyDescent="0.3">
      <c r="A31" s="381"/>
      <c r="B31" s="408" t="s">
        <v>1682</v>
      </c>
      <c r="C31" s="401">
        <v>0</v>
      </c>
      <c r="D31" s="410" t="s">
        <v>1683</v>
      </c>
      <c r="E31" s="403" t="s">
        <v>1677</v>
      </c>
      <c r="G31" s="383" t="s">
        <v>1684</v>
      </c>
      <c r="I31" s="383"/>
      <c r="J31" s="383"/>
      <c r="K31" s="383"/>
      <c r="L31" s="906">
        <v>24772</v>
      </c>
      <c r="M31" s="906"/>
      <c r="N31" s="403" t="s">
        <v>1685</v>
      </c>
    </row>
    <row r="32" spans="1:31" customFormat="1" ht="12" customHeight="1" x14ac:dyDescent="0.3">
      <c r="A32" s="381"/>
      <c r="B32" s="408" t="s">
        <v>1686</v>
      </c>
      <c r="C32" s="401">
        <v>0</v>
      </c>
      <c r="D32" s="410" t="s">
        <v>1683</v>
      </c>
      <c r="E32" s="403" t="s">
        <v>1677</v>
      </c>
      <c r="G32" s="383" t="s">
        <v>1687</v>
      </c>
      <c r="I32" s="383"/>
      <c r="J32" s="383"/>
      <c r="K32" s="383"/>
      <c r="L32" s="906">
        <v>5180.16</v>
      </c>
      <c r="M32" s="906"/>
      <c r="N32" s="403" t="s">
        <v>1685</v>
      </c>
    </row>
    <row r="33" spans="1:38" customFormat="1" ht="12" customHeight="1" x14ac:dyDescent="0.3">
      <c r="A33" s="381"/>
      <c r="B33" s="408" t="s">
        <v>1688</v>
      </c>
      <c r="C33" s="401">
        <v>0</v>
      </c>
      <c r="D33" s="402" t="s">
        <v>1683</v>
      </c>
      <c r="E33" s="403" t="s">
        <v>1677</v>
      </c>
      <c r="G33" s="383"/>
      <c r="H33" s="383"/>
      <c r="I33" s="383"/>
      <c r="J33" s="383"/>
      <c r="K33" s="383"/>
      <c r="L33" s="901" t="s">
        <v>1689</v>
      </c>
      <c r="M33" s="901"/>
      <c r="N33" s="383"/>
    </row>
    <row r="34" spans="1:38" customFormat="1" ht="7.5" customHeight="1" x14ac:dyDescent="0.3">
      <c r="A34" s="411"/>
    </row>
    <row r="35" spans="1:38" customFormat="1" ht="23.25" customHeight="1" x14ac:dyDescent="0.3">
      <c r="A35" s="902" t="s">
        <v>226</v>
      </c>
      <c r="B35" s="903" t="s">
        <v>1690</v>
      </c>
      <c r="C35" s="903" t="s">
        <v>227</v>
      </c>
      <c r="D35" s="903"/>
      <c r="E35" s="903"/>
      <c r="F35" s="903" t="s">
        <v>1691</v>
      </c>
      <c r="G35" s="903" t="s">
        <v>20</v>
      </c>
      <c r="H35" s="903"/>
      <c r="I35" s="903"/>
      <c r="J35" s="903" t="s">
        <v>1692</v>
      </c>
      <c r="K35" s="903"/>
      <c r="L35" s="903"/>
      <c r="M35" s="903" t="s">
        <v>1693</v>
      </c>
      <c r="N35" s="903" t="s">
        <v>1694</v>
      </c>
    </row>
    <row r="36" spans="1:38" customFormat="1" ht="28.5" customHeight="1" x14ac:dyDescent="0.3">
      <c r="A36" s="902"/>
      <c r="B36" s="903"/>
      <c r="C36" s="903"/>
      <c r="D36" s="903"/>
      <c r="E36" s="903"/>
      <c r="F36" s="903"/>
      <c r="G36" s="903"/>
      <c r="H36" s="903"/>
      <c r="I36" s="903"/>
      <c r="J36" s="903"/>
      <c r="K36" s="903"/>
      <c r="L36" s="903"/>
      <c r="M36" s="903"/>
      <c r="N36" s="903"/>
    </row>
    <row r="37" spans="1:38" customFormat="1" ht="20.399999999999999" x14ac:dyDescent="0.3">
      <c r="A37" s="902"/>
      <c r="B37" s="903"/>
      <c r="C37" s="903"/>
      <c r="D37" s="903"/>
      <c r="E37" s="903"/>
      <c r="F37" s="903"/>
      <c r="G37" s="412" t="s">
        <v>1695</v>
      </c>
      <c r="H37" s="412" t="s">
        <v>1696</v>
      </c>
      <c r="I37" s="412" t="s">
        <v>1697</v>
      </c>
      <c r="J37" s="412" t="s">
        <v>1695</v>
      </c>
      <c r="K37" s="412" t="s">
        <v>1696</v>
      </c>
      <c r="L37" s="412" t="s">
        <v>1698</v>
      </c>
      <c r="M37" s="903"/>
      <c r="N37" s="903"/>
    </row>
    <row r="38" spans="1:38" customFormat="1" ht="14.4" x14ac:dyDescent="0.3">
      <c r="A38" s="413">
        <v>1</v>
      </c>
      <c r="B38" s="414">
        <v>2</v>
      </c>
      <c r="C38" s="909">
        <v>3</v>
      </c>
      <c r="D38" s="909"/>
      <c r="E38" s="909"/>
      <c r="F38" s="414">
        <v>4</v>
      </c>
      <c r="G38" s="414">
        <v>5</v>
      </c>
      <c r="H38" s="414">
        <v>6</v>
      </c>
      <c r="I38" s="414">
        <v>7</v>
      </c>
      <c r="J38" s="414">
        <v>8</v>
      </c>
      <c r="K38" s="414">
        <v>9</v>
      </c>
      <c r="L38" s="414">
        <v>10</v>
      </c>
      <c r="M38" s="414">
        <v>11</v>
      </c>
      <c r="N38" s="414">
        <v>12</v>
      </c>
    </row>
    <row r="39" spans="1:38" customFormat="1" ht="14.4" x14ac:dyDescent="0.3">
      <c r="A39" s="910" t="s">
        <v>1699</v>
      </c>
      <c r="B39" s="911"/>
      <c r="C39" s="911"/>
      <c r="D39" s="911"/>
      <c r="E39" s="911"/>
      <c r="F39" s="911"/>
      <c r="G39" s="911"/>
      <c r="H39" s="911"/>
      <c r="I39" s="911"/>
      <c r="J39" s="911"/>
      <c r="K39" s="911"/>
      <c r="L39" s="911"/>
      <c r="M39" s="911"/>
      <c r="N39" s="912"/>
      <c r="AF39" s="415" t="s">
        <v>1699</v>
      </c>
    </row>
    <row r="40" spans="1:38" customFormat="1" ht="14.4" x14ac:dyDescent="0.3">
      <c r="A40" s="913" t="s">
        <v>1700</v>
      </c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5"/>
      <c r="AF40" s="415"/>
      <c r="AG40" s="416" t="s">
        <v>1700</v>
      </c>
    </row>
    <row r="41" spans="1:38" customFormat="1" ht="42" x14ac:dyDescent="0.3">
      <c r="A41" s="417" t="s">
        <v>758</v>
      </c>
      <c r="B41" s="418" t="s">
        <v>1701</v>
      </c>
      <c r="C41" s="916" t="s">
        <v>1702</v>
      </c>
      <c r="D41" s="916"/>
      <c r="E41" s="916"/>
      <c r="F41" s="419" t="s">
        <v>178</v>
      </c>
      <c r="G41" s="420">
        <v>44</v>
      </c>
      <c r="H41" s="421">
        <v>1</v>
      </c>
      <c r="I41" s="421">
        <v>44</v>
      </c>
      <c r="J41" s="422"/>
      <c r="K41" s="420"/>
      <c r="L41" s="422"/>
      <c r="M41" s="420"/>
      <c r="N41" s="423"/>
      <c r="AF41" s="415"/>
      <c r="AG41" s="416"/>
      <c r="AH41" s="416" t="s">
        <v>1702</v>
      </c>
    </row>
    <row r="42" spans="1:38" customFormat="1" ht="52.2" x14ac:dyDescent="0.3">
      <c r="A42" s="424"/>
      <c r="B42" s="425" t="s">
        <v>1703</v>
      </c>
      <c r="C42" s="917" t="s">
        <v>1704</v>
      </c>
      <c r="D42" s="917"/>
      <c r="E42" s="917"/>
      <c r="F42" s="917"/>
      <c r="G42" s="917"/>
      <c r="H42" s="917"/>
      <c r="I42" s="917"/>
      <c r="J42" s="917"/>
      <c r="K42" s="917"/>
      <c r="L42" s="917"/>
      <c r="M42" s="917"/>
      <c r="N42" s="918"/>
      <c r="AF42" s="415"/>
      <c r="AG42" s="416"/>
      <c r="AH42" s="416"/>
      <c r="AI42" s="426" t="s">
        <v>1704</v>
      </c>
    </row>
    <row r="43" spans="1:38" customFormat="1" ht="14.4" x14ac:dyDescent="0.3">
      <c r="A43" s="427"/>
      <c r="B43" s="425" t="s">
        <v>758</v>
      </c>
      <c r="C43" s="907" t="s">
        <v>1705</v>
      </c>
      <c r="D43" s="907"/>
      <c r="E43" s="907"/>
      <c r="F43" s="428"/>
      <c r="G43" s="429"/>
      <c r="H43" s="429"/>
      <c r="I43" s="429"/>
      <c r="J43" s="430">
        <v>120.99</v>
      </c>
      <c r="K43" s="431">
        <v>1.1499999999999999</v>
      </c>
      <c r="L43" s="432">
        <v>6122.09</v>
      </c>
      <c r="M43" s="431">
        <v>44.77</v>
      </c>
      <c r="N43" s="433">
        <v>274085.96999999997</v>
      </c>
      <c r="AF43" s="415"/>
      <c r="AG43" s="416"/>
      <c r="AH43" s="416"/>
      <c r="AJ43" s="426" t="s">
        <v>1705</v>
      </c>
    </row>
    <row r="44" spans="1:38" customFormat="1" ht="14.4" x14ac:dyDescent="0.3">
      <c r="A44" s="434"/>
      <c r="B44" s="425"/>
      <c r="C44" s="907" t="s">
        <v>1706</v>
      </c>
      <c r="D44" s="907"/>
      <c r="E44" s="907"/>
      <c r="F44" s="428" t="s">
        <v>1707</v>
      </c>
      <c r="G44" s="431">
        <v>13.34</v>
      </c>
      <c r="H44" s="431">
        <v>1.1499999999999999</v>
      </c>
      <c r="I44" s="435">
        <v>675.00400000000002</v>
      </c>
      <c r="J44" s="436"/>
      <c r="K44" s="429"/>
      <c r="L44" s="436"/>
      <c r="M44" s="429"/>
      <c r="N44" s="437"/>
      <c r="AF44" s="415"/>
      <c r="AG44" s="416"/>
      <c r="AH44" s="416"/>
      <c r="AK44" s="426" t="s">
        <v>1706</v>
      </c>
    </row>
    <row r="45" spans="1:38" customFormat="1" ht="14.4" x14ac:dyDescent="0.3">
      <c r="A45" s="427"/>
      <c r="B45" s="425"/>
      <c r="C45" s="908" t="s">
        <v>1708</v>
      </c>
      <c r="D45" s="908"/>
      <c r="E45" s="908"/>
      <c r="F45" s="438"/>
      <c r="G45" s="439"/>
      <c r="H45" s="439"/>
      <c r="I45" s="439"/>
      <c r="J45" s="440">
        <v>120.99</v>
      </c>
      <c r="K45" s="439"/>
      <c r="L45" s="441">
        <v>6122.09</v>
      </c>
      <c r="M45" s="439"/>
      <c r="N45" s="442">
        <v>274085.96999999997</v>
      </c>
      <c r="AF45" s="415"/>
      <c r="AG45" s="416"/>
      <c r="AH45" s="416"/>
      <c r="AL45" s="426" t="s">
        <v>1708</v>
      </c>
    </row>
    <row r="46" spans="1:38" customFormat="1" ht="14.4" x14ac:dyDescent="0.3">
      <c r="A46" s="434"/>
      <c r="B46" s="425"/>
      <c r="C46" s="907" t="s">
        <v>1709</v>
      </c>
      <c r="D46" s="907"/>
      <c r="E46" s="907"/>
      <c r="F46" s="428"/>
      <c r="G46" s="429"/>
      <c r="H46" s="429"/>
      <c r="I46" s="429"/>
      <c r="J46" s="436"/>
      <c r="K46" s="429"/>
      <c r="L46" s="432">
        <v>6122.09</v>
      </c>
      <c r="M46" s="429"/>
      <c r="N46" s="433">
        <v>274085.96999999997</v>
      </c>
      <c r="AF46" s="415"/>
      <c r="AG46" s="416"/>
      <c r="AH46" s="416"/>
      <c r="AK46" s="426" t="s">
        <v>1709</v>
      </c>
    </row>
    <row r="47" spans="1:38" customFormat="1" ht="20.399999999999999" x14ac:dyDescent="0.3">
      <c r="A47" s="434"/>
      <c r="B47" s="425" t="s">
        <v>1710</v>
      </c>
      <c r="C47" s="907" t="s">
        <v>1711</v>
      </c>
      <c r="D47" s="907"/>
      <c r="E47" s="907"/>
      <c r="F47" s="428" t="s">
        <v>1712</v>
      </c>
      <c r="G47" s="443">
        <v>102</v>
      </c>
      <c r="H47" s="429"/>
      <c r="I47" s="443">
        <v>102</v>
      </c>
      <c r="J47" s="436"/>
      <c r="K47" s="429"/>
      <c r="L47" s="432">
        <v>6244.53</v>
      </c>
      <c r="M47" s="429"/>
      <c r="N47" s="433">
        <v>279567.69</v>
      </c>
      <c r="AF47" s="415"/>
      <c r="AG47" s="416"/>
      <c r="AH47" s="416"/>
      <c r="AK47" s="426" t="s">
        <v>1711</v>
      </c>
    </row>
    <row r="48" spans="1:38" customFormat="1" ht="20.399999999999999" x14ac:dyDescent="0.3">
      <c r="A48" s="434"/>
      <c r="B48" s="425" t="s">
        <v>1713</v>
      </c>
      <c r="C48" s="907" t="s">
        <v>1714</v>
      </c>
      <c r="D48" s="907"/>
      <c r="E48" s="907"/>
      <c r="F48" s="428" t="s">
        <v>1712</v>
      </c>
      <c r="G48" s="443">
        <v>54</v>
      </c>
      <c r="H48" s="429"/>
      <c r="I48" s="443">
        <v>54</v>
      </c>
      <c r="J48" s="436"/>
      <c r="K48" s="429"/>
      <c r="L48" s="432">
        <v>3305.93</v>
      </c>
      <c r="M48" s="429"/>
      <c r="N48" s="433">
        <v>148006.42000000001</v>
      </c>
      <c r="AF48" s="415"/>
      <c r="AG48" s="416"/>
      <c r="AH48" s="416"/>
      <c r="AK48" s="426" t="s">
        <v>1714</v>
      </c>
    </row>
    <row r="49" spans="1:41" customFormat="1" ht="14.4" x14ac:dyDescent="0.3">
      <c r="A49" s="444"/>
      <c r="B49" s="445"/>
      <c r="C49" s="916" t="s">
        <v>1715</v>
      </c>
      <c r="D49" s="916"/>
      <c r="E49" s="916"/>
      <c r="F49" s="419"/>
      <c r="G49" s="420"/>
      <c r="H49" s="420"/>
      <c r="I49" s="420"/>
      <c r="J49" s="422"/>
      <c r="K49" s="420"/>
      <c r="L49" s="446">
        <v>15672.55</v>
      </c>
      <c r="M49" s="439"/>
      <c r="N49" s="447">
        <v>701660.08</v>
      </c>
      <c r="AF49" s="415"/>
      <c r="AG49" s="416"/>
      <c r="AH49" s="416"/>
      <c r="AM49" s="416" t="s">
        <v>1715</v>
      </c>
    </row>
    <row r="50" spans="1:41" customFormat="1" ht="31.8" x14ac:dyDescent="0.3">
      <c r="A50" s="417" t="s">
        <v>761</v>
      </c>
      <c r="B50" s="418" t="s">
        <v>1716</v>
      </c>
      <c r="C50" s="916" t="s">
        <v>1717</v>
      </c>
      <c r="D50" s="916"/>
      <c r="E50" s="916"/>
      <c r="F50" s="419" t="s">
        <v>178</v>
      </c>
      <c r="G50" s="420">
        <v>44</v>
      </c>
      <c r="H50" s="421">
        <v>1</v>
      </c>
      <c r="I50" s="421">
        <v>44</v>
      </c>
      <c r="J50" s="422"/>
      <c r="K50" s="420"/>
      <c r="L50" s="422"/>
      <c r="M50" s="420"/>
      <c r="N50" s="423"/>
      <c r="AF50" s="415"/>
      <c r="AG50" s="416"/>
      <c r="AH50" s="416" t="s">
        <v>1717</v>
      </c>
      <c r="AM50" s="416"/>
    </row>
    <row r="51" spans="1:41" customFormat="1" ht="52.2" x14ac:dyDescent="0.3">
      <c r="A51" s="424"/>
      <c r="B51" s="425" t="s">
        <v>1703</v>
      </c>
      <c r="C51" s="917" t="s">
        <v>1704</v>
      </c>
      <c r="D51" s="917"/>
      <c r="E51" s="917"/>
      <c r="F51" s="917"/>
      <c r="G51" s="917"/>
      <c r="H51" s="917"/>
      <c r="I51" s="917"/>
      <c r="J51" s="917"/>
      <c r="K51" s="917"/>
      <c r="L51" s="917"/>
      <c r="M51" s="917"/>
      <c r="N51" s="918"/>
      <c r="AF51" s="415"/>
      <c r="AG51" s="416"/>
      <c r="AH51" s="416"/>
      <c r="AI51" s="426" t="s">
        <v>1704</v>
      </c>
      <c r="AM51" s="416"/>
    </row>
    <row r="52" spans="1:41" customFormat="1" ht="14.4" x14ac:dyDescent="0.3">
      <c r="A52" s="427"/>
      <c r="B52" s="425" t="s">
        <v>758</v>
      </c>
      <c r="C52" s="907" t="s">
        <v>1705</v>
      </c>
      <c r="D52" s="907"/>
      <c r="E52" s="907"/>
      <c r="F52" s="428"/>
      <c r="G52" s="429"/>
      <c r="H52" s="429"/>
      <c r="I52" s="429"/>
      <c r="J52" s="430">
        <v>49.86</v>
      </c>
      <c r="K52" s="431">
        <v>1.1499999999999999</v>
      </c>
      <c r="L52" s="432">
        <v>2522.92</v>
      </c>
      <c r="M52" s="431">
        <v>44.77</v>
      </c>
      <c r="N52" s="433">
        <v>112951.13</v>
      </c>
      <c r="AF52" s="415"/>
      <c r="AG52" s="416"/>
      <c r="AH52" s="416"/>
      <c r="AJ52" s="426" t="s">
        <v>1705</v>
      </c>
      <c r="AM52" s="416"/>
    </row>
    <row r="53" spans="1:41" customFormat="1" ht="14.4" x14ac:dyDescent="0.3">
      <c r="A53" s="427"/>
      <c r="B53" s="425" t="s">
        <v>761</v>
      </c>
      <c r="C53" s="907" t="s">
        <v>1718</v>
      </c>
      <c r="D53" s="907"/>
      <c r="E53" s="907"/>
      <c r="F53" s="428"/>
      <c r="G53" s="429"/>
      <c r="H53" s="429"/>
      <c r="I53" s="429"/>
      <c r="J53" s="430">
        <v>23.66</v>
      </c>
      <c r="K53" s="431">
        <v>1.1499999999999999</v>
      </c>
      <c r="L53" s="432">
        <v>1197.2</v>
      </c>
      <c r="M53" s="431">
        <v>13.24</v>
      </c>
      <c r="N53" s="433">
        <v>15850.93</v>
      </c>
      <c r="AF53" s="415"/>
      <c r="AG53" s="416"/>
      <c r="AH53" s="416"/>
      <c r="AJ53" s="426" t="s">
        <v>1718</v>
      </c>
      <c r="AM53" s="416"/>
    </row>
    <row r="54" spans="1:41" customFormat="1" ht="14.4" x14ac:dyDescent="0.3">
      <c r="A54" s="427"/>
      <c r="B54" s="425" t="s">
        <v>1144</v>
      </c>
      <c r="C54" s="907" t="s">
        <v>1719</v>
      </c>
      <c r="D54" s="907"/>
      <c r="E54" s="907"/>
      <c r="F54" s="428"/>
      <c r="G54" s="429"/>
      <c r="H54" s="429"/>
      <c r="I54" s="429"/>
      <c r="J54" s="430">
        <v>4.18</v>
      </c>
      <c r="K54" s="431">
        <v>1.1499999999999999</v>
      </c>
      <c r="L54" s="430">
        <v>211.51</v>
      </c>
      <c r="M54" s="431">
        <v>44.77</v>
      </c>
      <c r="N54" s="433">
        <v>9469.2999999999993</v>
      </c>
      <c r="AF54" s="415"/>
      <c r="AG54" s="416"/>
      <c r="AH54" s="416"/>
      <c r="AJ54" s="426" t="s">
        <v>1719</v>
      </c>
      <c r="AM54" s="416"/>
    </row>
    <row r="55" spans="1:41" customFormat="1" ht="14.4" x14ac:dyDescent="0.3">
      <c r="A55" s="434"/>
      <c r="B55" s="425"/>
      <c r="C55" s="907" t="s">
        <v>1706</v>
      </c>
      <c r="D55" s="907"/>
      <c r="E55" s="907"/>
      <c r="F55" s="428" t="s">
        <v>1707</v>
      </c>
      <c r="G55" s="431">
        <v>5.95</v>
      </c>
      <c r="H55" s="431">
        <v>1.1499999999999999</v>
      </c>
      <c r="I55" s="431">
        <v>301.07</v>
      </c>
      <c r="J55" s="436"/>
      <c r="K55" s="429"/>
      <c r="L55" s="436"/>
      <c r="M55" s="429"/>
      <c r="N55" s="437"/>
      <c r="AF55" s="415"/>
      <c r="AG55" s="416"/>
      <c r="AH55" s="416"/>
      <c r="AK55" s="426" t="s">
        <v>1706</v>
      </c>
      <c r="AM55" s="416"/>
    </row>
    <row r="56" spans="1:41" customFormat="1" ht="14.4" x14ac:dyDescent="0.3">
      <c r="A56" s="434"/>
      <c r="B56" s="425"/>
      <c r="C56" s="907" t="s">
        <v>1720</v>
      </c>
      <c r="D56" s="907"/>
      <c r="E56" s="907"/>
      <c r="F56" s="428" t="s">
        <v>1707</v>
      </c>
      <c r="G56" s="431">
        <v>0.36</v>
      </c>
      <c r="H56" s="431">
        <v>1.1499999999999999</v>
      </c>
      <c r="I56" s="435">
        <v>18.216000000000001</v>
      </c>
      <c r="J56" s="436"/>
      <c r="K56" s="429"/>
      <c r="L56" s="436"/>
      <c r="M56" s="429"/>
      <c r="N56" s="437"/>
      <c r="AF56" s="415"/>
      <c r="AG56" s="416"/>
      <c r="AH56" s="416"/>
      <c r="AK56" s="426" t="s">
        <v>1720</v>
      </c>
      <c r="AM56" s="416"/>
    </row>
    <row r="57" spans="1:41" customFormat="1" ht="14.4" x14ac:dyDescent="0.3">
      <c r="A57" s="427"/>
      <c r="B57" s="425"/>
      <c r="C57" s="908" t="s">
        <v>1708</v>
      </c>
      <c r="D57" s="908"/>
      <c r="E57" s="908"/>
      <c r="F57" s="438"/>
      <c r="G57" s="439"/>
      <c r="H57" s="439"/>
      <c r="I57" s="439"/>
      <c r="J57" s="440">
        <v>73.52</v>
      </c>
      <c r="K57" s="439"/>
      <c r="L57" s="441">
        <v>3720.12</v>
      </c>
      <c r="M57" s="439"/>
      <c r="N57" s="442">
        <v>128802.06</v>
      </c>
      <c r="AF57" s="415"/>
      <c r="AG57" s="416"/>
      <c r="AH57" s="416"/>
      <c r="AL57" s="426" t="s">
        <v>1708</v>
      </c>
      <c r="AM57" s="416"/>
    </row>
    <row r="58" spans="1:41" customFormat="1" ht="14.4" x14ac:dyDescent="0.3">
      <c r="A58" s="434"/>
      <c r="B58" s="425"/>
      <c r="C58" s="907" t="s">
        <v>1709</v>
      </c>
      <c r="D58" s="907"/>
      <c r="E58" s="907"/>
      <c r="F58" s="428"/>
      <c r="G58" s="429"/>
      <c r="H58" s="429"/>
      <c r="I58" s="429"/>
      <c r="J58" s="436"/>
      <c r="K58" s="429"/>
      <c r="L58" s="432">
        <v>2734.43</v>
      </c>
      <c r="M58" s="429"/>
      <c r="N58" s="433">
        <v>122420.43</v>
      </c>
      <c r="AF58" s="415"/>
      <c r="AG58" s="416"/>
      <c r="AH58" s="416"/>
      <c r="AK58" s="426" t="s">
        <v>1709</v>
      </c>
      <c r="AM58" s="416"/>
    </row>
    <row r="59" spans="1:41" customFormat="1" ht="20.399999999999999" x14ac:dyDescent="0.3">
      <c r="A59" s="434"/>
      <c r="B59" s="425" t="s">
        <v>1710</v>
      </c>
      <c r="C59" s="907" t="s">
        <v>1711</v>
      </c>
      <c r="D59" s="907"/>
      <c r="E59" s="907"/>
      <c r="F59" s="428" t="s">
        <v>1712</v>
      </c>
      <c r="G59" s="443">
        <v>102</v>
      </c>
      <c r="H59" s="429"/>
      <c r="I59" s="443">
        <v>102</v>
      </c>
      <c r="J59" s="436"/>
      <c r="K59" s="429"/>
      <c r="L59" s="432">
        <v>2789.12</v>
      </c>
      <c r="M59" s="429"/>
      <c r="N59" s="433">
        <v>124868.84</v>
      </c>
      <c r="AF59" s="415"/>
      <c r="AG59" s="416"/>
      <c r="AH59" s="416"/>
      <c r="AK59" s="426" t="s">
        <v>1711</v>
      </c>
      <c r="AM59" s="416"/>
    </row>
    <row r="60" spans="1:41" customFormat="1" ht="20.399999999999999" x14ac:dyDescent="0.3">
      <c r="A60" s="434"/>
      <c r="B60" s="425" t="s">
        <v>1713</v>
      </c>
      <c r="C60" s="907" t="s">
        <v>1714</v>
      </c>
      <c r="D60" s="907"/>
      <c r="E60" s="907"/>
      <c r="F60" s="428" t="s">
        <v>1712</v>
      </c>
      <c r="G60" s="443">
        <v>54</v>
      </c>
      <c r="H60" s="429"/>
      <c r="I60" s="443">
        <v>54</v>
      </c>
      <c r="J60" s="436"/>
      <c r="K60" s="429"/>
      <c r="L60" s="432">
        <v>1476.59</v>
      </c>
      <c r="M60" s="429"/>
      <c r="N60" s="433">
        <v>66107.03</v>
      </c>
      <c r="AF60" s="415"/>
      <c r="AG60" s="416"/>
      <c r="AH60" s="416"/>
      <c r="AK60" s="426" t="s">
        <v>1714</v>
      </c>
      <c r="AM60" s="416"/>
    </row>
    <row r="61" spans="1:41" customFormat="1" ht="14.4" x14ac:dyDescent="0.3">
      <c r="A61" s="444"/>
      <c r="B61" s="445"/>
      <c r="C61" s="916" t="s">
        <v>1715</v>
      </c>
      <c r="D61" s="916"/>
      <c r="E61" s="916"/>
      <c r="F61" s="419"/>
      <c r="G61" s="420"/>
      <c r="H61" s="420"/>
      <c r="I61" s="420"/>
      <c r="J61" s="422"/>
      <c r="K61" s="420"/>
      <c r="L61" s="446">
        <v>7985.83</v>
      </c>
      <c r="M61" s="439"/>
      <c r="N61" s="447">
        <v>319777.93</v>
      </c>
      <c r="AF61" s="415"/>
      <c r="AG61" s="416"/>
      <c r="AH61" s="416"/>
      <c r="AM61" s="416" t="s">
        <v>1715</v>
      </c>
    </row>
    <row r="62" spans="1:41" customFormat="1" ht="21.6" x14ac:dyDescent="0.3">
      <c r="A62" s="417" t="s">
        <v>1144</v>
      </c>
      <c r="B62" s="418" t="s">
        <v>1721</v>
      </c>
      <c r="C62" s="916" t="s">
        <v>1722</v>
      </c>
      <c r="D62" s="916"/>
      <c r="E62" s="916"/>
      <c r="F62" s="419" t="s">
        <v>1723</v>
      </c>
      <c r="G62" s="420">
        <v>191.91</v>
      </c>
      <c r="H62" s="421">
        <v>1</v>
      </c>
      <c r="I62" s="448">
        <v>191.91</v>
      </c>
      <c r="J62" s="449">
        <v>12.12</v>
      </c>
      <c r="K62" s="420"/>
      <c r="L62" s="446">
        <v>2325.9499999999998</v>
      </c>
      <c r="M62" s="448">
        <v>13.24</v>
      </c>
      <c r="N62" s="447">
        <v>30795.58</v>
      </c>
      <c r="AF62" s="415"/>
      <c r="AG62" s="416"/>
      <c r="AH62" s="416" t="s">
        <v>1722</v>
      </c>
      <c r="AM62" s="416"/>
    </row>
    <row r="63" spans="1:41" customFormat="1" ht="14.4" x14ac:dyDescent="0.3">
      <c r="A63" s="444"/>
      <c r="B63" s="445"/>
      <c r="C63" s="907" t="s">
        <v>1724</v>
      </c>
      <c r="D63" s="907"/>
      <c r="E63" s="907"/>
      <c r="F63" s="907"/>
      <c r="G63" s="907"/>
      <c r="H63" s="907"/>
      <c r="I63" s="907"/>
      <c r="J63" s="907"/>
      <c r="K63" s="907"/>
      <c r="L63" s="907"/>
      <c r="M63" s="907"/>
      <c r="N63" s="919"/>
      <c r="AF63" s="415"/>
      <c r="AG63" s="416"/>
      <c r="AH63" s="416"/>
      <c r="AM63" s="416"/>
      <c r="AN63" s="426" t="s">
        <v>1724</v>
      </c>
    </row>
    <row r="64" spans="1:41" customFormat="1" ht="14.4" x14ac:dyDescent="0.3">
      <c r="A64" s="450"/>
      <c r="B64" s="451"/>
      <c r="C64" s="907" t="s">
        <v>1725</v>
      </c>
      <c r="D64" s="907"/>
      <c r="E64" s="907"/>
      <c r="F64" s="907"/>
      <c r="G64" s="907"/>
      <c r="H64" s="907"/>
      <c r="I64" s="907"/>
      <c r="J64" s="907"/>
      <c r="K64" s="907"/>
      <c r="L64" s="907"/>
      <c r="M64" s="907"/>
      <c r="N64" s="919"/>
      <c r="AF64" s="415"/>
      <c r="AG64" s="416"/>
      <c r="AH64" s="416"/>
      <c r="AM64" s="416"/>
      <c r="AO64" s="426" t="s">
        <v>1725</v>
      </c>
    </row>
    <row r="65" spans="1:42" customFormat="1" ht="14.4" x14ac:dyDescent="0.3">
      <c r="A65" s="444"/>
      <c r="B65" s="445"/>
      <c r="C65" s="916" t="s">
        <v>1715</v>
      </c>
      <c r="D65" s="916"/>
      <c r="E65" s="916"/>
      <c r="F65" s="419"/>
      <c r="G65" s="420"/>
      <c r="H65" s="420"/>
      <c r="I65" s="420"/>
      <c r="J65" s="422"/>
      <c r="K65" s="420"/>
      <c r="L65" s="446">
        <v>2325.9499999999998</v>
      </c>
      <c r="M65" s="439"/>
      <c r="N65" s="447">
        <v>30795.58</v>
      </c>
      <c r="AF65" s="415"/>
      <c r="AG65" s="416"/>
      <c r="AH65" s="416"/>
      <c r="AM65" s="416" t="s">
        <v>1715</v>
      </c>
    </row>
    <row r="66" spans="1:42" customFormat="1" ht="21.6" x14ac:dyDescent="0.3">
      <c r="A66" s="417" t="s">
        <v>586</v>
      </c>
      <c r="B66" s="418" t="s">
        <v>1726</v>
      </c>
      <c r="C66" s="916" t="s">
        <v>1727</v>
      </c>
      <c r="D66" s="916"/>
      <c r="E66" s="916"/>
      <c r="F66" s="419" t="s">
        <v>193</v>
      </c>
      <c r="G66" s="420">
        <v>239.36</v>
      </c>
      <c r="H66" s="421">
        <v>1</v>
      </c>
      <c r="I66" s="448">
        <v>239.36</v>
      </c>
      <c r="J66" s="449">
        <v>162.38</v>
      </c>
      <c r="K66" s="420"/>
      <c r="L66" s="446">
        <v>38867.279999999999</v>
      </c>
      <c r="M66" s="448">
        <v>8.16</v>
      </c>
      <c r="N66" s="447">
        <v>317157</v>
      </c>
      <c r="AF66" s="415"/>
      <c r="AG66" s="416"/>
      <c r="AH66" s="416" t="s">
        <v>1727</v>
      </c>
      <c r="AM66" s="416"/>
    </row>
    <row r="67" spans="1:42" customFormat="1" ht="14.4" x14ac:dyDescent="0.3">
      <c r="A67" s="444"/>
      <c r="B67" s="445"/>
      <c r="C67" s="907" t="s">
        <v>1728</v>
      </c>
      <c r="D67" s="907"/>
      <c r="E67" s="907"/>
      <c r="F67" s="907"/>
      <c r="G67" s="907"/>
      <c r="H67" s="907"/>
      <c r="I67" s="907"/>
      <c r="J67" s="907"/>
      <c r="K67" s="907"/>
      <c r="L67" s="907"/>
      <c r="M67" s="907"/>
      <c r="N67" s="919"/>
      <c r="AF67" s="415"/>
      <c r="AG67" s="416"/>
      <c r="AH67" s="416"/>
      <c r="AM67" s="416"/>
      <c r="AN67" s="426" t="s">
        <v>1728</v>
      </c>
    </row>
    <row r="68" spans="1:42" customFormat="1" ht="14.4" x14ac:dyDescent="0.3">
      <c r="A68" s="450"/>
      <c r="B68" s="451"/>
      <c r="C68" s="907" t="s">
        <v>1729</v>
      </c>
      <c r="D68" s="907"/>
      <c r="E68" s="907"/>
      <c r="F68" s="907"/>
      <c r="G68" s="907"/>
      <c r="H68" s="907"/>
      <c r="I68" s="907"/>
      <c r="J68" s="907"/>
      <c r="K68" s="907"/>
      <c r="L68" s="907"/>
      <c r="M68" s="907"/>
      <c r="N68" s="919"/>
      <c r="AF68" s="415"/>
      <c r="AG68" s="416"/>
      <c r="AH68" s="416"/>
      <c r="AM68" s="416"/>
      <c r="AO68" s="426" t="s">
        <v>1729</v>
      </c>
    </row>
    <row r="69" spans="1:42" customFormat="1" ht="14.4" x14ac:dyDescent="0.3">
      <c r="A69" s="450"/>
      <c r="B69" s="451"/>
      <c r="C69" s="907" t="s">
        <v>1730</v>
      </c>
      <c r="D69" s="907"/>
      <c r="E69" s="907"/>
      <c r="F69" s="907"/>
      <c r="G69" s="907"/>
      <c r="H69" s="907"/>
      <c r="I69" s="907"/>
      <c r="J69" s="907"/>
      <c r="K69" s="907"/>
      <c r="L69" s="907"/>
      <c r="M69" s="907"/>
      <c r="N69" s="919"/>
      <c r="AF69" s="415"/>
      <c r="AG69" s="416"/>
      <c r="AH69" s="416"/>
      <c r="AM69" s="416"/>
      <c r="AP69" s="426" t="s">
        <v>1730</v>
      </c>
    </row>
    <row r="70" spans="1:42" customFormat="1" ht="14.4" x14ac:dyDescent="0.3">
      <c r="A70" s="444"/>
      <c r="B70" s="445"/>
      <c r="C70" s="916" t="s">
        <v>1715</v>
      </c>
      <c r="D70" s="916"/>
      <c r="E70" s="916"/>
      <c r="F70" s="419"/>
      <c r="G70" s="420"/>
      <c r="H70" s="420"/>
      <c r="I70" s="420"/>
      <c r="J70" s="422"/>
      <c r="K70" s="420"/>
      <c r="L70" s="446">
        <v>38867.279999999999</v>
      </c>
      <c r="M70" s="439"/>
      <c r="N70" s="447">
        <v>317157</v>
      </c>
      <c r="AF70" s="415"/>
      <c r="AG70" s="416"/>
      <c r="AH70" s="416"/>
      <c r="AM70" s="416" t="s">
        <v>1715</v>
      </c>
    </row>
    <row r="71" spans="1:42" customFormat="1" ht="14.4" x14ac:dyDescent="0.3">
      <c r="A71" s="913" t="s">
        <v>1731</v>
      </c>
      <c r="B71" s="914"/>
      <c r="C71" s="914"/>
      <c r="D71" s="914"/>
      <c r="E71" s="914"/>
      <c r="F71" s="914"/>
      <c r="G71" s="914"/>
      <c r="H71" s="914"/>
      <c r="I71" s="914"/>
      <c r="J71" s="914"/>
      <c r="K71" s="914"/>
      <c r="L71" s="914"/>
      <c r="M71" s="914"/>
      <c r="N71" s="915"/>
      <c r="AF71" s="415"/>
      <c r="AG71" s="416" t="s">
        <v>1731</v>
      </c>
      <c r="AH71" s="416"/>
      <c r="AM71" s="416"/>
    </row>
    <row r="72" spans="1:42" customFormat="1" ht="31.8" x14ac:dyDescent="0.3">
      <c r="A72" s="417" t="s">
        <v>770</v>
      </c>
      <c r="B72" s="418" t="s">
        <v>1732</v>
      </c>
      <c r="C72" s="916" t="s">
        <v>1733</v>
      </c>
      <c r="D72" s="916"/>
      <c r="E72" s="916"/>
      <c r="F72" s="419" t="s">
        <v>1734</v>
      </c>
      <c r="G72" s="420">
        <v>1.5920000000000001</v>
      </c>
      <c r="H72" s="421">
        <v>1</v>
      </c>
      <c r="I72" s="452">
        <v>1.5920000000000001</v>
      </c>
      <c r="J72" s="422"/>
      <c r="K72" s="420"/>
      <c r="L72" s="422"/>
      <c r="M72" s="420"/>
      <c r="N72" s="423"/>
      <c r="AF72" s="415"/>
      <c r="AG72" s="416"/>
      <c r="AH72" s="416" t="s">
        <v>1733</v>
      </c>
      <c r="AM72" s="416"/>
    </row>
    <row r="73" spans="1:42" customFormat="1" ht="14.4" x14ac:dyDescent="0.3">
      <c r="A73" s="450"/>
      <c r="B73" s="451"/>
      <c r="C73" s="907" t="s">
        <v>1735</v>
      </c>
      <c r="D73" s="907"/>
      <c r="E73" s="907"/>
      <c r="F73" s="907"/>
      <c r="G73" s="907"/>
      <c r="H73" s="907"/>
      <c r="I73" s="907"/>
      <c r="J73" s="907"/>
      <c r="K73" s="907"/>
      <c r="L73" s="907"/>
      <c r="M73" s="907"/>
      <c r="N73" s="919"/>
      <c r="AF73" s="415"/>
      <c r="AG73" s="416"/>
      <c r="AH73" s="416"/>
      <c r="AM73" s="416"/>
      <c r="AO73" s="426" t="s">
        <v>1735</v>
      </c>
    </row>
    <row r="74" spans="1:42" customFormat="1" ht="20.399999999999999" x14ac:dyDescent="0.3">
      <c r="A74" s="424"/>
      <c r="B74" s="425" t="s">
        <v>1736</v>
      </c>
      <c r="C74" s="917" t="s">
        <v>1737</v>
      </c>
      <c r="D74" s="917"/>
      <c r="E74" s="917"/>
      <c r="F74" s="917"/>
      <c r="G74" s="917"/>
      <c r="H74" s="917"/>
      <c r="I74" s="917"/>
      <c r="J74" s="917"/>
      <c r="K74" s="917"/>
      <c r="L74" s="917"/>
      <c r="M74" s="917"/>
      <c r="N74" s="918"/>
      <c r="AF74" s="415"/>
      <c r="AG74" s="416"/>
      <c r="AH74" s="416"/>
      <c r="AI74" s="426" t="s">
        <v>1737</v>
      </c>
      <c r="AM74" s="416"/>
    </row>
    <row r="75" spans="1:42" customFormat="1" ht="52.2" x14ac:dyDescent="0.3">
      <c r="A75" s="424"/>
      <c r="B75" s="425" t="s">
        <v>1703</v>
      </c>
      <c r="C75" s="917" t="s">
        <v>1704</v>
      </c>
      <c r="D75" s="917"/>
      <c r="E75" s="917"/>
      <c r="F75" s="917"/>
      <c r="G75" s="917"/>
      <c r="H75" s="917"/>
      <c r="I75" s="917"/>
      <c r="J75" s="917"/>
      <c r="K75" s="917"/>
      <c r="L75" s="917"/>
      <c r="M75" s="917"/>
      <c r="N75" s="918"/>
      <c r="AF75" s="415"/>
      <c r="AG75" s="416"/>
      <c r="AH75" s="416"/>
      <c r="AI75" s="426" t="s">
        <v>1704</v>
      </c>
      <c r="AM75" s="416"/>
    </row>
    <row r="76" spans="1:42" customFormat="1" ht="14.4" x14ac:dyDescent="0.3">
      <c r="A76" s="427"/>
      <c r="B76" s="425" t="s">
        <v>758</v>
      </c>
      <c r="C76" s="907" t="s">
        <v>1705</v>
      </c>
      <c r="D76" s="907"/>
      <c r="E76" s="907"/>
      <c r="F76" s="428"/>
      <c r="G76" s="429"/>
      <c r="H76" s="429"/>
      <c r="I76" s="429"/>
      <c r="J76" s="432">
        <v>1018.9</v>
      </c>
      <c r="K76" s="431">
        <v>0.92</v>
      </c>
      <c r="L76" s="432">
        <v>1492.32</v>
      </c>
      <c r="M76" s="431">
        <v>44.77</v>
      </c>
      <c r="N76" s="433">
        <v>66811.17</v>
      </c>
      <c r="AF76" s="415"/>
      <c r="AG76" s="416"/>
      <c r="AH76" s="416"/>
      <c r="AJ76" s="426" t="s">
        <v>1705</v>
      </c>
      <c r="AM76" s="416"/>
    </row>
    <row r="77" spans="1:42" customFormat="1" ht="14.4" x14ac:dyDescent="0.3">
      <c r="A77" s="427"/>
      <c r="B77" s="425" t="s">
        <v>761</v>
      </c>
      <c r="C77" s="907" t="s">
        <v>1718</v>
      </c>
      <c r="D77" s="907"/>
      <c r="E77" s="907"/>
      <c r="F77" s="428"/>
      <c r="G77" s="429"/>
      <c r="H77" s="429"/>
      <c r="I77" s="429"/>
      <c r="J77" s="432">
        <v>4260.9799999999996</v>
      </c>
      <c r="K77" s="431">
        <v>0.92</v>
      </c>
      <c r="L77" s="432">
        <v>6240.8</v>
      </c>
      <c r="M77" s="431">
        <v>13.24</v>
      </c>
      <c r="N77" s="433">
        <v>82628.19</v>
      </c>
      <c r="AF77" s="415"/>
      <c r="AG77" s="416"/>
      <c r="AH77" s="416"/>
      <c r="AJ77" s="426" t="s">
        <v>1718</v>
      </c>
      <c r="AM77" s="416"/>
    </row>
    <row r="78" spans="1:42" customFormat="1" ht="14.4" x14ac:dyDescent="0.3">
      <c r="A78" s="427"/>
      <c r="B78" s="425" t="s">
        <v>1144</v>
      </c>
      <c r="C78" s="907" t="s">
        <v>1719</v>
      </c>
      <c r="D78" s="907"/>
      <c r="E78" s="907"/>
      <c r="F78" s="428"/>
      <c r="G78" s="429"/>
      <c r="H78" s="429"/>
      <c r="I78" s="429"/>
      <c r="J78" s="430">
        <v>508.75</v>
      </c>
      <c r="K78" s="431">
        <v>0.92</v>
      </c>
      <c r="L78" s="430">
        <v>745.14</v>
      </c>
      <c r="M78" s="431">
        <v>44.77</v>
      </c>
      <c r="N78" s="433">
        <v>33359.919999999998</v>
      </c>
      <c r="AF78" s="415"/>
      <c r="AG78" s="416"/>
      <c r="AH78" s="416"/>
      <c r="AJ78" s="426" t="s">
        <v>1719</v>
      </c>
      <c r="AM78" s="416"/>
    </row>
    <row r="79" spans="1:42" customFormat="1" ht="14.4" x14ac:dyDescent="0.3">
      <c r="A79" s="427"/>
      <c r="B79" s="425" t="s">
        <v>586</v>
      </c>
      <c r="C79" s="907" t="s">
        <v>1738</v>
      </c>
      <c r="D79" s="907"/>
      <c r="E79" s="907"/>
      <c r="F79" s="428"/>
      <c r="G79" s="429"/>
      <c r="H79" s="429"/>
      <c r="I79" s="429"/>
      <c r="J79" s="430">
        <v>48.36</v>
      </c>
      <c r="K79" s="443">
        <v>0</v>
      </c>
      <c r="L79" s="430">
        <v>0</v>
      </c>
      <c r="M79" s="431">
        <v>8.16</v>
      </c>
      <c r="N79" s="437"/>
      <c r="AF79" s="415"/>
      <c r="AG79" s="416"/>
      <c r="AH79" s="416"/>
      <c r="AJ79" s="426" t="s">
        <v>1738</v>
      </c>
      <c r="AM79" s="416"/>
    </row>
    <row r="80" spans="1:42" customFormat="1" ht="14.4" x14ac:dyDescent="0.3">
      <c r="A80" s="434"/>
      <c r="B80" s="425"/>
      <c r="C80" s="907" t="s">
        <v>1706</v>
      </c>
      <c r="D80" s="907"/>
      <c r="E80" s="907"/>
      <c r="F80" s="428" t="s">
        <v>1707</v>
      </c>
      <c r="G80" s="443">
        <v>115</v>
      </c>
      <c r="H80" s="431">
        <v>0.92</v>
      </c>
      <c r="I80" s="453">
        <v>168.43360000000001</v>
      </c>
      <c r="J80" s="436"/>
      <c r="K80" s="429"/>
      <c r="L80" s="436"/>
      <c r="M80" s="429"/>
      <c r="N80" s="437"/>
      <c r="AF80" s="415"/>
      <c r="AG80" s="416"/>
      <c r="AH80" s="416"/>
      <c r="AK80" s="426" t="s">
        <v>1706</v>
      </c>
      <c r="AM80" s="416"/>
    </row>
    <row r="81" spans="1:41" customFormat="1" ht="14.4" x14ac:dyDescent="0.3">
      <c r="A81" s="434"/>
      <c r="B81" s="425"/>
      <c r="C81" s="907" t="s">
        <v>1720</v>
      </c>
      <c r="D81" s="907"/>
      <c r="E81" s="907"/>
      <c r="F81" s="428" t="s">
        <v>1707</v>
      </c>
      <c r="G81" s="431">
        <v>38.229999999999997</v>
      </c>
      <c r="H81" s="431">
        <v>0.92</v>
      </c>
      <c r="I81" s="454">
        <v>55.993187200000001</v>
      </c>
      <c r="J81" s="436"/>
      <c r="K81" s="429"/>
      <c r="L81" s="436"/>
      <c r="M81" s="429"/>
      <c r="N81" s="437"/>
      <c r="AF81" s="415"/>
      <c r="AG81" s="416"/>
      <c r="AH81" s="416"/>
      <c r="AK81" s="426" t="s">
        <v>1720</v>
      </c>
      <c r="AM81" s="416"/>
    </row>
    <row r="82" spans="1:41" customFormat="1" ht="14.4" x14ac:dyDescent="0.3">
      <c r="A82" s="427"/>
      <c r="B82" s="425"/>
      <c r="C82" s="908" t="s">
        <v>1708</v>
      </c>
      <c r="D82" s="908"/>
      <c r="E82" s="908"/>
      <c r="F82" s="438"/>
      <c r="G82" s="439"/>
      <c r="H82" s="439"/>
      <c r="I82" s="439"/>
      <c r="J82" s="441">
        <v>5328.24</v>
      </c>
      <c r="K82" s="439"/>
      <c r="L82" s="441">
        <v>7733.12</v>
      </c>
      <c r="M82" s="439"/>
      <c r="N82" s="442">
        <v>149439.35999999999</v>
      </c>
      <c r="AF82" s="415"/>
      <c r="AG82" s="416"/>
      <c r="AH82" s="416"/>
      <c r="AL82" s="426" t="s">
        <v>1708</v>
      </c>
      <c r="AM82" s="416"/>
    </row>
    <row r="83" spans="1:41" customFormat="1" ht="14.4" x14ac:dyDescent="0.3">
      <c r="A83" s="434"/>
      <c r="B83" s="425"/>
      <c r="C83" s="907" t="s">
        <v>1709</v>
      </c>
      <c r="D83" s="907"/>
      <c r="E83" s="907"/>
      <c r="F83" s="428"/>
      <c r="G83" s="429"/>
      <c r="H83" s="429"/>
      <c r="I83" s="429"/>
      <c r="J83" s="436"/>
      <c r="K83" s="429"/>
      <c r="L83" s="432">
        <v>2237.46</v>
      </c>
      <c r="M83" s="429"/>
      <c r="N83" s="433">
        <v>100171.09</v>
      </c>
      <c r="AF83" s="415"/>
      <c r="AG83" s="416"/>
      <c r="AH83" s="416"/>
      <c r="AK83" s="426" t="s">
        <v>1709</v>
      </c>
      <c r="AM83" s="416"/>
    </row>
    <row r="84" spans="1:41" customFormat="1" ht="21.6" x14ac:dyDescent="0.3">
      <c r="A84" s="434"/>
      <c r="B84" s="425" t="s">
        <v>1739</v>
      </c>
      <c r="C84" s="907" t="s">
        <v>1740</v>
      </c>
      <c r="D84" s="907"/>
      <c r="E84" s="907"/>
      <c r="F84" s="428" t="s">
        <v>1712</v>
      </c>
      <c r="G84" s="443">
        <v>110</v>
      </c>
      <c r="H84" s="429"/>
      <c r="I84" s="443">
        <v>110</v>
      </c>
      <c r="J84" s="436"/>
      <c r="K84" s="429"/>
      <c r="L84" s="432">
        <v>2461.21</v>
      </c>
      <c r="M84" s="429"/>
      <c r="N84" s="433">
        <v>110188.2</v>
      </c>
      <c r="AF84" s="415"/>
      <c r="AG84" s="416"/>
      <c r="AH84" s="416"/>
      <c r="AK84" s="426" t="s">
        <v>1740</v>
      </c>
      <c r="AM84" s="416"/>
    </row>
    <row r="85" spans="1:41" customFormat="1" ht="21.6" x14ac:dyDescent="0.3">
      <c r="A85" s="434"/>
      <c r="B85" s="425" t="s">
        <v>1741</v>
      </c>
      <c r="C85" s="907" t="s">
        <v>1742</v>
      </c>
      <c r="D85" s="907"/>
      <c r="E85" s="907"/>
      <c r="F85" s="428" t="s">
        <v>1712</v>
      </c>
      <c r="G85" s="443">
        <v>73</v>
      </c>
      <c r="H85" s="429"/>
      <c r="I85" s="443">
        <v>73</v>
      </c>
      <c r="J85" s="436"/>
      <c r="K85" s="429"/>
      <c r="L85" s="432">
        <v>1633.35</v>
      </c>
      <c r="M85" s="429"/>
      <c r="N85" s="433">
        <v>73124.899999999994</v>
      </c>
      <c r="AF85" s="415"/>
      <c r="AG85" s="416"/>
      <c r="AH85" s="416"/>
      <c r="AK85" s="426" t="s">
        <v>1742</v>
      </c>
      <c r="AM85" s="416"/>
    </row>
    <row r="86" spans="1:41" customFormat="1" ht="14.4" x14ac:dyDescent="0.3">
      <c r="A86" s="444"/>
      <c r="B86" s="445"/>
      <c r="C86" s="916" t="s">
        <v>1715</v>
      </c>
      <c r="D86" s="916"/>
      <c r="E86" s="916"/>
      <c r="F86" s="419"/>
      <c r="G86" s="420"/>
      <c r="H86" s="420"/>
      <c r="I86" s="420"/>
      <c r="J86" s="422"/>
      <c r="K86" s="420"/>
      <c r="L86" s="446">
        <v>11827.68</v>
      </c>
      <c r="M86" s="439"/>
      <c r="N86" s="447">
        <v>332752.46000000002</v>
      </c>
      <c r="AF86" s="415"/>
      <c r="AG86" s="416"/>
      <c r="AH86" s="416"/>
      <c r="AM86" s="416" t="s">
        <v>1715</v>
      </c>
    </row>
    <row r="87" spans="1:41" customFormat="1" ht="31.8" x14ac:dyDescent="0.3">
      <c r="A87" s="417" t="s">
        <v>777</v>
      </c>
      <c r="B87" s="418" t="s">
        <v>1743</v>
      </c>
      <c r="C87" s="916" t="s">
        <v>1744</v>
      </c>
      <c r="D87" s="916"/>
      <c r="E87" s="916"/>
      <c r="F87" s="419" t="s">
        <v>1723</v>
      </c>
      <c r="G87" s="420">
        <v>64</v>
      </c>
      <c r="H87" s="421">
        <v>1</v>
      </c>
      <c r="I87" s="421">
        <v>64</v>
      </c>
      <c r="J87" s="449">
        <v>10.71</v>
      </c>
      <c r="K87" s="420"/>
      <c r="L87" s="449">
        <v>685.44</v>
      </c>
      <c r="M87" s="448">
        <v>13.24</v>
      </c>
      <c r="N87" s="447">
        <v>9075.23</v>
      </c>
      <c r="AF87" s="415"/>
      <c r="AG87" s="416"/>
      <c r="AH87" s="416" t="s">
        <v>1744</v>
      </c>
      <c r="AM87" s="416"/>
    </row>
    <row r="88" spans="1:41" customFormat="1" ht="14.4" x14ac:dyDescent="0.3">
      <c r="A88" s="444"/>
      <c r="B88" s="445"/>
      <c r="C88" s="907" t="s">
        <v>1745</v>
      </c>
      <c r="D88" s="907"/>
      <c r="E88" s="907"/>
      <c r="F88" s="907"/>
      <c r="G88" s="907"/>
      <c r="H88" s="907"/>
      <c r="I88" s="907"/>
      <c r="J88" s="907"/>
      <c r="K88" s="907"/>
      <c r="L88" s="907"/>
      <c r="M88" s="907"/>
      <c r="N88" s="919"/>
      <c r="AF88" s="415"/>
      <c r="AG88" s="416"/>
      <c r="AH88" s="416"/>
      <c r="AM88" s="416"/>
      <c r="AN88" s="426" t="s">
        <v>1745</v>
      </c>
    </row>
    <row r="89" spans="1:41" customFormat="1" ht="14.4" x14ac:dyDescent="0.3">
      <c r="A89" s="450"/>
      <c r="B89" s="451"/>
      <c r="C89" s="907" t="s">
        <v>1746</v>
      </c>
      <c r="D89" s="907"/>
      <c r="E89" s="907"/>
      <c r="F89" s="907"/>
      <c r="G89" s="907"/>
      <c r="H89" s="907"/>
      <c r="I89" s="907"/>
      <c r="J89" s="907"/>
      <c r="K89" s="907"/>
      <c r="L89" s="907"/>
      <c r="M89" s="907"/>
      <c r="N89" s="919"/>
      <c r="AF89" s="415"/>
      <c r="AG89" s="416"/>
      <c r="AH89" s="416"/>
      <c r="AM89" s="416"/>
      <c r="AO89" s="426" t="s">
        <v>1746</v>
      </c>
    </row>
    <row r="90" spans="1:41" customFormat="1" ht="14.4" x14ac:dyDescent="0.3">
      <c r="A90" s="444"/>
      <c r="B90" s="445"/>
      <c r="C90" s="916" t="s">
        <v>1715</v>
      </c>
      <c r="D90" s="916"/>
      <c r="E90" s="916"/>
      <c r="F90" s="419"/>
      <c r="G90" s="420"/>
      <c r="H90" s="420"/>
      <c r="I90" s="420"/>
      <c r="J90" s="422"/>
      <c r="K90" s="420"/>
      <c r="L90" s="449">
        <v>685.44</v>
      </c>
      <c r="M90" s="439"/>
      <c r="N90" s="447">
        <v>9075.23</v>
      </c>
      <c r="AF90" s="415"/>
      <c r="AG90" s="416"/>
      <c r="AH90" s="416"/>
      <c r="AM90" s="416" t="s">
        <v>1715</v>
      </c>
    </row>
    <row r="91" spans="1:41" customFormat="1" ht="42" x14ac:dyDescent="0.3">
      <c r="A91" s="417" t="s">
        <v>609</v>
      </c>
      <c r="B91" s="418" t="s">
        <v>1747</v>
      </c>
      <c r="C91" s="916" t="s">
        <v>1748</v>
      </c>
      <c r="D91" s="916"/>
      <c r="E91" s="916"/>
      <c r="F91" s="419" t="s">
        <v>1723</v>
      </c>
      <c r="G91" s="420">
        <v>21.76</v>
      </c>
      <c r="H91" s="421">
        <v>1</v>
      </c>
      <c r="I91" s="448">
        <v>21.76</v>
      </c>
      <c r="J91" s="449">
        <v>3.28</v>
      </c>
      <c r="K91" s="420"/>
      <c r="L91" s="449">
        <v>71.37</v>
      </c>
      <c r="M91" s="448">
        <v>13.24</v>
      </c>
      <c r="N91" s="455">
        <v>944.94</v>
      </c>
      <c r="AF91" s="415"/>
      <c r="AG91" s="416"/>
      <c r="AH91" s="416" t="s">
        <v>1748</v>
      </c>
      <c r="AM91" s="416"/>
    </row>
    <row r="92" spans="1:41" customFormat="1" ht="14.4" x14ac:dyDescent="0.3">
      <c r="A92" s="450"/>
      <c r="B92" s="451"/>
      <c r="C92" s="907" t="s">
        <v>1749</v>
      </c>
      <c r="D92" s="907"/>
      <c r="E92" s="907"/>
      <c r="F92" s="907"/>
      <c r="G92" s="907"/>
      <c r="H92" s="907"/>
      <c r="I92" s="907"/>
      <c r="J92" s="907"/>
      <c r="K92" s="907"/>
      <c r="L92" s="907"/>
      <c r="M92" s="907"/>
      <c r="N92" s="919"/>
      <c r="AF92" s="415"/>
      <c r="AG92" s="416"/>
      <c r="AH92" s="416"/>
      <c r="AM92" s="416"/>
      <c r="AO92" s="426" t="s">
        <v>1749</v>
      </c>
    </row>
    <row r="93" spans="1:41" customFormat="1" ht="14.4" x14ac:dyDescent="0.3">
      <c r="A93" s="444"/>
      <c r="B93" s="445"/>
      <c r="C93" s="916" t="s">
        <v>1715</v>
      </c>
      <c r="D93" s="916"/>
      <c r="E93" s="916"/>
      <c r="F93" s="419"/>
      <c r="G93" s="420"/>
      <c r="H93" s="420"/>
      <c r="I93" s="420"/>
      <c r="J93" s="422"/>
      <c r="K93" s="420"/>
      <c r="L93" s="449">
        <v>71.37</v>
      </c>
      <c r="M93" s="439"/>
      <c r="N93" s="455">
        <v>944.94</v>
      </c>
      <c r="AF93" s="415"/>
      <c r="AG93" s="416"/>
      <c r="AH93" s="416"/>
      <c r="AM93" s="416" t="s">
        <v>1715</v>
      </c>
    </row>
    <row r="94" spans="1:41" customFormat="1" ht="21.6" x14ac:dyDescent="0.3">
      <c r="A94" s="417" t="s">
        <v>1750</v>
      </c>
      <c r="B94" s="418" t="s">
        <v>1751</v>
      </c>
      <c r="C94" s="916" t="s">
        <v>1752</v>
      </c>
      <c r="D94" s="916"/>
      <c r="E94" s="916"/>
      <c r="F94" s="419" t="s">
        <v>1723</v>
      </c>
      <c r="G94" s="420">
        <v>5.44</v>
      </c>
      <c r="H94" s="421">
        <v>1</v>
      </c>
      <c r="I94" s="448">
        <v>5.44</v>
      </c>
      <c r="J94" s="449">
        <v>42.98</v>
      </c>
      <c r="K94" s="448">
        <v>1.1499999999999999</v>
      </c>
      <c r="L94" s="449">
        <v>268.88</v>
      </c>
      <c r="M94" s="448">
        <v>13.24</v>
      </c>
      <c r="N94" s="447">
        <v>3559.97</v>
      </c>
      <c r="AF94" s="415"/>
      <c r="AG94" s="416"/>
      <c r="AH94" s="416" t="s">
        <v>1752</v>
      </c>
      <c r="AM94" s="416"/>
    </row>
    <row r="95" spans="1:41" customFormat="1" ht="14.4" x14ac:dyDescent="0.3">
      <c r="A95" s="450"/>
      <c r="B95" s="451"/>
      <c r="C95" s="907" t="s">
        <v>1753</v>
      </c>
      <c r="D95" s="907"/>
      <c r="E95" s="907"/>
      <c r="F95" s="907"/>
      <c r="G95" s="907"/>
      <c r="H95" s="907"/>
      <c r="I95" s="907"/>
      <c r="J95" s="907"/>
      <c r="K95" s="907"/>
      <c r="L95" s="907"/>
      <c r="M95" s="907"/>
      <c r="N95" s="919"/>
      <c r="AF95" s="415"/>
      <c r="AG95" s="416"/>
      <c r="AH95" s="416"/>
      <c r="AM95" s="416"/>
      <c r="AO95" s="426" t="s">
        <v>1753</v>
      </c>
    </row>
    <row r="96" spans="1:41" customFormat="1" ht="52.2" x14ac:dyDescent="0.3">
      <c r="A96" s="424"/>
      <c r="B96" s="425" t="s">
        <v>1703</v>
      </c>
      <c r="C96" s="917" t="s">
        <v>1704</v>
      </c>
      <c r="D96" s="917"/>
      <c r="E96" s="917"/>
      <c r="F96" s="917"/>
      <c r="G96" s="917"/>
      <c r="H96" s="917"/>
      <c r="I96" s="917"/>
      <c r="J96" s="917"/>
      <c r="K96" s="917"/>
      <c r="L96" s="917"/>
      <c r="M96" s="917"/>
      <c r="N96" s="918"/>
      <c r="AF96" s="415"/>
      <c r="AG96" s="416"/>
      <c r="AH96" s="416"/>
      <c r="AI96" s="426" t="s">
        <v>1704</v>
      </c>
      <c r="AM96" s="416"/>
    </row>
    <row r="97" spans="1:42" customFormat="1" ht="14.4" x14ac:dyDescent="0.3">
      <c r="A97" s="444"/>
      <c r="B97" s="445"/>
      <c r="C97" s="916" t="s">
        <v>1715</v>
      </c>
      <c r="D97" s="916"/>
      <c r="E97" s="916"/>
      <c r="F97" s="419"/>
      <c r="G97" s="420"/>
      <c r="H97" s="420"/>
      <c r="I97" s="420"/>
      <c r="J97" s="422"/>
      <c r="K97" s="420"/>
      <c r="L97" s="449">
        <v>268.88</v>
      </c>
      <c r="M97" s="439"/>
      <c r="N97" s="447">
        <v>3559.97</v>
      </c>
      <c r="AF97" s="415"/>
      <c r="AG97" s="416"/>
      <c r="AH97" s="416"/>
      <c r="AM97" s="416" t="s">
        <v>1715</v>
      </c>
    </row>
    <row r="98" spans="1:42" customFormat="1" ht="21.6" x14ac:dyDescent="0.3">
      <c r="A98" s="417" t="s">
        <v>1754</v>
      </c>
      <c r="B98" s="418" t="s">
        <v>1726</v>
      </c>
      <c r="C98" s="916" t="s">
        <v>1727</v>
      </c>
      <c r="D98" s="916"/>
      <c r="E98" s="916"/>
      <c r="F98" s="419" t="s">
        <v>193</v>
      </c>
      <c r="G98" s="420">
        <v>79.2</v>
      </c>
      <c r="H98" s="421">
        <v>1</v>
      </c>
      <c r="I98" s="456">
        <v>79.2</v>
      </c>
      <c r="J98" s="449">
        <v>162.38</v>
      </c>
      <c r="K98" s="420"/>
      <c r="L98" s="446">
        <v>12860.5</v>
      </c>
      <c r="M98" s="448">
        <v>8.16</v>
      </c>
      <c r="N98" s="447">
        <v>104941.68</v>
      </c>
      <c r="AF98" s="415"/>
      <c r="AG98" s="416"/>
      <c r="AH98" s="416" t="s">
        <v>1727</v>
      </c>
      <c r="AM98" s="416"/>
    </row>
    <row r="99" spans="1:42" customFormat="1" ht="14.4" x14ac:dyDescent="0.3">
      <c r="A99" s="444"/>
      <c r="B99" s="445"/>
      <c r="C99" s="907" t="s">
        <v>1728</v>
      </c>
      <c r="D99" s="907"/>
      <c r="E99" s="907"/>
      <c r="F99" s="907"/>
      <c r="G99" s="907"/>
      <c r="H99" s="907"/>
      <c r="I99" s="907"/>
      <c r="J99" s="907"/>
      <c r="K99" s="907"/>
      <c r="L99" s="907"/>
      <c r="M99" s="907"/>
      <c r="N99" s="919"/>
      <c r="AF99" s="415"/>
      <c r="AG99" s="416"/>
      <c r="AH99" s="416"/>
      <c r="AM99" s="416"/>
      <c r="AN99" s="426" t="s">
        <v>1728</v>
      </c>
    </row>
    <row r="100" spans="1:42" customFormat="1" ht="14.4" x14ac:dyDescent="0.3">
      <c r="A100" s="450"/>
      <c r="B100" s="451"/>
      <c r="C100" s="907" t="s">
        <v>1755</v>
      </c>
      <c r="D100" s="907"/>
      <c r="E100" s="907"/>
      <c r="F100" s="907"/>
      <c r="G100" s="907"/>
      <c r="H100" s="907"/>
      <c r="I100" s="907"/>
      <c r="J100" s="907"/>
      <c r="K100" s="907"/>
      <c r="L100" s="907"/>
      <c r="M100" s="907"/>
      <c r="N100" s="919"/>
      <c r="AF100" s="415"/>
      <c r="AG100" s="416"/>
      <c r="AH100" s="416"/>
      <c r="AM100" s="416"/>
      <c r="AO100" s="426" t="s">
        <v>1755</v>
      </c>
    </row>
    <row r="101" spans="1:42" customFormat="1" ht="14.4" x14ac:dyDescent="0.3">
      <c r="A101" s="450"/>
      <c r="B101" s="451"/>
      <c r="C101" s="907" t="s">
        <v>1730</v>
      </c>
      <c r="D101" s="907"/>
      <c r="E101" s="907"/>
      <c r="F101" s="907"/>
      <c r="G101" s="907"/>
      <c r="H101" s="907"/>
      <c r="I101" s="907"/>
      <c r="J101" s="907"/>
      <c r="K101" s="907"/>
      <c r="L101" s="907"/>
      <c r="M101" s="907"/>
      <c r="N101" s="919"/>
      <c r="AF101" s="415"/>
      <c r="AG101" s="416"/>
      <c r="AH101" s="416"/>
      <c r="AM101" s="416"/>
      <c r="AP101" s="426" t="s">
        <v>1730</v>
      </c>
    </row>
    <row r="102" spans="1:42" customFormat="1" ht="14.4" x14ac:dyDescent="0.3">
      <c r="A102" s="444"/>
      <c r="B102" s="445"/>
      <c r="C102" s="916" t="s">
        <v>1715</v>
      </c>
      <c r="D102" s="916"/>
      <c r="E102" s="916"/>
      <c r="F102" s="419"/>
      <c r="G102" s="420"/>
      <c r="H102" s="420"/>
      <c r="I102" s="420"/>
      <c r="J102" s="422"/>
      <c r="K102" s="420"/>
      <c r="L102" s="446">
        <v>12860.5</v>
      </c>
      <c r="M102" s="439"/>
      <c r="N102" s="447">
        <v>104941.68</v>
      </c>
      <c r="AF102" s="415"/>
      <c r="AG102" s="416"/>
      <c r="AH102" s="416"/>
      <c r="AM102" s="416" t="s">
        <v>1715</v>
      </c>
    </row>
    <row r="103" spans="1:42" customFormat="1" ht="14.4" x14ac:dyDescent="0.3">
      <c r="A103" s="913" t="s">
        <v>1756</v>
      </c>
      <c r="B103" s="914"/>
      <c r="C103" s="914"/>
      <c r="D103" s="914"/>
      <c r="E103" s="914"/>
      <c r="F103" s="914"/>
      <c r="G103" s="914"/>
      <c r="H103" s="914"/>
      <c r="I103" s="914"/>
      <c r="J103" s="914"/>
      <c r="K103" s="914"/>
      <c r="L103" s="914"/>
      <c r="M103" s="914"/>
      <c r="N103" s="915"/>
      <c r="AF103" s="415"/>
      <c r="AG103" s="416" t="s">
        <v>1756</v>
      </c>
      <c r="AH103" s="416"/>
      <c r="AM103" s="416"/>
    </row>
    <row r="104" spans="1:42" customFormat="1" ht="61.2" x14ac:dyDescent="0.3">
      <c r="A104" s="417" t="s">
        <v>600</v>
      </c>
      <c r="B104" s="418" t="s">
        <v>1757</v>
      </c>
      <c r="C104" s="916" t="s">
        <v>1758</v>
      </c>
      <c r="D104" s="916"/>
      <c r="E104" s="916"/>
      <c r="F104" s="419" t="s">
        <v>1759</v>
      </c>
      <c r="G104" s="420">
        <v>3.6480000000000001</v>
      </c>
      <c r="H104" s="421">
        <v>1</v>
      </c>
      <c r="I104" s="452">
        <v>3.6480000000000001</v>
      </c>
      <c r="J104" s="422"/>
      <c r="K104" s="420"/>
      <c r="L104" s="422"/>
      <c r="M104" s="420"/>
      <c r="N104" s="423"/>
      <c r="AF104" s="415"/>
      <c r="AG104" s="416"/>
      <c r="AH104" s="416" t="s">
        <v>1758</v>
      </c>
      <c r="AM104" s="416"/>
    </row>
    <row r="105" spans="1:42" customFormat="1" ht="14.4" x14ac:dyDescent="0.3">
      <c r="A105" s="450"/>
      <c r="B105" s="451"/>
      <c r="C105" s="907" t="s">
        <v>1760</v>
      </c>
      <c r="D105" s="907"/>
      <c r="E105" s="907"/>
      <c r="F105" s="907"/>
      <c r="G105" s="907"/>
      <c r="H105" s="907"/>
      <c r="I105" s="907"/>
      <c r="J105" s="907"/>
      <c r="K105" s="907"/>
      <c r="L105" s="907"/>
      <c r="M105" s="907"/>
      <c r="N105" s="919"/>
      <c r="AF105" s="415"/>
      <c r="AG105" s="416"/>
      <c r="AH105" s="416"/>
      <c r="AM105" s="416"/>
      <c r="AO105" s="426" t="s">
        <v>1760</v>
      </c>
    </row>
    <row r="106" spans="1:42" customFormat="1" ht="52.2" x14ac:dyDescent="0.3">
      <c r="A106" s="424"/>
      <c r="B106" s="425" t="s">
        <v>1703</v>
      </c>
      <c r="C106" s="917" t="s">
        <v>1704</v>
      </c>
      <c r="D106" s="917"/>
      <c r="E106" s="917"/>
      <c r="F106" s="917"/>
      <c r="G106" s="917"/>
      <c r="H106" s="917"/>
      <c r="I106" s="917"/>
      <c r="J106" s="917"/>
      <c r="K106" s="917"/>
      <c r="L106" s="917"/>
      <c r="M106" s="917"/>
      <c r="N106" s="918"/>
      <c r="AF106" s="415"/>
      <c r="AG106" s="416"/>
      <c r="AH106" s="416"/>
      <c r="AI106" s="426" t="s">
        <v>1704</v>
      </c>
      <c r="AM106" s="416"/>
    </row>
    <row r="107" spans="1:42" customFormat="1" ht="14.4" x14ac:dyDescent="0.3">
      <c r="A107" s="427"/>
      <c r="B107" s="425" t="s">
        <v>758</v>
      </c>
      <c r="C107" s="907" t="s">
        <v>1705</v>
      </c>
      <c r="D107" s="907"/>
      <c r="E107" s="907"/>
      <c r="F107" s="428"/>
      <c r="G107" s="429"/>
      <c r="H107" s="429"/>
      <c r="I107" s="429"/>
      <c r="J107" s="430">
        <v>326.61</v>
      </c>
      <c r="K107" s="431">
        <v>1.1499999999999999</v>
      </c>
      <c r="L107" s="432">
        <v>1370.19</v>
      </c>
      <c r="M107" s="431">
        <v>44.77</v>
      </c>
      <c r="N107" s="433">
        <v>61343.41</v>
      </c>
      <c r="AF107" s="415"/>
      <c r="AG107" s="416"/>
      <c r="AH107" s="416"/>
      <c r="AJ107" s="426" t="s">
        <v>1705</v>
      </c>
      <c r="AM107" s="416"/>
    </row>
    <row r="108" spans="1:42" customFormat="1" ht="14.4" x14ac:dyDescent="0.3">
      <c r="A108" s="427"/>
      <c r="B108" s="425" t="s">
        <v>761</v>
      </c>
      <c r="C108" s="907" t="s">
        <v>1718</v>
      </c>
      <c r="D108" s="907"/>
      <c r="E108" s="907"/>
      <c r="F108" s="428"/>
      <c r="G108" s="429"/>
      <c r="H108" s="429"/>
      <c r="I108" s="429"/>
      <c r="J108" s="430">
        <v>694.48</v>
      </c>
      <c r="K108" s="431">
        <v>1.1499999999999999</v>
      </c>
      <c r="L108" s="432">
        <v>2913.48</v>
      </c>
      <c r="M108" s="431">
        <v>13.24</v>
      </c>
      <c r="N108" s="433">
        <v>38574.480000000003</v>
      </c>
      <c r="AF108" s="415"/>
      <c r="AG108" s="416"/>
      <c r="AH108" s="416"/>
      <c r="AJ108" s="426" t="s">
        <v>1718</v>
      </c>
      <c r="AM108" s="416"/>
    </row>
    <row r="109" spans="1:42" customFormat="1" ht="14.4" x14ac:dyDescent="0.3">
      <c r="A109" s="427"/>
      <c r="B109" s="425" t="s">
        <v>1144</v>
      </c>
      <c r="C109" s="907" t="s">
        <v>1719</v>
      </c>
      <c r="D109" s="907"/>
      <c r="E109" s="907"/>
      <c r="F109" s="428"/>
      <c r="G109" s="429"/>
      <c r="H109" s="429"/>
      <c r="I109" s="429"/>
      <c r="J109" s="430">
        <v>111.09</v>
      </c>
      <c r="K109" s="431">
        <v>1.1499999999999999</v>
      </c>
      <c r="L109" s="430">
        <v>466.04</v>
      </c>
      <c r="M109" s="431">
        <v>44.77</v>
      </c>
      <c r="N109" s="433">
        <v>20864.61</v>
      </c>
      <c r="AF109" s="415"/>
      <c r="AG109" s="416"/>
      <c r="AH109" s="416"/>
      <c r="AJ109" s="426" t="s">
        <v>1719</v>
      </c>
      <c r="AM109" s="416"/>
    </row>
    <row r="110" spans="1:42" customFormat="1" ht="14.4" x14ac:dyDescent="0.3">
      <c r="A110" s="434"/>
      <c r="B110" s="425"/>
      <c r="C110" s="907" t="s">
        <v>1706</v>
      </c>
      <c r="D110" s="907"/>
      <c r="E110" s="907"/>
      <c r="F110" s="428" t="s">
        <v>1707</v>
      </c>
      <c r="G110" s="431">
        <v>38.29</v>
      </c>
      <c r="H110" s="431">
        <v>1.1499999999999999</v>
      </c>
      <c r="I110" s="457">
        <v>160.634208</v>
      </c>
      <c r="J110" s="436"/>
      <c r="K110" s="429"/>
      <c r="L110" s="436"/>
      <c r="M110" s="429"/>
      <c r="N110" s="437"/>
      <c r="AF110" s="415"/>
      <c r="AG110" s="416"/>
      <c r="AH110" s="416"/>
      <c r="AK110" s="426" t="s">
        <v>1706</v>
      </c>
      <c r="AM110" s="416"/>
    </row>
    <row r="111" spans="1:42" customFormat="1" ht="14.4" x14ac:dyDescent="0.3">
      <c r="A111" s="434"/>
      <c r="B111" s="425"/>
      <c r="C111" s="907" t="s">
        <v>1720</v>
      </c>
      <c r="D111" s="907"/>
      <c r="E111" s="907"/>
      <c r="F111" s="428" t="s">
        <v>1707</v>
      </c>
      <c r="G111" s="458">
        <v>8.6999999999999993</v>
      </c>
      <c r="H111" s="431">
        <v>1.1499999999999999</v>
      </c>
      <c r="I111" s="459">
        <v>36.498240000000003</v>
      </c>
      <c r="J111" s="436"/>
      <c r="K111" s="429"/>
      <c r="L111" s="436"/>
      <c r="M111" s="429"/>
      <c r="N111" s="437"/>
      <c r="AF111" s="415"/>
      <c r="AG111" s="416"/>
      <c r="AH111" s="416"/>
      <c r="AK111" s="426" t="s">
        <v>1720</v>
      </c>
      <c r="AM111" s="416"/>
    </row>
    <row r="112" spans="1:42" customFormat="1" ht="14.4" x14ac:dyDescent="0.3">
      <c r="A112" s="427"/>
      <c r="B112" s="425"/>
      <c r="C112" s="908" t="s">
        <v>1708</v>
      </c>
      <c r="D112" s="908"/>
      <c r="E112" s="908"/>
      <c r="F112" s="438"/>
      <c r="G112" s="439"/>
      <c r="H112" s="439"/>
      <c r="I112" s="439"/>
      <c r="J112" s="441">
        <v>1021.09</v>
      </c>
      <c r="K112" s="439"/>
      <c r="L112" s="441">
        <v>4283.67</v>
      </c>
      <c r="M112" s="439"/>
      <c r="N112" s="442">
        <v>99917.89</v>
      </c>
      <c r="AF112" s="415"/>
      <c r="AG112" s="416"/>
      <c r="AH112" s="416"/>
      <c r="AL112" s="426" t="s">
        <v>1708</v>
      </c>
      <c r="AM112" s="416"/>
    </row>
    <row r="113" spans="1:41" customFormat="1" ht="14.4" x14ac:dyDescent="0.3">
      <c r="A113" s="434"/>
      <c r="B113" s="425"/>
      <c r="C113" s="907" t="s">
        <v>1709</v>
      </c>
      <c r="D113" s="907"/>
      <c r="E113" s="907"/>
      <c r="F113" s="428"/>
      <c r="G113" s="429"/>
      <c r="H113" s="429"/>
      <c r="I113" s="429"/>
      <c r="J113" s="436"/>
      <c r="K113" s="429"/>
      <c r="L113" s="432">
        <v>1836.23</v>
      </c>
      <c r="M113" s="429"/>
      <c r="N113" s="433">
        <v>82208.02</v>
      </c>
      <c r="AF113" s="415"/>
      <c r="AG113" s="416"/>
      <c r="AH113" s="416"/>
      <c r="AK113" s="426" t="s">
        <v>1709</v>
      </c>
      <c r="AM113" s="416"/>
    </row>
    <row r="114" spans="1:41" customFormat="1" ht="31.8" x14ac:dyDescent="0.3">
      <c r="A114" s="434"/>
      <c r="B114" s="425" t="s">
        <v>1761</v>
      </c>
      <c r="C114" s="907" t="s">
        <v>1762</v>
      </c>
      <c r="D114" s="907"/>
      <c r="E114" s="907"/>
      <c r="F114" s="428" t="s">
        <v>1712</v>
      </c>
      <c r="G114" s="443">
        <v>91</v>
      </c>
      <c r="H114" s="429"/>
      <c r="I114" s="443">
        <v>91</v>
      </c>
      <c r="J114" s="436"/>
      <c r="K114" s="429"/>
      <c r="L114" s="432">
        <v>1670.97</v>
      </c>
      <c r="M114" s="429"/>
      <c r="N114" s="433">
        <v>74809.3</v>
      </c>
      <c r="AF114" s="415"/>
      <c r="AG114" s="416"/>
      <c r="AH114" s="416"/>
      <c r="AK114" s="426" t="s">
        <v>1762</v>
      </c>
      <c r="AM114" s="416"/>
    </row>
    <row r="115" spans="1:41" customFormat="1" ht="31.8" x14ac:dyDescent="0.3">
      <c r="A115" s="434"/>
      <c r="B115" s="425" t="s">
        <v>1763</v>
      </c>
      <c r="C115" s="907" t="s">
        <v>1764</v>
      </c>
      <c r="D115" s="907"/>
      <c r="E115" s="907"/>
      <c r="F115" s="428" t="s">
        <v>1712</v>
      </c>
      <c r="G115" s="443">
        <v>52</v>
      </c>
      <c r="H115" s="429"/>
      <c r="I115" s="443">
        <v>52</v>
      </c>
      <c r="J115" s="436"/>
      <c r="K115" s="429"/>
      <c r="L115" s="430">
        <v>954.84</v>
      </c>
      <c r="M115" s="429"/>
      <c r="N115" s="433">
        <v>42748.17</v>
      </c>
      <c r="AF115" s="415"/>
      <c r="AG115" s="416"/>
      <c r="AH115" s="416"/>
      <c r="AK115" s="426" t="s">
        <v>1764</v>
      </c>
      <c r="AM115" s="416"/>
    </row>
    <row r="116" spans="1:41" customFormat="1" ht="14.4" x14ac:dyDescent="0.3">
      <c r="A116" s="444"/>
      <c r="B116" s="445"/>
      <c r="C116" s="916" t="s">
        <v>1715</v>
      </c>
      <c r="D116" s="916"/>
      <c r="E116" s="916"/>
      <c r="F116" s="419"/>
      <c r="G116" s="420"/>
      <c r="H116" s="420"/>
      <c r="I116" s="420"/>
      <c r="J116" s="422"/>
      <c r="K116" s="420"/>
      <c r="L116" s="446">
        <v>6909.48</v>
      </c>
      <c r="M116" s="439"/>
      <c r="N116" s="447">
        <v>217475.36</v>
      </c>
      <c r="AF116" s="415"/>
      <c r="AG116" s="416"/>
      <c r="AH116" s="416"/>
      <c r="AM116" s="416" t="s">
        <v>1715</v>
      </c>
    </row>
    <row r="117" spans="1:41" customFormat="1" ht="31.8" x14ac:dyDescent="0.3">
      <c r="A117" s="417" t="s">
        <v>1765</v>
      </c>
      <c r="B117" s="418" t="s">
        <v>1766</v>
      </c>
      <c r="C117" s="916" t="s">
        <v>1767</v>
      </c>
      <c r="D117" s="916"/>
      <c r="E117" s="916"/>
      <c r="F117" s="419" t="s">
        <v>193</v>
      </c>
      <c r="G117" s="420">
        <v>67.2</v>
      </c>
      <c r="H117" s="421">
        <v>1</v>
      </c>
      <c r="I117" s="456">
        <v>67.2</v>
      </c>
      <c r="J117" s="422"/>
      <c r="K117" s="420"/>
      <c r="L117" s="422"/>
      <c r="M117" s="420"/>
      <c r="N117" s="423"/>
      <c r="AF117" s="415"/>
      <c r="AG117" s="416"/>
      <c r="AH117" s="416" t="s">
        <v>1767</v>
      </c>
      <c r="AM117" s="416"/>
    </row>
    <row r="118" spans="1:41" customFormat="1" ht="14.4" x14ac:dyDescent="0.3">
      <c r="A118" s="450"/>
      <c r="B118" s="451"/>
      <c r="C118" s="907" t="s">
        <v>1768</v>
      </c>
      <c r="D118" s="907"/>
      <c r="E118" s="907"/>
      <c r="F118" s="907"/>
      <c r="G118" s="907"/>
      <c r="H118" s="907"/>
      <c r="I118" s="907"/>
      <c r="J118" s="907"/>
      <c r="K118" s="907"/>
      <c r="L118" s="907"/>
      <c r="M118" s="907"/>
      <c r="N118" s="919"/>
      <c r="AF118" s="415"/>
      <c r="AG118" s="416"/>
      <c r="AH118" s="416"/>
      <c r="AM118" s="416"/>
      <c r="AO118" s="426" t="s">
        <v>1768</v>
      </c>
    </row>
    <row r="119" spans="1:41" customFormat="1" ht="52.2" x14ac:dyDescent="0.3">
      <c r="A119" s="424"/>
      <c r="B119" s="425" t="s">
        <v>1703</v>
      </c>
      <c r="C119" s="917" t="s">
        <v>1704</v>
      </c>
      <c r="D119" s="917"/>
      <c r="E119" s="917"/>
      <c r="F119" s="917"/>
      <c r="G119" s="917"/>
      <c r="H119" s="917"/>
      <c r="I119" s="917"/>
      <c r="J119" s="917"/>
      <c r="K119" s="917"/>
      <c r="L119" s="917"/>
      <c r="M119" s="917"/>
      <c r="N119" s="918"/>
      <c r="AF119" s="415"/>
      <c r="AG119" s="416"/>
      <c r="AH119" s="416"/>
      <c r="AI119" s="426" t="s">
        <v>1704</v>
      </c>
      <c r="AM119" s="416"/>
    </row>
    <row r="120" spans="1:41" customFormat="1" ht="14.4" x14ac:dyDescent="0.3">
      <c r="A120" s="427"/>
      <c r="B120" s="425" t="s">
        <v>758</v>
      </c>
      <c r="C120" s="907" t="s">
        <v>1705</v>
      </c>
      <c r="D120" s="907"/>
      <c r="E120" s="907"/>
      <c r="F120" s="428"/>
      <c r="G120" s="429"/>
      <c r="H120" s="429"/>
      <c r="I120" s="429"/>
      <c r="J120" s="430">
        <v>443.82</v>
      </c>
      <c r="K120" s="431">
        <v>1.1499999999999999</v>
      </c>
      <c r="L120" s="432">
        <v>34298.410000000003</v>
      </c>
      <c r="M120" s="431">
        <v>44.77</v>
      </c>
      <c r="N120" s="433">
        <v>1535539.82</v>
      </c>
      <c r="AF120" s="415"/>
      <c r="AG120" s="416"/>
      <c r="AH120" s="416"/>
      <c r="AJ120" s="426" t="s">
        <v>1705</v>
      </c>
      <c r="AM120" s="416"/>
    </row>
    <row r="121" spans="1:41" customFormat="1" ht="14.4" x14ac:dyDescent="0.3">
      <c r="A121" s="427"/>
      <c r="B121" s="425" t="s">
        <v>761</v>
      </c>
      <c r="C121" s="907" t="s">
        <v>1718</v>
      </c>
      <c r="D121" s="907"/>
      <c r="E121" s="907"/>
      <c r="F121" s="428"/>
      <c r="G121" s="429"/>
      <c r="H121" s="429"/>
      <c r="I121" s="429"/>
      <c r="J121" s="432">
        <v>1200.08</v>
      </c>
      <c r="K121" s="431">
        <v>1.1499999999999999</v>
      </c>
      <c r="L121" s="432">
        <v>92742.18</v>
      </c>
      <c r="M121" s="431">
        <v>13.24</v>
      </c>
      <c r="N121" s="433">
        <v>1227906.46</v>
      </c>
      <c r="AF121" s="415"/>
      <c r="AG121" s="416"/>
      <c r="AH121" s="416"/>
      <c r="AJ121" s="426" t="s">
        <v>1718</v>
      </c>
      <c r="AM121" s="416"/>
    </row>
    <row r="122" spans="1:41" customFormat="1" ht="14.4" x14ac:dyDescent="0.3">
      <c r="A122" s="427"/>
      <c r="B122" s="425" t="s">
        <v>586</v>
      </c>
      <c r="C122" s="907" t="s">
        <v>1738</v>
      </c>
      <c r="D122" s="907"/>
      <c r="E122" s="907"/>
      <c r="F122" s="428"/>
      <c r="G122" s="429"/>
      <c r="H122" s="429"/>
      <c r="I122" s="429"/>
      <c r="J122" s="430">
        <v>22.45</v>
      </c>
      <c r="K122" s="429"/>
      <c r="L122" s="432">
        <v>1508.64</v>
      </c>
      <c r="M122" s="431">
        <v>8.16</v>
      </c>
      <c r="N122" s="433">
        <v>12310.5</v>
      </c>
      <c r="AF122" s="415"/>
      <c r="AG122" s="416"/>
      <c r="AH122" s="416"/>
      <c r="AJ122" s="426" t="s">
        <v>1738</v>
      </c>
      <c r="AM122" s="416"/>
    </row>
    <row r="123" spans="1:41" customFormat="1" ht="14.4" x14ac:dyDescent="0.3">
      <c r="A123" s="434"/>
      <c r="B123" s="425"/>
      <c r="C123" s="907" t="s">
        <v>1706</v>
      </c>
      <c r="D123" s="907"/>
      <c r="E123" s="907"/>
      <c r="F123" s="428" t="s">
        <v>1707</v>
      </c>
      <c r="G123" s="431">
        <v>52.03</v>
      </c>
      <c r="H123" s="431">
        <v>1.1499999999999999</v>
      </c>
      <c r="I123" s="453">
        <v>4020.8784000000001</v>
      </c>
      <c r="J123" s="436"/>
      <c r="K123" s="429"/>
      <c r="L123" s="436"/>
      <c r="M123" s="429"/>
      <c r="N123" s="437"/>
      <c r="AF123" s="415"/>
      <c r="AG123" s="416"/>
      <c r="AH123" s="416"/>
      <c r="AK123" s="426" t="s">
        <v>1706</v>
      </c>
      <c r="AM123" s="416"/>
    </row>
    <row r="124" spans="1:41" customFormat="1" ht="14.4" x14ac:dyDescent="0.3">
      <c r="A124" s="427"/>
      <c r="B124" s="425"/>
      <c r="C124" s="908" t="s">
        <v>1708</v>
      </c>
      <c r="D124" s="908"/>
      <c r="E124" s="908"/>
      <c r="F124" s="438"/>
      <c r="G124" s="439"/>
      <c r="H124" s="439"/>
      <c r="I124" s="439"/>
      <c r="J124" s="441">
        <v>1666.35</v>
      </c>
      <c r="K124" s="439"/>
      <c r="L124" s="441">
        <v>128549.23</v>
      </c>
      <c r="M124" s="439"/>
      <c r="N124" s="442">
        <v>2775756.78</v>
      </c>
      <c r="AF124" s="415"/>
      <c r="AG124" s="416"/>
      <c r="AH124" s="416"/>
      <c r="AL124" s="426" t="s">
        <v>1708</v>
      </c>
      <c r="AM124" s="416"/>
    </row>
    <row r="125" spans="1:41" customFormat="1" ht="14.4" x14ac:dyDescent="0.3">
      <c r="A125" s="434"/>
      <c r="B125" s="425"/>
      <c r="C125" s="907" t="s">
        <v>1709</v>
      </c>
      <c r="D125" s="907"/>
      <c r="E125" s="907"/>
      <c r="F125" s="428"/>
      <c r="G125" s="429"/>
      <c r="H125" s="429"/>
      <c r="I125" s="429"/>
      <c r="J125" s="436"/>
      <c r="K125" s="429"/>
      <c r="L125" s="432">
        <v>34298.410000000003</v>
      </c>
      <c r="M125" s="429"/>
      <c r="N125" s="433">
        <v>1535539.82</v>
      </c>
      <c r="AF125" s="415"/>
      <c r="AG125" s="416"/>
      <c r="AH125" s="416"/>
      <c r="AK125" s="426" t="s">
        <v>1709</v>
      </c>
      <c r="AM125" s="416"/>
    </row>
    <row r="126" spans="1:41" customFormat="1" ht="31.8" x14ac:dyDescent="0.3">
      <c r="A126" s="434"/>
      <c r="B126" s="425" t="s">
        <v>1761</v>
      </c>
      <c r="C126" s="907" t="s">
        <v>1762</v>
      </c>
      <c r="D126" s="907"/>
      <c r="E126" s="907"/>
      <c r="F126" s="428" t="s">
        <v>1712</v>
      </c>
      <c r="G126" s="443">
        <v>91</v>
      </c>
      <c r="H126" s="429"/>
      <c r="I126" s="443">
        <v>91</v>
      </c>
      <c r="J126" s="436"/>
      <c r="K126" s="429"/>
      <c r="L126" s="432">
        <v>31211.55</v>
      </c>
      <c r="M126" s="429"/>
      <c r="N126" s="433">
        <v>1397341.24</v>
      </c>
      <c r="AF126" s="415"/>
      <c r="AG126" s="416"/>
      <c r="AH126" s="416"/>
      <c r="AK126" s="426" t="s">
        <v>1762</v>
      </c>
      <c r="AM126" s="416"/>
    </row>
    <row r="127" spans="1:41" customFormat="1" ht="31.8" x14ac:dyDescent="0.3">
      <c r="A127" s="434"/>
      <c r="B127" s="425" t="s">
        <v>1763</v>
      </c>
      <c r="C127" s="907" t="s">
        <v>1764</v>
      </c>
      <c r="D127" s="907"/>
      <c r="E127" s="907"/>
      <c r="F127" s="428" t="s">
        <v>1712</v>
      </c>
      <c r="G127" s="443">
        <v>52</v>
      </c>
      <c r="H127" s="429"/>
      <c r="I127" s="443">
        <v>52</v>
      </c>
      <c r="J127" s="436"/>
      <c r="K127" s="429"/>
      <c r="L127" s="432">
        <v>17835.169999999998</v>
      </c>
      <c r="M127" s="429"/>
      <c r="N127" s="433">
        <v>798480.71</v>
      </c>
      <c r="AF127" s="415"/>
      <c r="AG127" s="416"/>
      <c r="AH127" s="416"/>
      <c r="AK127" s="426" t="s">
        <v>1764</v>
      </c>
      <c r="AM127" s="416"/>
    </row>
    <row r="128" spans="1:41" customFormat="1" ht="14.4" x14ac:dyDescent="0.3">
      <c r="A128" s="444"/>
      <c r="B128" s="445"/>
      <c r="C128" s="916" t="s">
        <v>1715</v>
      </c>
      <c r="D128" s="916"/>
      <c r="E128" s="916"/>
      <c r="F128" s="419"/>
      <c r="G128" s="420"/>
      <c r="H128" s="420"/>
      <c r="I128" s="420"/>
      <c r="J128" s="422"/>
      <c r="K128" s="420"/>
      <c r="L128" s="446">
        <v>177595.95</v>
      </c>
      <c r="M128" s="439"/>
      <c r="N128" s="447">
        <v>4971578.7300000004</v>
      </c>
      <c r="AF128" s="415"/>
      <c r="AG128" s="416"/>
      <c r="AH128" s="416"/>
      <c r="AM128" s="416" t="s">
        <v>1715</v>
      </c>
    </row>
    <row r="129" spans="1:42" customFormat="1" ht="42" x14ac:dyDescent="0.3">
      <c r="A129" s="417" t="s">
        <v>792</v>
      </c>
      <c r="B129" s="418" t="s">
        <v>1747</v>
      </c>
      <c r="C129" s="916" t="s">
        <v>1748</v>
      </c>
      <c r="D129" s="916"/>
      <c r="E129" s="916"/>
      <c r="F129" s="419" t="s">
        <v>1723</v>
      </c>
      <c r="G129" s="420">
        <v>134.4</v>
      </c>
      <c r="H129" s="421">
        <v>1</v>
      </c>
      <c r="I129" s="456">
        <v>134.4</v>
      </c>
      <c r="J129" s="449">
        <v>3.28</v>
      </c>
      <c r="K129" s="420"/>
      <c r="L129" s="449">
        <v>440.83</v>
      </c>
      <c r="M129" s="448">
        <v>13.24</v>
      </c>
      <c r="N129" s="447">
        <v>5836.59</v>
      </c>
      <c r="AF129" s="415"/>
      <c r="AG129" s="416"/>
      <c r="AH129" s="416" t="s">
        <v>1748</v>
      </c>
      <c r="AM129" s="416"/>
    </row>
    <row r="130" spans="1:42" customFormat="1" ht="14.4" x14ac:dyDescent="0.3">
      <c r="A130" s="450"/>
      <c r="B130" s="451"/>
      <c r="C130" s="907" t="s">
        <v>1769</v>
      </c>
      <c r="D130" s="907"/>
      <c r="E130" s="907"/>
      <c r="F130" s="907"/>
      <c r="G130" s="907"/>
      <c r="H130" s="907"/>
      <c r="I130" s="907"/>
      <c r="J130" s="907"/>
      <c r="K130" s="907"/>
      <c r="L130" s="907"/>
      <c r="M130" s="907"/>
      <c r="N130" s="919"/>
      <c r="AF130" s="415"/>
      <c r="AG130" s="416"/>
      <c r="AH130" s="416"/>
      <c r="AM130" s="416"/>
      <c r="AO130" s="426" t="s">
        <v>1769</v>
      </c>
    </row>
    <row r="131" spans="1:42" customFormat="1" ht="14.4" x14ac:dyDescent="0.3">
      <c r="A131" s="444"/>
      <c r="B131" s="445"/>
      <c r="C131" s="916" t="s">
        <v>1715</v>
      </c>
      <c r="D131" s="916"/>
      <c r="E131" s="916"/>
      <c r="F131" s="419"/>
      <c r="G131" s="420"/>
      <c r="H131" s="420"/>
      <c r="I131" s="420"/>
      <c r="J131" s="422"/>
      <c r="K131" s="420"/>
      <c r="L131" s="449">
        <v>440.83</v>
      </c>
      <c r="M131" s="439"/>
      <c r="N131" s="447">
        <v>5836.59</v>
      </c>
      <c r="AF131" s="415"/>
      <c r="AG131" s="416"/>
      <c r="AH131" s="416"/>
      <c r="AM131" s="416" t="s">
        <v>1715</v>
      </c>
    </row>
    <row r="132" spans="1:42" customFormat="1" ht="21.6" x14ac:dyDescent="0.3">
      <c r="A132" s="417" t="s">
        <v>1770</v>
      </c>
      <c r="B132" s="418" t="s">
        <v>1751</v>
      </c>
      <c r="C132" s="916" t="s">
        <v>1752</v>
      </c>
      <c r="D132" s="916"/>
      <c r="E132" s="916"/>
      <c r="F132" s="419" t="s">
        <v>1723</v>
      </c>
      <c r="G132" s="420">
        <v>33.6</v>
      </c>
      <c r="H132" s="421">
        <v>1</v>
      </c>
      <c r="I132" s="456">
        <v>33.6</v>
      </c>
      <c r="J132" s="449">
        <v>42.98</v>
      </c>
      <c r="K132" s="448">
        <v>1.1499999999999999</v>
      </c>
      <c r="L132" s="446">
        <v>1660.75</v>
      </c>
      <c r="M132" s="448">
        <v>13.24</v>
      </c>
      <c r="N132" s="447">
        <v>21988.33</v>
      </c>
      <c r="AF132" s="415"/>
      <c r="AG132" s="416"/>
      <c r="AH132" s="416" t="s">
        <v>1752</v>
      </c>
      <c r="AM132" s="416"/>
    </row>
    <row r="133" spans="1:42" customFormat="1" ht="14.4" x14ac:dyDescent="0.3">
      <c r="A133" s="450"/>
      <c r="B133" s="451"/>
      <c r="C133" s="907" t="s">
        <v>1771</v>
      </c>
      <c r="D133" s="907"/>
      <c r="E133" s="907"/>
      <c r="F133" s="907"/>
      <c r="G133" s="907"/>
      <c r="H133" s="907"/>
      <c r="I133" s="907"/>
      <c r="J133" s="907"/>
      <c r="K133" s="907"/>
      <c r="L133" s="907"/>
      <c r="M133" s="907"/>
      <c r="N133" s="919"/>
      <c r="AF133" s="415"/>
      <c r="AG133" s="416"/>
      <c r="AH133" s="416"/>
      <c r="AM133" s="416"/>
      <c r="AO133" s="426" t="s">
        <v>1771</v>
      </c>
    </row>
    <row r="134" spans="1:42" customFormat="1" ht="52.2" x14ac:dyDescent="0.3">
      <c r="A134" s="424"/>
      <c r="B134" s="425" t="s">
        <v>1703</v>
      </c>
      <c r="C134" s="917" t="s">
        <v>1704</v>
      </c>
      <c r="D134" s="917"/>
      <c r="E134" s="917"/>
      <c r="F134" s="917"/>
      <c r="G134" s="917"/>
      <c r="H134" s="917"/>
      <c r="I134" s="917"/>
      <c r="J134" s="917"/>
      <c r="K134" s="917"/>
      <c r="L134" s="917"/>
      <c r="M134" s="917"/>
      <c r="N134" s="918"/>
      <c r="AF134" s="415"/>
      <c r="AG134" s="416"/>
      <c r="AH134" s="416"/>
      <c r="AI134" s="426" t="s">
        <v>1704</v>
      </c>
      <c r="AM134" s="416"/>
    </row>
    <row r="135" spans="1:42" customFormat="1" ht="14.4" x14ac:dyDescent="0.3">
      <c r="A135" s="444"/>
      <c r="B135" s="445"/>
      <c r="C135" s="916" t="s">
        <v>1715</v>
      </c>
      <c r="D135" s="916"/>
      <c r="E135" s="916"/>
      <c r="F135" s="419"/>
      <c r="G135" s="420"/>
      <c r="H135" s="420"/>
      <c r="I135" s="420"/>
      <c r="J135" s="422"/>
      <c r="K135" s="420"/>
      <c r="L135" s="446">
        <v>1660.75</v>
      </c>
      <c r="M135" s="439"/>
      <c r="N135" s="447">
        <v>21988.33</v>
      </c>
      <c r="AF135" s="415"/>
      <c r="AG135" s="416"/>
      <c r="AH135" s="416"/>
      <c r="AM135" s="416" t="s">
        <v>1715</v>
      </c>
    </row>
    <row r="136" spans="1:42" customFormat="1" ht="21.6" x14ac:dyDescent="0.3">
      <c r="A136" s="417" t="s">
        <v>612</v>
      </c>
      <c r="B136" s="418" t="s">
        <v>1726</v>
      </c>
      <c r="C136" s="916" t="s">
        <v>1727</v>
      </c>
      <c r="D136" s="916"/>
      <c r="E136" s="916"/>
      <c r="F136" s="419" t="s">
        <v>193</v>
      </c>
      <c r="G136" s="420">
        <v>67.2</v>
      </c>
      <c r="H136" s="421">
        <v>1</v>
      </c>
      <c r="I136" s="456">
        <v>67.2</v>
      </c>
      <c r="J136" s="449">
        <v>162.38</v>
      </c>
      <c r="K136" s="420"/>
      <c r="L136" s="446">
        <v>10911.94</v>
      </c>
      <c r="M136" s="448">
        <v>8.16</v>
      </c>
      <c r="N136" s="447">
        <v>89041.43</v>
      </c>
      <c r="AF136" s="415"/>
      <c r="AG136" s="416"/>
      <c r="AH136" s="416" t="s">
        <v>1727</v>
      </c>
      <c r="AM136" s="416"/>
    </row>
    <row r="137" spans="1:42" customFormat="1" ht="14.4" x14ac:dyDescent="0.3">
      <c r="A137" s="444"/>
      <c r="B137" s="445"/>
      <c r="C137" s="907" t="s">
        <v>1728</v>
      </c>
      <c r="D137" s="907"/>
      <c r="E137" s="907"/>
      <c r="F137" s="907"/>
      <c r="G137" s="907"/>
      <c r="H137" s="907"/>
      <c r="I137" s="907"/>
      <c r="J137" s="907"/>
      <c r="K137" s="907"/>
      <c r="L137" s="907"/>
      <c r="M137" s="907"/>
      <c r="N137" s="919"/>
      <c r="AF137" s="415"/>
      <c r="AG137" s="416"/>
      <c r="AH137" s="416"/>
      <c r="AM137" s="416"/>
      <c r="AN137" s="426" t="s">
        <v>1728</v>
      </c>
    </row>
    <row r="138" spans="1:42" customFormat="1" ht="14.4" x14ac:dyDescent="0.3">
      <c r="A138" s="450"/>
      <c r="B138" s="451"/>
      <c r="C138" s="907" t="s">
        <v>1730</v>
      </c>
      <c r="D138" s="907"/>
      <c r="E138" s="907"/>
      <c r="F138" s="907"/>
      <c r="G138" s="907"/>
      <c r="H138" s="907"/>
      <c r="I138" s="907"/>
      <c r="J138" s="907"/>
      <c r="K138" s="907"/>
      <c r="L138" s="907"/>
      <c r="M138" s="907"/>
      <c r="N138" s="919"/>
      <c r="AF138" s="415"/>
      <c r="AG138" s="416"/>
      <c r="AH138" s="416"/>
      <c r="AM138" s="416"/>
      <c r="AP138" s="426" t="s">
        <v>1730</v>
      </c>
    </row>
    <row r="139" spans="1:42" customFormat="1" ht="14.4" x14ac:dyDescent="0.3">
      <c r="A139" s="444"/>
      <c r="B139" s="445"/>
      <c r="C139" s="916" t="s">
        <v>1715</v>
      </c>
      <c r="D139" s="916"/>
      <c r="E139" s="916"/>
      <c r="F139" s="419"/>
      <c r="G139" s="420"/>
      <c r="H139" s="420"/>
      <c r="I139" s="420"/>
      <c r="J139" s="422"/>
      <c r="K139" s="420"/>
      <c r="L139" s="446">
        <v>10911.94</v>
      </c>
      <c r="M139" s="439"/>
      <c r="N139" s="447">
        <v>89041.43</v>
      </c>
      <c r="AF139" s="415"/>
      <c r="AG139" s="416"/>
      <c r="AH139" s="416"/>
      <c r="AM139" s="416" t="s">
        <v>1715</v>
      </c>
    </row>
    <row r="140" spans="1:42" customFormat="1" ht="14.4" x14ac:dyDescent="0.3">
      <c r="A140" s="913" t="s">
        <v>1772</v>
      </c>
      <c r="B140" s="914"/>
      <c r="C140" s="914"/>
      <c r="D140" s="914"/>
      <c r="E140" s="914"/>
      <c r="F140" s="914"/>
      <c r="G140" s="914"/>
      <c r="H140" s="914"/>
      <c r="I140" s="914"/>
      <c r="J140" s="914"/>
      <c r="K140" s="914"/>
      <c r="L140" s="914"/>
      <c r="M140" s="914"/>
      <c r="N140" s="915"/>
      <c r="AF140" s="415"/>
      <c r="AG140" s="416" t="s">
        <v>1772</v>
      </c>
      <c r="AH140" s="416"/>
      <c r="AM140" s="416"/>
    </row>
    <row r="141" spans="1:42" customFormat="1" ht="61.2" x14ac:dyDescent="0.3">
      <c r="A141" s="417" t="s">
        <v>834</v>
      </c>
      <c r="B141" s="418" t="s">
        <v>1757</v>
      </c>
      <c r="C141" s="916" t="s">
        <v>1758</v>
      </c>
      <c r="D141" s="916"/>
      <c r="E141" s="916"/>
      <c r="F141" s="419" t="s">
        <v>1759</v>
      </c>
      <c r="G141" s="420">
        <v>3.6480000000000001</v>
      </c>
      <c r="H141" s="421">
        <v>1</v>
      </c>
      <c r="I141" s="452">
        <v>3.6480000000000001</v>
      </c>
      <c r="J141" s="422"/>
      <c r="K141" s="420"/>
      <c r="L141" s="422"/>
      <c r="M141" s="420"/>
      <c r="N141" s="423"/>
      <c r="AF141" s="415"/>
      <c r="AG141" s="416"/>
      <c r="AH141" s="416" t="s">
        <v>1758</v>
      </c>
      <c r="AM141" s="416"/>
    </row>
    <row r="142" spans="1:42" customFormat="1" ht="14.4" x14ac:dyDescent="0.3">
      <c r="A142" s="450"/>
      <c r="B142" s="451"/>
      <c r="C142" s="907" t="s">
        <v>1773</v>
      </c>
      <c r="D142" s="907"/>
      <c r="E142" s="907"/>
      <c r="F142" s="907"/>
      <c r="G142" s="907"/>
      <c r="H142" s="907"/>
      <c r="I142" s="907"/>
      <c r="J142" s="907"/>
      <c r="K142" s="907"/>
      <c r="L142" s="907"/>
      <c r="M142" s="907"/>
      <c r="N142" s="919"/>
      <c r="AF142" s="415"/>
      <c r="AG142" s="416"/>
      <c r="AH142" s="416"/>
      <c r="AM142" s="416"/>
      <c r="AO142" s="426" t="s">
        <v>1773</v>
      </c>
    </row>
    <row r="143" spans="1:42" customFormat="1" ht="52.2" x14ac:dyDescent="0.3">
      <c r="A143" s="424"/>
      <c r="B143" s="425" t="s">
        <v>1703</v>
      </c>
      <c r="C143" s="917" t="s">
        <v>1704</v>
      </c>
      <c r="D143" s="917"/>
      <c r="E143" s="917"/>
      <c r="F143" s="917"/>
      <c r="G143" s="917"/>
      <c r="H143" s="917"/>
      <c r="I143" s="917"/>
      <c r="J143" s="917"/>
      <c r="K143" s="917"/>
      <c r="L143" s="917"/>
      <c r="M143" s="917"/>
      <c r="N143" s="918"/>
      <c r="AF143" s="415"/>
      <c r="AG143" s="416"/>
      <c r="AH143" s="416"/>
      <c r="AI143" s="426" t="s">
        <v>1704</v>
      </c>
      <c r="AM143" s="416"/>
    </row>
    <row r="144" spans="1:42" customFormat="1" ht="14.4" x14ac:dyDescent="0.3">
      <c r="A144" s="427"/>
      <c r="B144" s="425" t="s">
        <v>758</v>
      </c>
      <c r="C144" s="907" t="s">
        <v>1705</v>
      </c>
      <c r="D144" s="907"/>
      <c r="E144" s="907"/>
      <c r="F144" s="428"/>
      <c r="G144" s="429"/>
      <c r="H144" s="429"/>
      <c r="I144" s="429"/>
      <c r="J144" s="430">
        <v>326.61</v>
      </c>
      <c r="K144" s="431">
        <v>1.1499999999999999</v>
      </c>
      <c r="L144" s="432">
        <v>1370.19</v>
      </c>
      <c r="M144" s="431">
        <v>44.77</v>
      </c>
      <c r="N144" s="433">
        <v>61343.41</v>
      </c>
      <c r="AF144" s="415"/>
      <c r="AG144" s="416"/>
      <c r="AH144" s="416"/>
      <c r="AJ144" s="426" t="s">
        <v>1705</v>
      </c>
      <c r="AM144" s="416"/>
    </row>
    <row r="145" spans="1:39" customFormat="1" ht="14.4" x14ac:dyDescent="0.3">
      <c r="A145" s="427"/>
      <c r="B145" s="425" t="s">
        <v>761</v>
      </c>
      <c r="C145" s="907" t="s">
        <v>1718</v>
      </c>
      <c r="D145" s="907"/>
      <c r="E145" s="907"/>
      <c r="F145" s="428"/>
      <c r="G145" s="429"/>
      <c r="H145" s="429"/>
      <c r="I145" s="429"/>
      <c r="J145" s="430">
        <v>694.48</v>
      </c>
      <c r="K145" s="431">
        <v>1.1499999999999999</v>
      </c>
      <c r="L145" s="432">
        <v>2913.48</v>
      </c>
      <c r="M145" s="431">
        <v>13.24</v>
      </c>
      <c r="N145" s="433">
        <v>38574.480000000003</v>
      </c>
      <c r="AF145" s="415"/>
      <c r="AG145" s="416"/>
      <c r="AH145" s="416"/>
      <c r="AJ145" s="426" t="s">
        <v>1718</v>
      </c>
      <c r="AM145" s="416"/>
    </row>
    <row r="146" spans="1:39" customFormat="1" ht="14.4" x14ac:dyDescent="0.3">
      <c r="A146" s="427"/>
      <c r="B146" s="425" t="s">
        <v>1144</v>
      </c>
      <c r="C146" s="907" t="s">
        <v>1719</v>
      </c>
      <c r="D146" s="907"/>
      <c r="E146" s="907"/>
      <c r="F146" s="428"/>
      <c r="G146" s="429"/>
      <c r="H146" s="429"/>
      <c r="I146" s="429"/>
      <c r="J146" s="430">
        <v>111.09</v>
      </c>
      <c r="K146" s="431">
        <v>1.1499999999999999</v>
      </c>
      <c r="L146" s="430">
        <v>466.04</v>
      </c>
      <c r="M146" s="431">
        <v>44.77</v>
      </c>
      <c r="N146" s="433">
        <v>20864.61</v>
      </c>
      <c r="AF146" s="415"/>
      <c r="AG146" s="416"/>
      <c r="AH146" s="416"/>
      <c r="AJ146" s="426" t="s">
        <v>1719</v>
      </c>
      <c r="AM146" s="416"/>
    </row>
    <row r="147" spans="1:39" customFormat="1" ht="14.4" x14ac:dyDescent="0.3">
      <c r="A147" s="434"/>
      <c r="B147" s="425"/>
      <c r="C147" s="907" t="s">
        <v>1706</v>
      </c>
      <c r="D147" s="907"/>
      <c r="E147" s="907"/>
      <c r="F147" s="428" t="s">
        <v>1707</v>
      </c>
      <c r="G147" s="431">
        <v>38.29</v>
      </c>
      <c r="H147" s="431">
        <v>1.1499999999999999</v>
      </c>
      <c r="I147" s="457">
        <v>160.634208</v>
      </c>
      <c r="J147" s="436"/>
      <c r="K147" s="429"/>
      <c r="L147" s="436"/>
      <c r="M147" s="429"/>
      <c r="N147" s="437"/>
      <c r="AF147" s="415"/>
      <c r="AG147" s="416"/>
      <c r="AH147" s="416"/>
      <c r="AK147" s="426" t="s">
        <v>1706</v>
      </c>
      <c r="AM147" s="416"/>
    </row>
    <row r="148" spans="1:39" customFormat="1" ht="14.4" x14ac:dyDescent="0.3">
      <c r="A148" s="434"/>
      <c r="B148" s="425"/>
      <c r="C148" s="907" t="s">
        <v>1720</v>
      </c>
      <c r="D148" s="907"/>
      <c r="E148" s="907"/>
      <c r="F148" s="428" t="s">
        <v>1707</v>
      </c>
      <c r="G148" s="458">
        <v>8.6999999999999993</v>
      </c>
      <c r="H148" s="431">
        <v>1.1499999999999999</v>
      </c>
      <c r="I148" s="459">
        <v>36.498240000000003</v>
      </c>
      <c r="J148" s="436"/>
      <c r="K148" s="429"/>
      <c r="L148" s="436"/>
      <c r="M148" s="429"/>
      <c r="N148" s="437"/>
      <c r="AF148" s="415"/>
      <c r="AG148" s="416"/>
      <c r="AH148" s="416"/>
      <c r="AK148" s="426" t="s">
        <v>1720</v>
      </c>
      <c r="AM148" s="416"/>
    </row>
    <row r="149" spans="1:39" customFormat="1" ht="14.4" x14ac:dyDescent="0.3">
      <c r="A149" s="427"/>
      <c r="B149" s="425"/>
      <c r="C149" s="908" t="s">
        <v>1708</v>
      </c>
      <c r="D149" s="908"/>
      <c r="E149" s="908"/>
      <c r="F149" s="438"/>
      <c r="G149" s="439"/>
      <c r="H149" s="439"/>
      <c r="I149" s="439"/>
      <c r="J149" s="441">
        <v>1021.09</v>
      </c>
      <c r="K149" s="439"/>
      <c r="L149" s="441">
        <v>4283.67</v>
      </c>
      <c r="M149" s="439"/>
      <c r="N149" s="442">
        <v>99917.89</v>
      </c>
      <c r="AF149" s="415"/>
      <c r="AG149" s="416"/>
      <c r="AH149" s="416"/>
      <c r="AL149" s="426" t="s">
        <v>1708</v>
      </c>
      <c r="AM149" s="416"/>
    </row>
    <row r="150" spans="1:39" customFormat="1" ht="14.4" x14ac:dyDescent="0.3">
      <c r="A150" s="434"/>
      <c r="B150" s="425"/>
      <c r="C150" s="907" t="s">
        <v>1709</v>
      </c>
      <c r="D150" s="907"/>
      <c r="E150" s="907"/>
      <c r="F150" s="428"/>
      <c r="G150" s="429"/>
      <c r="H150" s="429"/>
      <c r="I150" s="429"/>
      <c r="J150" s="436"/>
      <c r="K150" s="429"/>
      <c r="L150" s="432">
        <v>1836.23</v>
      </c>
      <c r="M150" s="429"/>
      <c r="N150" s="433">
        <v>82208.02</v>
      </c>
      <c r="AF150" s="415"/>
      <c r="AG150" s="416"/>
      <c r="AH150" s="416"/>
      <c r="AK150" s="426" t="s">
        <v>1709</v>
      </c>
      <c r="AM150" s="416"/>
    </row>
    <row r="151" spans="1:39" customFormat="1" ht="31.8" x14ac:dyDescent="0.3">
      <c r="A151" s="434"/>
      <c r="B151" s="425" t="s">
        <v>1761</v>
      </c>
      <c r="C151" s="907" t="s">
        <v>1762</v>
      </c>
      <c r="D151" s="907"/>
      <c r="E151" s="907"/>
      <c r="F151" s="428" t="s">
        <v>1712</v>
      </c>
      <c r="G151" s="443">
        <v>91</v>
      </c>
      <c r="H151" s="429"/>
      <c r="I151" s="443">
        <v>91</v>
      </c>
      <c r="J151" s="436"/>
      <c r="K151" s="429"/>
      <c r="L151" s="432">
        <v>1670.97</v>
      </c>
      <c r="M151" s="429"/>
      <c r="N151" s="433">
        <v>74809.3</v>
      </c>
      <c r="AF151" s="415"/>
      <c r="AG151" s="416"/>
      <c r="AH151" s="416"/>
      <c r="AK151" s="426" t="s">
        <v>1762</v>
      </c>
      <c r="AM151" s="416"/>
    </row>
    <row r="152" spans="1:39" customFormat="1" ht="31.8" x14ac:dyDescent="0.3">
      <c r="A152" s="434"/>
      <c r="B152" s="425" t="s">
        <v>1763</v>
      </c>
      <c r="C152" s="907" t="s">
        <v>1764</v>
      </c>
      <c r="D152" s="907"/>
      <c r="E152" s="907"/>
      <c r="F152" s="428" t="s">
        <v>1712</v>
      </c>
      <c r="G152" s="443">
        <v>52</v>
      </c>
      <c r="H152" s="429"/>
      <c r="I152" s="443">
        <v>52</v>
      </c>
      <c r="J152" s="436"/>
      <c r="K152" s="429"/>
      <c r="L152" s="430">
        <v>954.84</v>
      </c>
      <c r="M152" s="429"/>
      <c r="N152" s="433">
        <v>42748.17</v>
      </c>
      <c r="AF152" s="415"/>
      <c r="AG152" s="416"/>
      <c r="AH152" s="416"/>
      <c r="AK152" s="426" t="s">
        <v>1764</v>
      </c>
      <c r="AM152" s="416"/>
    </row>
    <row r="153" spans="1:39" customFormat="1" ht="14.4" x14ac:dyDescent="0.3">
      <c r="A153" s="444"/>
      <c r="B153" s="445"/>
      <c r="C153" s="916" t="s">
        <v>1715</v>
      </c>
      <c r="D153" s="916"/>
      <c r="E153" s="916"/>
      <c r="F153" s="419"/>
      <c r="G153" s="420"/>
      <c r="H153" s="420"/>
      <c r="I153" s="420"/>
      <c r="J153" s="422"/>
      <c r="K153" s="420"/>
      <c r="L153" s="446">
        <v>6909.48</v>
      </c>
      <c r="M153" s="439"/>
      <c r="N153" s="447">
        <v>217475.36</v>
      </c>
      <c r="AF153" s="415"/>
      <c r="AG153" s="416"/>
      <c r="AH153" s="416"/>
      <c r="AM153" s="416" t="s">
        <v>1715</v>
      </c>
    </row>
    <row r="154" spans="1:39" customFormat="1" ht="31.8" x14ac:dyDescent="0.3">
      <c r="A154" s="417" t="s">
        <v>1774</v>
      </c>
      <c r="B154" s="418" t="s">
        <v>1766</v>
      </c>
      <c r="C154" s="916" t="s">
        <v>1767</v>
      </c>
      <c r="D154" s="916"/>
      <c r="E154" s="916"/>
      <c r="F154" s="419" t="s">
        <v>193</v>
      </c>
      <c r="G154" s="420">
        <v>41.28</v>
      </c>
      <c r="H154" s="421">
        <v>1</v>
      </c>
      <c r="I154" s="448">
        <v>41.28</v>
      </c>
      <c r="J154" s="422"/>
      <c r="K154" s="420"/>
      <c r="L154" s="422"/>
      <c r="M154" s="420"/>
      <c r="N154" s="423"/>
      <c r="AF154" s="415"/>
      <c r="AG154" s="416"/>
      <c r="AH154" s="416" t="s">
        <v>1767</v>
      </c>
      <c r="AM154" s="416"/>
    </row>
    <row r="155" spans="1:39" customFormat="1" ht="52.2" x14ac:dyDescent="0.3">
      <c r="A155" s="424"/>
      <c r="B155" s="425" t="s">
        <v>1703</v>
      </c>
      <c r="C155" s="917" t="s">
        <v>1704</v>
      </c>
      <c r="D155" s="917"/>
      <c r="E155" s="917"/>
      <c r="F155" s="917"/>
      <c r="G155" s="917"/>
      <c r="H155" s="917"/>
      <c r="I155" s="917"/>
      <c r="J155" s="917"/>
      <c r="K155" s="917"/>
      <c r="L155" s="917"/>
      <c r="M155" s="917"/>
      <c r="N155" s="918"/>
      <c r="AF155" s="415"/>
      <c r="AG155" s="416"/>
      <c r="AH155" s="416"/>
      <c r="AI155" s="426" t="s">
        <v>1704</v>
      </c>
      <c r="AM155" s="416"/>
    </row>
    <row r="156" spans="1:39" customFormat="1" ht="14.4" x14ac:dyDescent="0.3">
      <c r="A156" s="427"/>
      <c r="B156" s="425" t="s">
        <v>758</v>
      </c>
      <c r="C156" s="907" t="s">
        <v>1705</v>
      </c>
      <c r="D156" s="907"/>
      <c r="E156" s="907"/>
      <c r="F156" s="428"/>
      <c r="G156" s="429"/>
      <c r="H156" s="429"/>
      <c r="I156" s="429"/>
      <c r="J156" s="430">
        <v>443.82</v>
      </c>
      <c r="K156" s="431">
        <v>1.1499999999999999</v>
      </c>
      <c r="L156" s="432">
        <v>21069.02</v>
      </c>
      <c r="M156" s="431">
        <v>44.77</v>
      </c>
      <c r="N156" s="433">
        <v>943260.03</v>
      </c>
      <c r="AF156" s="415"/>
      <c r="AG156" s="416"/>
      <c r="AH156" s="416"/>
      <c r="AJ156" s="426" t="s">
        <v>1705</v>
      </c>
      <c r="AM156" s="416"/>
    </row>
    <row r="157" spans="1:39" customFormat="1" ht="14.4" x14ac:dyDescent="0.3">
      <c r="A157" s="427"/>
      <c r="B157" s="425" t="s">
        <v>761</v>
      </c>
      <c r="C157" s="907" t="s">
        <v>1718</v>
      </c>
      <c r="D157" s="907"/>
      <c r="E157" s="907"/>
      <c r="F157" s="428"/>
      <c r="G157" s="429"/>
      <c r="H157" s="429"/>
      <c r="I157" s="429"/>
      <c r="J157" s="432">
        <v>1200.08</v>
      </c>
      <c r="K157" s="431">
        <v>1.1499999999999999</v>
      </c>
      <c r="L157" s="432">
        <v>56970.2</v>
      </c>
      <c r="M157" s="431">
        <v>13.24</v>
      </c>
      <c r="N157" s="433">
        <v>754285.45</v>
      </c>
      <c r="AF157" s="415"/>
      <c r="AG157" s="416"/>
      <c r="AH157" s="416"/>
      <c r="AJ157" s="426" t="s">
        <v>1718</v>
      </c>
      <c r="AM157" s="416"/>
    </row>
    <row r="158" spans="1:39" customFormat="1" ht="14.4" x14ac:dyDescent="0.3">
      <c r="A158" s="427"/>
      <c r="B158" s="425" t="s">
        <v>586</v>
      </c>
      <c r="C158" s="907" t="s">
        <v>1738</v>
      </c>
      <c r="D158" s="907"/>
      <c r="E158" s="907"/>
      <c r="F158" s="428"/>
      <c r="G158" s="429"/>
      <c r="H158" s="429"/>
      <c r="I158" s="429"/>
      <c r="J158" s="430">
        <v>22.45</v>
      </c>
      <c r="K158" s="429"/>
      <c r="L158" s="430">
        <v>926.74</v>
      </c>
      <c r="M158" s="431">
        <v>8.16</v>
      </c>
      <c r="N158" s="433">
        <v>7562.2</v>
      </c>
      <c r="AF158" s="415"/>
      <c r="AG158" s="416"/>
      <c r="AH158" s="416"/>
      <c r="AJ158" s="426" t="s">
        <v>1738</v>
      </c>
      <c r="AM158" s="416"/>
    </row>
    <row r="159" spans="1:39" customFormat="1" ht="14.4" x14ac:dyDescent="0.3">
      <c r="A159" s="434"/>
      <c r="B159" s="425"/>
      <c r="C159" s="907" t="s">
        <v>1706</v>
      </c>
      <c r="D159" s="907"/>
      <c r="E159" s="907"/>
      <c r="F159" s="428" t="s">
        <v>1707</v>
      </c>
      <c r="G159" s="431">
        <v>52.03</v>
      </c>
      <c r="H159" s="431">
        <v>1.1499999999999999</v>
      </c>
      <c r="I159" s="459">
        <v>2469.9681599999999</v>
      </c>
      <c r="J159" s="436"/>
      <c r="K159" s="429"/>
      <c r="L159" s="436"/>
      <c r="M159" s="429"/>
      <c r="N159" s="437"/>
      <c r="AF159" s="415"/>
      <c r="AG159" s="416"/>
      <c r="AH159" s="416"/>
      <c r="AK159" s="426" t="s">
        <v>1706</v>
      </c>
      <c r="AM159" s="416"/>
    </row>
    <row r="160" spans="1:39" customFormat="1" ht="14.4" x14ac:dyDescent="0.3">
      <c r="A160" s="427"/>
      <c r="B160" s="425"/>
      <c r="C160" s="908" t="s">
        <v>1708</v>
      </c>
      <c r="D160" s="908"/>
      <c r="E160" s="908"/>
      <c r="F160" s="438"/>
      <c r="G160" s="439"/>
      <c r="H160" s="439"/>
      <c r="I160" s="439"/>
      <c r="J160" s="441">
        <v>1666.35</v>
      </c>
      <c r="K160" s="439"/>
      <c r="L160" s="441">
        <v>78965.960000000006</v>
      </c>
      <c r="M160" s="439"/>
      <c r="N160" s="442">
        <v>1705107.68</v>
      </c>
      <c r="AF160" s="415"/>
      <c r="AG160" s="416"/>
      <c r="AH160" s="416"/>
      <c r="AL160" s="426" t="s">
        <v>1708</v>
      </c>
      <c r="AM160" s="416"/>
    </row>
    <row r="161" spans="1:42" customFormat="1" ht="14.4" x14ac:dyDescent="0.3">
      <c r="A161" s="434"/>
      <c r="B161" s="425"/>
      <c r="C161" s="907" t="s">
        <v>1709</v>
      </c>
      <c r="D161" s="907"/>
      <c r="E161" s="907"/>
      <c r="F161" s="428"/>
      <c r="G161" s="429"/>
      <c r="H161" s="429"/>
      <c r="I161" s="429"/>
      <c r="J161" s="436"/>
      <c r="K161" s="429"/>
      <c r="L161" s="432">
        <v>21069.02</v>
      </c>
      <c r="M161" s="429"/>
      <c r="N161" s="433">
        <v>943260.03</v>
      </c>
      <c r="AF161" s="415"/>
      <c r="AG161" s="416"/>
      <c r="AH161" s="416"/>
      <c r="AK161" s="426" t="s">
        <v>1709</v>
      </c>
      <c r="AM161" s="416"/>
    </row>
    <row r="162" spans="1:42" customFormat="1" ht="31.8" x14ac:dyDescent="0.3">
      <c r="A162" s="434"/>
      <c r="B162" s="425" t="s">
        <v>1761</v>
      </c>
      <c r="C162" s="907" t="s">
        <v>1762</v>
      </c>
      <c r="D162" s="907"/>
      <c r="E162" s="907"/>
      <c r="F162" s="428" t="s">
        <v>1712</v>
      </c>
      <c r="G162" s="443">
        <v>91</v>
      </c>
      <c r="H162" s="429"/>
      <c r="I162" s="443">
        <v>91</v>
      </c>
      <c r="J162" s="436"/>
      <c r="K162" s="429"/>
      <c r="L162" s="432">
        <v>19172.810000000001</v>
      </c>
      <c r="M162" s="429"/>
      <c r="N162" s="433">
        <v>858366.63</v>
      </c>
      <c r="AF162" s="415"/>
      <c r="AG162" s="416"/>
      <c r="AH162" s="416"/>
      <c r="AK162" s="426" t="s">
        <v>1762</v>
      </c>
      <c r="AM162" s="416"/>
    </row>
    <row r="163" spans="1:42" customFormat="1" ht="31.8" x14ac:dyDescent="0.3">
      <c r="A163" s="434"/>
      <c r="B163" s="425" t="s">
        <v>1763</v>
      </c>
      <c r="C163" s="907" t="s">
        <v>1764</v>
      </c>
      <c r="D163" s="907"/>
      <c r="E163" s="907"/>
      <c r="F163" s="428" t="s">
        <v>1712</v>
      </c>
      <c r="G163" s="443">
        <v>52</v>
      </c>
      <c r="H163" s="429"/>
      <c r="I163" s="443">
        <v>52</v>
      </c>
      <c r="J163" s="436"/>
      <c r="K163" s="429"/>
      <c r="L163" s="432">
        <v>10955.89</v>
      </c>
      <c r="M163" s="429"/>
      <c r="N163" s="433">
        <v>490495.22</v>
      </c>
      <c r="AF163" s="415"/>
      <c r="AG163" s="416"/>
      <c r="AH163" s="416"/>
      <c r="AK163" s="426" t="s">
        <v>1764</v>
      </c>
      <c r="AM163" s="416"/>
    </row>
    <row r="164" spans="1:42" customFormat="1" ht="14.4" x14ac:dyDescent="0.3">
      <c r="A164" s="444"/>
      <c r="B164" s="445"/>
      <c r="C164" s="916" t="s">
        <v>1715</v>
      </c>
      <c r="D164" s="916"/>
      <c r="E164" s="916"/>
      <c r="F164" s="419"/>
      <c r="G164" s="420"/>
      <c r="H164" s="420"/>
      <c r="I164" s="420"/>
      <c r="J164" s="422"/>
      <c r="K164" s="420"/>
      <c r="L164" s="446">
        <v>109094.66</v>
      </c>
      <c r="M164" s="439"/>
      <c r="N164" s="447">
        <v>3053969.53</v>
      </c>
      <c r="AF164" s="415"/>
      <c r="AG164" s="416"/>
      <c r="AH164" s="416"/>
      <c r="AM164" s="416" t="s">
        <v>1715</v>
      </c>
    </row>
    <row r="165" spans="1:42" customFormat="1" ht="42" x14ac:dyDescent="0.3">
      <c r="A165" s="417" t="s">
        <v>1775</v>
      </c>
      <c r="B165" s="418" t="s">
        <v>1747</v>
      </c>
      <c r="C165" s="916" t="s">
        <v>1748</v>
      </c>
      <c r="D165" s="916"/>
      <c r="E165" s="916"/>
      <c r="F165" s="419" t="s">
        <v>1723</v>
      </c>
      <c r="G165" s="420">
        <v>82.56</v>
      </c>
      <c r="H165" s="421">
        <v>1</v>
      </c>
      <c r="I165" s="448">
        <v>82.56</v>
      </c>
      <c r="J165" s="449">
        <v>3.28</v>
      </c>
      <c r="K165" s="420"/>
      <c r="L165" s="449">
        <v>270.8</v>
      </c>
      <c r="M165" s="448">
        <v>13.24</v>
      </c>
      <c r="N165" s="447">
        <v>3585.39</v>
      </c>
      <c r="AF165" s="415"/>
      <c r="AG165" s="416"/>
      <c r="AH165" s="416" t="s">
        <v>1748</v>
      </c>
      <c r="AM165" s="416"/>
    </row>
    <row r="166" spans="1:42" customFormat="1" ht="14.4" x14ac:dyDescent="0.3">
      <c r="A166" s="450"/>
      <c r="B166" s="451"/>
      <c r="C166" s="907" t="s">
        <v>1776</v>
      </c>
      <c r="D166" s="907"/>
      <c r="E166" s="907"/>
      <c r="F166" s="907"/>
      <c r="G166" s="907"/>
      <c r="H166" s="907"/>
      <c r="I166" s="907"/>
      <c r="J166" s="907"/>
      <c r="K166" s="907"/>
      <c r="L166" s="907"/>
      <c r="M166" s="907"/>
      <c r="N166" s="919"/>
      <c r="AF166" s="415"/>
      <c r="AG166" s="416"/>
      <c r="AH166" s="416"/>
      <c r="AM166" s="416"/>
      <c r="AO166" s="426" t="s">
        <v>1776</v>
      </c>
    </row>
    <row r="167" spans="1:42" customFormat="1" ht="14.4" x14ac:dyDescent="0.3">
      <c r="A167" s="444"/>
      <c r="B167" s="445"/>
      <c r="C167" s="916" t="s">
        <v>1715</v>
      </c>
      <c r="D167" s="916"/>
      <c r="E167" s="916"/>
      <c r="F167" s="419"/>
      <c r="G167" s="420"/>
      <c r="H167" s="420"/>
      <c r="I167" s="420"/>
      <c r="J167" s="422"/>
      <c r="K167" s="420"/>
      <c r="L167" s="449">
        <v>270.8</v>
      </c>
      <c r="M167" s="439"/>
      <c r="N167" s="447">
        <v>3585.39</v>
      </c>
      <c r="AF167" s="415"/>
      <c r="AG167" s="416"/>
      <c r="AH167" s="416"/>
      <c r="AM167" s="416" t="s">
        <v>1715</v>
      </c>
    </row>
    <row r="168" spans="1:42" customFormat="1" ht="21.6" x14ac:dyDescent="0.3">
      <c r="A168" s="417" t="s">
        <v>1777</v>
      </c>
      <c r="B168" s="418" t="s">
        <v>1751</v>
      </c>
      <c r="C168" s="916" t="s">
        <v>1752</v>
      </c>
      <c r="D168" s="916"/>
      <c r="E168" s="916"/>
      <c r="F168" s="419" t="s">
        <v>1723</v>
      </c>
      <c r="G168" s="420">
        <v>20.64</v>
      </c>
      <c r="H168" s="421">
        <v>1</v>
      </c>
      <c r="I168" s="448">
        <v>20.64</v>
      </c>
      <c r="J168" s="449">
        <v>42.98</v>
      </c>
      <c r="K168" s="448">
        <v>1.1499999999999999</v>
      </c>
      <c r="L168" s="446">
        <v>1020.17</v>
      </c>
      <c r="M168" s="448">
        <v>13.24</v>
      </c>
      <c r="N168" s="447">
        <v>13507.05</v>
      </c>
      <c r="AF168" s="415"/>
      <c r="AG168" s="416"/>
      <c r="AH168" s="416" t="s">
        <v>1752</v>
      </c>
      <c r="AM168" s="416"/>
    </row>
    <row r="169" spans="1:42" customFormat="1" ht="14.4" x14ac:dyDescent="0.3">
      <c r="A169" s="450"/>
      <c r="B169" s="451"/>
      <c r="C169" s="907" t="s">
        <v>1778</v>
      </c>
      <c r="D169" s="907"/>
      <c r="E169" s="907"/>
      <c r="F169" s="907"/>
      <c r="G169" s="907"/>
      <c r="H169" s="907"/>
      <c r="I169" s="907"/>
      <c r="J169" s="907"/>
      <c r="K169" s="907"/>
      <c r="L169" s="907"/>
      <c r="M169" s="907"/>
      <c r="N169" s="919"/>
      <c r="AF169" s="415"/>
      <c r="AG169" s="416"/>
      <c r="AH169" s="416"/>
      <c r="AM169" s="416"/>
      <c r="AO169" s="426" t="s">
        <v>1778</v>
      </c>
    </row>
    <row r="170" spans="1:42" customFormat="1" ht="52.2" x14ac:dyDescent="0.3">
      <c r="A170" s="424"/>
      <c r="B170" s="425" t="s">
        <v>1703</v>
      </c>
      <c r="C170" s="917" t="s">
        <v>1704</v>
      </c>
      <c r="D170" s="917"/>
      <c r="E170" s="917"/>
      <c r="F170" s="917"/>
      <c r="G170" s="917"/>
      <c r="H170" s="917"/>
      <c r="I170" s="917"/>
      <c r="J170" s="917"/>
      <c r="K170" s="917"/>
      <c r="L170" s="917"/>
      <c r="M170" s="917"/>
      <c r="N170" s="918"/>
      <c r="AF170" s="415"/>
      <c r="AG170" s="416"/>
      <c r="AH170" s="416"/>
      <c r="AI170" s="426" t="s">
        <v>1704</v>
      </c>
      <c r="AM170" s="416"/>
    </row>
    <row r="171" spans="1:42" customFormat="1" ht="14.4" x14ac:dyDescent="0.3">
      <c r="A171" s="444"/>
      <c r="B171" s="445"/>
      <c r="C171" s="916" t="s">
        <v>1715</v>
      </c>
      <c r="D171" s="916"/>
      <c r="E171" s="916"/>
      <c r="F171" s="419"/>
      <c r="G171" s="420"/>
      <c r="H171" s="420"/>
      <c r="I171" s="420"/>
      <c r="J171" s="422"/>
      <c r="K171" s="420"/>
      <c r="L171" s="446">
        <v>1020.17</v>
      </c>
      <c r="M171" s="439"/>
      <c r="N171" s="447">
        <v>13507.05</v>
      </c>
      <c r="AF171" s="415"/>
      <c r="AG171" s="416"/>
      <c r="AH171" s="416"/>
      <c r="AM171" s="416" t="s">
        <v>1715</v>
      </c>
    </row>
    <row r="172" spans="1:42" customFormat="1" ht="21.6" x14ac:dyDescent="0.3">
      <c r="A172" s="417" t="s">
        <v>1132</v>
      </c>
      <c r="B172" s="418" t="s">
        <v>1726</v>
      </c>
      <c r="C172" s="916" t="s">
        <v>1727</v>
      </c>
      <c r="D172" s="916"/>
      <c r="E172" s="916"/>
      <c r="F172" s="419" t="s">
        <v>193</v>
      </c>
      <c r="G172" s="420">
        <v>41.28</v>
      </c>
      <c r="H172" s="421">
        <v>1</v>
      </c>
      <c r="I172" s="448">
        <v>41.28</v>
      </c>
      <c r="J172" s="449">
        <v>162.38</v>
      </c>
      <c r="K172" s="420"/>
      <c r="L172" s="446">
        <v>6703.05</v>
      </c>
      <c r="M172" s="448">
        <v>8.16</v>
      </c>
      <c r="N172" s="447">
        <v>54696.89</v>
      </c>
      <c r="AF172" s="415"/>
      <c r="AG172" s="416"/>
      <c r="AH172" s="416" t="s">
        <v>1727</v>
      </c>
      <c r="AM172" s="416"/>
    </row>
    <row r="173" spans="1:42" customFormat="1" ht="14.4" x14ac:dyDescent="0.3">
      <c r="A173" s="444"/>
      <c r="B173" s="445"/>
      <c r="C173" s="907" t="s">
        <v>1728</v>
      </c>
      <c r="D173" s="907"/>
      <c r="E173" s="907"/>
      <c r="F173" s="907"/>
      <c r="G173" s="907"/>
      <c r="H173" s="907"/>
      <c r="I173" s="907"/>
      <c r="J173" s="907"/>
      <c r="K173" s="907"/>
      <c r="L173" s="907"/>
      <c r="M173" s="907"/>
      <c r="N173" s="919"/>
      <c r="AF173" s="415"/>
      <c r="AG173" s="416"/>
      <c r="AH173" s="416"/>
      <c r="AM173" s="416"/>
      <c r="AN173" s="426" t="s">
        <v>1728</v>
      </c>
    </row>
    <row r="174" spans="1:42" customFormat="1" ht="14.4" x14ac:dyDescent="0.3">
      <c r="A174" s="450"/>
      <c r="B174" s="451"/>
      <c r="C174" s="907" t="s">
        <v>1730</v>
      </c>
      <c r="D174" s="907"/>
      <c r="E174" s="907"/>
      <c r="F174" s="907"/>
      <c r="G174" s="907"/>
      <c r="H174" s="907"/>
      <c r="I174" s="907"/>
      <c r="J174" s="907"/>
      <c r="K174" s="907"/>
      <c r="L174" s="907"/>
      <c r="M174" s="907"/>
      <c r="N174" s="919"/>
      <c r="AF174" s="415"/>
      <c r="AG174" s="416"/>
      <c r="AH174" s="416"/>
      <c r="AM174" s="416"/>
      <c r="AP174" s="426" t="s">
        <v>1730</v>
      </c>
    </row>
    <row r="175" spans="1:42" customFormat="1" ht="14.4" x14ac:dyDescent="0.3">
      <c r="A175" s="444"/>
      <c r="B175" s="445"/>
      <c r="C175" s="916" t="s">
        <v>1715</v>
      </c>
      <c r="D175" s="916"/>
      <c r="E175" s="916"/>
      <c r="F175" s="419"/>
      <c r="G175" s="420"/>
      <c r="H175" s="420"/>
      <c r="I175" s="420"/>
      <c r="J175" s="422"/>
      <c r="K175" s="420"/>
      <c r="L175" s="446">
        <v>6703.05</v>
      </c>
      <c r="M175" s="439"/>
      <c r="N175" s="447">
        <v>54696.89</v>
      </c>
      <c r="AF175" s="415"/>
      <c r="AG175" s="416"/>
      <c r="AH175" s="416"/>
      <c r="AM175" s="416" t="s">
        <v>1715</v>
      </c>
    </row>
    <row r="176" spans="1:42" customFormat="1" ht="14.4" x14ac:dyDescent="0.3">
      <c r="A176" s="913" t="s">
        <v>1779</v>
      </c>
      <c r="B176" s="914"/>
      <c r="C176" s="914"/>
      <c r="D176" s="914"/>
      <c r="E176" s="914"/>
      <c r="F176" s="914"/>
      <c r="G176" s="914"/>
      <c r="H176" s="914"/>
      <c r="I176" s="914"/>
      <c r="J176" s="914"/>
      <c r="K176" s="914"/>
      <c r="L176" s="914"/>
      <c r="M176" s="914"/>
      <c r="N176" s="915"/>
      <c r="AF176" s="415"/>
      <c r="AG176" s="416" t="s">
        <v>1779</v>
      </c>
      <c r="AH176" s="416"/>
      <c r="AM176" s="416"/>
    </row>
    <row r="177" spans="1:41" customFormat="1" ht="61.2" x14ac:dyDescent="0.3">
      <c r="A177" s="417" t="s">
        <v>1780</v>
      </c>
      <c r="B177" s="418" t="s">
        <v>1757</v>
      </c>
      <c r="C177" s="916" t="s">
        <v>1758</v>
      </c>
      <c r="D177" s="916"/>
      <c r="E177" s="916"/>
      <c r="F177" s="419" t="s">
        <v>1759</v>
      </c>
      <c r="G177" s="420">
        <v>4.32</v>
      </c>
      <c r="H177" s="421">
        <v>1</v>
      </c>
      <c r="I177" s="448">
        <v>4.32</v>
      </c>
      <c r="J177" s="422"/>
      <c r="K177" s="420"/>
      <c r="L177" s="422"/>
      <c r="M177" s="420"/>
      <c r="N177" s="423"/>
      <c r="AF177" s="415"/>
      <c r="AG177" s="416"/>
      <c r="AH177" s="416" t="s">
        <v>1758</v>
      </c>
      <c r="AM177" s="416"/>
    </row>
    <row r="178" spans="1:41" customFormat="1" ht="14.4" x14ac:dyDescent="0.3">
      <c r="A178" s="450"/>
      <c r="B178" s="451"/>
      <c r="C178" s="907" t="s">
        <v>1781</v>
      </c>
      <c r="D178" s="907"/>
      <c r="E178" s="907"/>
      <c r="F178" s="907"/>
      <c r="G178" s="907"/>
      <c r="H178" s="907"/>
      <c r="I178" s="907"/>
      <c r="J178" s="907"/>
      <c r="K178" s="907"/>
      <c r="L178" s="907"/>
      <c r="M178" s="907"/>
      <c r="N178" s="919"/>
      <c r="AF178" s="415"/>
      <c r="AG178" s="416"/>
      <c r="AH178" s="416"/>
      <c r="AM178" s="416"/>
      <c r="AO178" s="426" t="s">
        <v>1781</v>
      </c>
    </row>
    <row r="179" spans="1:41" customFormat="1" ht="52.2" x14ac:dyDescent="0.3">
      <c r="A179" s="424"/>
      <c r="B179" s="425" t="s">
        <v>1703</v>
      </c>
      <c r="C179" s="917" t="s">
        <v>1704</v>
      </c>
      <c r="D179" s="917"/>
      <c r="E179" s="917"/>
      <c r="F179" s="917"/>
      <c r="G179" s="917"/>
      <c r="H179" s="917"/>
      <c r="I179" s="917"/>
      <c r="J179" s="917"/>
      <c r="K179" s="917"/>
      <c r="L179" s="917"/>
      <c r="M179" s="917"/>
      <c r="N179" s="918"/>
      <c r="AF179" s="415"/>
      <c r="AG179" s="416"/>
      <c r="AH179" s="416"/>
      <c r="AI179" s="426" t="s">
        <v>1704</v>
      </c>
      <c r="AM179" s="416"/>
    </row>
    <row r="180" spans="1:41" customFormat="1" ht="14.4" x14ac:dyDescent="0.3">
      <c r="A180" s="427"/>
      <c r="B180" s="425" t="s">
        <v>758</v>
      </c>
      <c r="C180" s="907" t="s">
        <v>1705</v>
      </c>
      <c r="D180" s="907"/>
      <c r="E180" s="907"/>
      <c r="F180" s="428"/>
      <c r="G180" s="429"/>
      <c r="H180" s="429"/>
      <c r="I180" s="429"/>
      <c r="J180" s="430">
        <v>326.61</v>
      </c>
      <c r="K180" s="431">
        <v>1.1499999999999999</v>
      </c>
      <c r="L180" s="432">
        <v>1622.6</v>
      </c>
      <c r="M180" s="431">
        <v>44.77</v>
      </c>
      <c r="N180" s="433">
        <v>72643.8</v>
      </c>
      <c r="AF180" s="415"/>
      <c r="AG180" s="416"/>
      <c r="AH180" s="416"/>
      <c r="AJ180" s="426" t="s">
        <v>1705</v>
      </c>
      <c r="AM180" s="416"/>
    </row>
    <row r="181" spans="1:41" customFormat="1" ht="14.4" x14ac:dyDescent="0.3">
      <c r="A181" s="427"/>
      <c r="B181" s="425" t="s">
        <v>761</v>
      </c>
      <c r="C181" s="907" t="s">
        <v>1718</v>
      </c>
      <c r="D181" s="907"/>
      <c r="E181" s="907"/>
      <c r="F181" s="428"/>
      <c r="G181" s="429"/>
      <c r="H181" s="429"/>
      <c r="I181" s="429"/>
      <c r="J181" s="430">
        <v>694.48</v>
      </c>
      <c r="K181" s="431">
        <v>1.1499999999999999</v>
      </c>
      <c r="L181" s="432">
        <v>3450.18</v>
      </c>
      <c r="M181" s="431">
        <v>13.24</v>
      </c>
      <c r="N181" s="433">
        <v>45680.38</v>
      </c>
      <c r="AF181" s="415"/>
      <c r="AG181" s="416"/>
      <c r="AH181" s="416"/>
      <c r="AJ181" s="426" t="s">
        <v>1718</v>
      </c>
      <c r="AM181" s="416"/>
    </row>
    <row r="182" spans="1:41" customFormat="1" ht="14.4" x14ac:dyDescent="0.3">
      <c r="A182" s="427"/>
      <c r="B182" s="425" t="s">
        <v>1144</v>
      </c>
      <c r="C182" s="907" t="s">
        <v>1719</v>
      </c>
      <c r="D182" s="907"/>
      <c r="E182" s="907"/>
      <c r="F182" s="428"/>
      <c r="G182" s="429"/>
      <c r="H182" s="429"/>
      <c r="I182" s="429"/>
      <c r="J182" s="430">
        <v>111.09</v>
      </c>
      <c r="K182" s="431">
        <v>1.1499999999999999</v>
      </c>
      <c r="L182" s="430">
        <v>551.9</v>
      </c>
      <c r="M182" s="431">
        <v>44.77</v>
      </c>
      <c r="N182" s="433">
        <v>24708.560000000001</v>
      </c>
      <c r="AF182" s="415"/>
      <c r="AG182" s="416"/>
      <c r="AH182" s="416"/>
      <c r="AJ182" s="426" t="s">
        <v>1719</v>
      </c>
      <c r="AM182" s="416"/>
    </row>
    <row r="183" spans="1:41" customFormat="1" ht="14.4" x14ac:dyDescent="0.3">
      <c r="A183" s="434"/>
      <c r="B183" s="425"/>
      <c r="C183" s="907" t="s">
        <v>1706</v>
      </c>
      <c r="D183" s="907"/>
      <c r="E183" s="907"/>
      <c r="F183" s="428" t="s">
        <v>1707</v>
      </c>
      <c r="G183" s="431">
        <v>38.29</v>
      </c>
      <c r="H183" s="431">
        <v>1.1499999999999999</v>
      </c>
      <c r="I183" s="459">
        <v>190.22471999999999</v>
      </c>
      <c r="J183" s="436"/>
      <c r="K183" s="429"/>
      <c r="L183" s="436"/>
      <c r="M183" s="429"/>
      <c r="N183" s="437"/>
      <c r="AF183" s="415"/>
      <c r="AG183" s="416"/>
      <c r="AH183" s="416"/>
      <c r="AK183" s="426" t="s">
        <v>1706</v>
      </c>
      <c r="AM183" s="416"/>
    </row>
    <row r="184" spans="1:41" customFormat="1" ht="14.4" x14ac:dyDescent="0.3">
      <c r="A184" s="434"/>
      <c r="B184" s="425"/>
      <c r="C184" s="907" t="s">
        <v>1720</v>
      </c>
      <c r="D184" s="907"/>
      <c r="E184" s="907"/>
      <c r="F184" s="428" t="s">
        <v>1707</v>
      </c>
      <c r="G184" s="458">
        <v>8.6999999999999993</v>
      </c>
      <c r="H184" s="431">
        <v>1.1499999999999999</v>
      </c>
      <c r="I184" s="453">
        <v>43.221600000000002</v>
      </c>
      <c r="J184" s="436"/>
      <c r="K184" s="429"/>
      <c r="L184" s="436"/>
      <c r="M184" s="429"/>
      <c r="N184" s="437"/>
      <c r="AF184" s="415"/>
      <c r="AG184" s="416"/>
      <c r="AH184" s="416"/>
      <c r="AK184" s="426" t="s">
        <v>1720</v>
      </c>
      <c r="AM184" s="416"/>
    </row>
    <row r="185" spans="1:41" customFormat="1" ht="14.4" x14ac:dyDescent="0.3">
      <c r="A185" s="427"/>
      <c r="B185" s="425"/>
      <c r="C185" s="908" t="s">
        <v>1708</v>
      </c>
      <c r="D185" s="908"/>
      <c r="E185" s="908"/>
      <c r="F185" s="438"/>
      <c r="G185" s="439"/>
      <c r="H185" s="439"/>
      <c r="I185" s="439"/>
      <c r="J185" s="441">
        <v>1021.09</v>
      </c>
      <c r="K185" s="439"/>
      <c r="L185" s="441">
        <v>5072.78</v>
      </c>
      <c r="M185" s="439"/>
      <c r="N185" s="442">
        <v>118324.18</v>
      </c>
      <c r="AF185" s="415"/>
      <c r="AG185" s="416"/>
      <c r="AH185" s="416"/>
      <c r="AL185" s="426" t="s">
        <v>1708</v>
      </c>
      <c r="AM185" s="416"/>
    </row>
    <row r="186" spans="1:41" customFormat="1" ht="14.4" x14ac:dyDescent="0.3">
      <c r="A186" s="434"/>
      <c r="B186" s="425"/>
      <c r="C186" s="907" t="s">
        <v>1709</v>
      </c>
      <c r="D186" s="907"/>
      <c r="E186" s="907"/>
      <c r="F186" s="428"/>
      <c r="G186" s="429"/>
      <c r="H186" s="429"/>
      <c r="I186" s="429"/>
      <c r="J186" s="436"/>
      <c r="K186" s="429"/>
      <c r="L186" s="432">
        <v>2174.5</v>
      </c>
      <c r="M186" s="429"/>
      <c r="N186" s="433">
        <v>97352.36</v>
      </c>
      <c r="AF186" s="415"/>
      <c r="AG186" s="416"/>
      <c r="AH186" s="416"/>
      <c r="AK186" s="426" t="s">
        <v>1709</v>
      </c>
      <c r="AM186" s="416"/>
    </row>
    <row r="187" spans="1:41" customFormat="1" ht="31.8" x14ac:dyDescent="0.3">
      <c r="A187" s="434"/>
      <c r="B187" s="425" t="s">
        <v>1761</v>
      </c>
      <c r="C187" s="907" t="s">
        <v>1762</v>
      </c>
      <c r="D187" s="907"/>
      <c r="E187" s="907"/>
      <c r="F187" s="428" t="s">
        <v>1712</v>
      </c>
      <c r="G187" s="443">
        <v>91</v>
      </c>
      <c r="H187" s="429"/>
      <c r="I187" s="443">
        <v>91</v>
      </c>
      <c r="J187" s="436"/>
      <c r="K187" s="429"/>
      <c r="L187" s="432">
        <v>1978.8</v>
      </c>
      <c r="M187" s="429"/>
      <c r="N187" s="433">
        <v>88590.65</v>
      </c>
      <c r="AF187" s="415"/>
      <c r="AG187" s="416"/>
      <c r="AH187" s="416"/>
      <c r="AK187" s="426" t="s">
        <v>1762</v>
      </c>
      <c r="AM187" s="416"/>
    </row>
    <row r="188" spans="1:41" customFormat="1" ht="31.8" x14ac:dyDescent="0.3">
      <c r="A188" s="434"/>
      <c r="B188" s="425" t="s">
        <v>1763</v>
      </c>
      <c r="C188" s="907" t="s">
        <v>1764</v>
      </c>
      <c r="D188" s="907"/>
      <c r="E188" s="907"/>
      <c r="F188" s="428" t="s">
        <v>1712</v>
      </c>
      <c r="G188" s="443">
        <v>52</v>
      </c>
      <c r="H188" s="429"/>
      <c r="I188" s="443">
        <v>52</v>
      </c>
      <c r="J188" s="436"/>
      <c r="K188" s="429"/>
      <c r="L188" s="432">
        <v>1130.74</v>
      </c>
      <c r="M188" s="429"/>
      <c r="N188" s="433">
        <v>50623.23</v>
      </c>
      <c r="AF188" s="415"/>
      <c r="AG188" s="416"/>
      <c r="AH188" s="416"/>
      <c r="AK188" s="426" t="s">
        <v>1764</v>
      </c>
      <c r="AM188" s="416"/>
    </row>
    <row r="189" spans="1:41" customFormat="1" ht="14.4" x14ac:dyDescent="0.3">
      <c r="A189" s="444"/>
      <c r="B189" s="445"/>
      <c r="C189" s="916" t="s">
        <v>1715</v>
      </c>
      <c r="D189" s="916"/>
      <c r="E189" s="916"/>
      <c r="F189" s="419"/>
      <c r="G189" s="420"/>
      <c r="H189" s="420"/>
      <c r="I189" s="420"/>
      <c r="J189" s="422"/>
      <c r="K189" s="420"/>
      <c r="L189" s="446">
        <v>8182.32</v>
      </c>
      <c r="M189" s="439"/>
      <c r="N189" s="447">
        <v>257538.06</v>
      </c>
      <c r="AF189" s="415"/>
      <c r="AG189" s="416"/>
      <c r="AH189" s="416"/>
      <c r="AM189" s="416" t="s">
        <v>1715</v>
      </c>
    </row>
    <row r="190" spans="1:41" customFormat="1" ht="14.4" x14ac:dyDescent="0.3">
      <c r="A190" s="913" t="s">
        <v>1782</v>
      </c>
      <c r="B190" s="914"/>
      <c r="C190" s="914"/>
      <c r="D190" s="914"/>
      <c r="E190" s="914"/>
      <c r="F190" s="914"/>
      <c r="G190" s="914"/>
      <c r="H190" s="914"/>
      <c r="I190" s="914"/>
      <c r="J190" s="914"/>
      <c r="K190" s="914"/>
      <c r="L190" s="914"/>
      <c r="M190" s="914"/>
      <c r="N190" s="915"/>
      <c r="AF190" s="415"/>
      <c r="AG190" s="416" t="s">
        <v>1782</v>
      </c>
      <c r="AH190" s="416"/>
      <c r="AM190" s="416"/>
    </row>
    <row r="191" spans="1:41" customFormat="1" ht="61.2" x14ac:dyDescent="0.3">
      <c r="A191" s="417" t="s">
        <v>816</v>
      </c>
      <c r="B191" s="418" t="s">
        <v>1783</v>
      </c>
      <c r="C191" s="916" t="s">
        <v>1784</v>
      </c>
      <c r="D191" s="916"/>
      <c r="E191" s="916"/>
      <c r="F191" s="419" t="s">
        <v>1759</v>
      </c>
      <c r="G191" s="420">
        <v>82.533000000000001</v>
      </c>
      <c r="H191" s="421">
        <v>1</v>
      </c>
      <c r="I191" s="452">
        <v>82.533000000000001</v>
      </c>
      <c r="J191" s="422"/>
      <c r="K191" s="420"/>
      <c r="L191" s="422"/>
      <c r="M191" s="420"/>
      <c r="N191" s="423"/>
      <c r="AF191" s="415"/>
      <c r="AG191" s="416"/>
      <c r="AH191" s="416" t="s">
        <v>1784</v>
      </c>
      <c r="AM191" s="416"/>
    </row>
    <row r="192" spans="1:41" customFormat="1" ht="14.4" x14ac:dyDescent="0.3">
      <c r="A192" s="450"/>
      <c r="B192" s="451"/>
      <c r="C192" s="907" t="s">
        <v>1785</v>
      </c>
      <c r="D192" s="907"/>
      <c r="E192" s="907"/>
      <c r="F192" s="907"/>
      <c r="G192" s="907"/>
      <c r="H192" s="907"/>
      <c r="I192" s="907"/>
      <c r="J192" s="907"/>
      <c r="K192" s="907"/>
      <c r="L192" s="907"/>
      <c r="M192" s="907"/>
      <c r="N192" s="919"/>
      <c r="AF192" s="415"/>
      <c r="AG192" s="416"/>
      <c r="AH192" s="416"/>
      <c r="AM192" s="416"/>
      <c r="AO192" s="426" t="s">
        <v>1785</v>
      </c>
    </row>
    <row r="193" spans="1:41" customFormat="1" ht="52.2" x14ac:dyDescent="0.3">
      <c r="A193" s="424"/>
      <c r="B193" s="425" t="s">
        <v>1703</v>
      </c>
      <c r="C193" s="917" t="s">
        <v>1704</v>
      </c>
      <c r="D193" s="917"/>
      <c r="E193" s="917"/>
      <c r="F193" s="917"/>
      <c r="G193" s="917"/>
      <c r="H193" s="917"/>
      <c r="I193" s="917"/>
      <c r="J193" s="917"/>
      <c r="K193" s="917"/>
      <c r="L193" s="917"/>
      <c r="M193" s="917"/>
      <c r="N193" s="918"/>
      <c r="AF193" s="415"/>
      <c r="AG193" s="416"/>
      <c r="AH193" s="416"/>
      <c r="AI193" s="426" t="s">
        <v>1704</v>
      </c>
      <c r="AM193" s="416"/>
    </row>
    <row r="194" spans="1:41" customFormat="1" ht="14.4" x14ac:dyDescent="0.3">
      <c r="A194" s="427"/>
      <c r="B194" s="425" t="s">
        <v>758</v>
      </c>
      <c r="C194" s="907" t="s">
        <v>1705</v>
      </c>
      <c r="D194" s="907"/>
      <c r="E194" s="907"/>
      <c r="F194" s="428"/>
      <c r="G194" s="429"/>
      <c r="H194" s="429"/>
      <c r="I194" s="429"/>
      <c r="J194" s="430">
        <v>280.13</v>
      </c>
      <c r="K194" s="431">
        <v>1.1499999999999999</v>
      </c>
      <c r="L194" s="432">
        <v>26587.96</v>
      </c>
      <c r="M194" s="431">
        <v>44.77</v>
      </c>
      <c r="N194" s="433">
        <v>1190342.97</v>
      </c>
      <c r="AF194" s="415"/>
      <c r="AG194" s="416"/>
      <c r="AH194" s="416"/>
      <c r="AJ194" s="426" t="s">
        <v>1705</v>
      </c>
      <c r="AM194" s="416"/>
    </row>
    <row r="195" spans="1:41" customFormat="1" ht="14.4" x14ac:dyDescent="0.3">
      <c r="A195" s="427"/>
      <c r="B195" s="425" t="s">
        <v>761</v>
      </c>
      <c r="C195" s="907" t="s">
        <v>1718</v>
      </c>
      <c r="D195" s="907"/>
      <c r="E195" s="907"/>
      <c r="F195" s="428"/>
      <c r="G195" s="429"/>
      <c r="H195" s="429"/>
      <c r="I195" s="429"/>
      <c r="J195" s="432">
        <v>2472.8000000000002</v>
      </c>
      <c r="K195" s="431">
        <v>1.1499999999999999</v>
      </c>
      <c r="L195" s="432">
        <v>234700.74</v>
      </c>
      <c r="M195" s="431">
        <v>13.24</v>
      </c>
      <c r="N195" s="433">
        <v>3107437.8</v>
      </c>
      <c r="AF195" s="415"/>
      <c r="AG195" s="416"/>
      <c r="AH195" s="416"/>
      <c r="AJ195" s="426" t="s">
        <v>1718</v>
      </c>
      <c r="AM195" s="416"/>
    </row>
    <row r="196" spans="1:41" customFormat="1" ht="14.4" x14ac:dyDescent="0.3">
      <c r="A196" s="427"/>
      <c r="B196" s="425" t="s">
        <v>1144</v>
      </c>
      <c r="C196" s="907" t="s">
        <v>1719</v>
      </c>
      <c r="D196" s="907"/>
      <c r="E196" s="907"/>
      <c r="F196" s="428"/>
      <c r="G196" s="429"/>
      <c r="H196" s="429"/>
      <c r="I196" s="429"/>
      <c r="J196" s="430">
        <v>417.51</v>
      </c>
      <c r="K196" s="431">
        <v>1.1499999999999999</v>
      </c>
      <c r="L196" s="432">
        <v>39627.11</v>
      </c>
      <c r="M196" s="431">
        <v>44.77</v>
      </c>
      <c r="N196" s="433">
        <v>1774105.71</v>
      </c>
      <c r="AF196" s="415"/>
      <c r="AG196" s="416"/>
      <c r="AH196" s="416"/>
      <c r="AJ196" s="426" t="s">
        <v>1719</v>
      </c>
      <c r="AM196" s="416"/>
    </row>
    <row r="197" spans="1:41" customFormat="1" ht="14.4" x14ac:dyDescent="0.3">
      <c r="A197" s="434"/>
      <c r="B197" s="425"/>
      <c r="C197" s="907" t="s">
        <v>1706</v>
      </c>
      <c r="D197" s="907"/>
      <c r="E197" s="907"/>
      <c r="F197" s="428" t="s">
        <v>1707</v>
      </c>
      <c r="G197" s="431">
        <v>32.840000000000003</v>
      </c>
      <c r="H197" s="431">
        <v>1.1499999999999999</v>
      </c>
      <c r="I197" s="457">
        <v>3116.9412779999998</v>
      </c>
      <c r="J197" s="436"/>
      <c r="K197" s="429"/>
      <c r="L197" s="436"/>
      <c r="M197" s="429"/>
      <c r="N197" s="437"/>
      <c r="AF197" s="415"/>
      <c r="AG197" s="416"/>
      <c r="AH197" s="416"/>
      <c r="AK197" s="426" t="s">
        <v>1706</v>
      </c>
      <c r="AM197" s="416"/>
    </row>
    <row r="198" spans="1:41" customFormat="1" ht="14.4" x14ac:dyDescent="0.3">
      <c r="A198" s="434"/>
      <c r="B198" s="425"/>
      <c r="C198" s="907" t="s">
        <v>1720</v>
      </c>
      <c r="D198" s="907"/>
      <c r="E198" s="907"/>
      <c r="F198" s="428" t="s">
        <v>1707</v>
      </c>
      <c r="G198" s="431">
        <v>31.54</v>
      </c>
      <c r="H198" s="431">
        <v>1.1499999999999999</v>
      </c>
      <c r="I198" s="457">
        <v>2993.554443</v>
      </c>
      <c r="J198" s="436"/>
      <c r="K198" s="429"/>
      <c r="L198" s="436"/>
      <c r="M198" s="429"/>
      <c r="N198" s="437"/>
      <c r="AF198" s="415"/>
      <c r="AG198" s="416"/>
      <c r="AH198" s="416"/>
      <c r="AK198" s="426" t="s">
        <v>1720</v>
      </c>
      <c r="AM198" s="416"/>
    </row>
    <row r="199" spans="1:41" customFormat="1" ht="14.4" x14ac:dyDescent="0.3">
      <c r="A199" s="427"/>
      <c r="B199" s="425"/>
      <c r="C199" s="908" t="s">
        <v>1708</v>
      </c>
      <c r="D199" s="908"/>
      <c r="E199" s="908"/>
      <c r="F199" s="438"/>
      <c r="G199" s="439"/>
      <c r="H199" s="439"/>
      <c r="I199" s="439"/>
      <c r="J199" s="441">
        <v>2752.93</v>
      </c>
      <c r="K199" s="439"/>
      <c r="L199" s="441">
        <v>261288.7</v>
      </c>
      <c r="M199" s="439"/>
      <c r="N199" s="442">
        <v>4297780.7699999996</v>
      </c>
      <c r="AF199" s="415"/>
      <c r="AG199" s="416"/>
      <c r="AH199" s="416"/>
      <c r="AL199" s="426" t="s">
        <v>1708</v>
      </c>
      <c r="AM199" s="416"/>
    </row>
    <row r="200" spans="1:41" customFormat="1" ht="14.4" x14ac:dyDescent="0.3">
      <c r="A200" s="434"/>
      <c r="B200" s="425"/>
      <c r="C200" s="907" t="s">
        <v>1709</v>
      </c>
      <c r="D200" s="907"/>
      <c r="E200" s="907"/>
      <c r="F200" s="428"/>
      <c r="G200" s="429"/>
      <c r="H200" s="429"/>
      <c r="I200" s="429"/>
      <c r="J200" s="436"/>
      <c r="K200" s="429"/>
      <c r="L200" s="432">
        <v>66215.070000000007</v>
      </c>
      <c r="M200" s="429"/>
      <c r="N200" s="433">
        <v>2964448.68</v>
      </c>
      <c r="AF200" s="415"/>
      <c r="AG200" s="416"/>
      <c r="AH200" s="416"/>
      <c r="AK200" s="426" t="s">
        <v>1709</v>
      </c>
      <c r="AM200" s="416"/>
    </row>
    <row r="201" spans="1:41" customFormat="1" ht="31.8" x14ac:dyDescent="0.3">
      <c r="A201" s="434"/>
      <c r="B201" s="425" t="s">
        <v>1761</v>
      </c>
      <c r="C201" s="907" t="s">
        <v>1762</v>
      </c>
      <c r="D201" s="907"/>
      <c r="E201" s="907"/>
      <c r="F201" s="428" t="s">
        <v>1712</v>
      </c>
      <c r="G201" s="443">
        <v>91</v>
      </c>
      <c r="H201" s="429"/>
      <c r="I201" s="443">
        <v>91</v>
      </c>
      <c r="J201" s="436"/>
      <c r="K201" s="429"/>
      <c r="L201" s="432">
        <v>60255.71</v>
      </c>
      <c r="M201" s="429"/>
      <c r="N201" s="433">
        <v>2697648.3</v>
      </c>
      <c r="AF201" s="415"/>
      <c r="AG201" s="416"/>
      <c r="AH201" s="416"/>
      <c r="AK201" s="426" t="s">
        <v>1762</v>
      </c>
      <c r="AM201" s="416"/>
    </row>
    <row r="202" spans="1:41" customFormat="1" ht="31.8" x14ac:dyDescent="0.3">
      <c r="A202" s="434"/>
      <c r="B202" s="425" t="s">
        <v>1763</v>
      </c>
      <c r="C202" s="907" t="s">
        <v>1764</v>
      </c>
      <c r="D202" s="907"/>
      <c r="E202" s="907"/>
      <c r="F202" s="428" t="s">
        <v>1712</v>
      </c>
      <c r="G202" s="443">
        <v>52</v>
      </c>
      <c r="H202" s="429"/>
      <c r="I202" s="443">
        <v>52</v>
      </c>
      <c r="J202" s="436"/>
      <c r="K202" s="429"/>
      <c r="L202" s="432">
        <v>34431.839999999997</v>
      </c>
      <c r="M202" s="429"/>
      <c r="N202" s="433">
        <v>1541513.31</v>
      </c>
      <c r="AF202" s="415"/>
      <c r="AG202" s="416"/>
      <c r="AH202" s="416"/>
      <c r="AK202" s="426" t="s">
        <v>1764</v>
      </c>
      <c r="AM202" s="416"/>
    </row>
    <row r="203" spans="1:41" customFormat="1" ht="14.4" x14ac:dyDescent="0.3">
      <c r="A203" s="444"/>
      <c r="B203" s="445"/>
      <c r="C203" s="916" t="s">
        <v>1715</v>
      </c>
      <c r="D203" s="916"/>
      <c r="E203" s="916"/>
      <c r="F203" s="419"/>
      <c r="G203" s="420"/>
      <c r="H203" s="420"/>
      <c r="I203" s="420"/>
      <c r="J203" s="422"/>
      <c r="K203" s="420"/>
      <c r="L203" s="446">
        <v>355976.25</v>
      </c>
      <c r="M203" s="439"/>
      <c r="N203" s="447">
        <v>8536942.3800000008</v>
      </c>
      <c r="AF203" s="415"/>
      <c r="AG203" s="416"/>
      <c r="AH203" s="416"/>
      <c r="AM203" s="416" t="s">
        <v>1715</v>
      </c>
    </row>
    <row r="204" spans="1:41" customFormat="1" ht="31.8" x14ac:dyDescent="0.3">
      <c r="A204" s="417" t="s">
        <v>1786</v>
      </c>
      <c r="B204" s="418" t="s">
        <v>1766</v>
      </c>
      <c r="C204" s="916" t="s">
        <v>1767</v>
      </c>
      <c r="D204" s="916"/>
      <c r="E204" s="916"/>
      <c r="F204" s="419" t="s">
        <v>193</v>
      </c>
      <c r="G204" s="420">
        <v>53.72</v>
      </c>
      <c r="H204" s="421">
        <v>1</v>
      </c>
      <c r="I204" s="448">
        <v>53.72</v>
      </c>
      <c r="J204" s="422"/>
      <c r="K204" s="420"/>
      <c r="L204" s="422"/>
      <c r="M204" s="420"/>
      <c r="N204" s="423"/>
      <c r="AF204" s="415"/>
      <c r="AG204" s="416"/>
      <c r="AH204" s="416" t="s">
        <v>1767</v>
      </c>
      <c r="AM204" s="416"/>
    </row>
    <row r="205" spans="1:41" customFormat="1" ht="14.4" x14ac:dyDescent="0.3">
      <c r="A205" s="450"/>
      <c r="B205" s="451"/>
      <c r="C205" s="907" t="s">
        <v>1787</v>
      </c>
      <c r="D205" s="907"/>
      <c r="E205" s="907"/>
      <c r="F205" s="907"/>
      <c r="G205" s="907"/>
      <c r="H205" s="907"/>
      <c r="I205" s="907"/>
      <c r="J205" s="907"/>
      <c r="K205" s="907"/>
      <c r="L205" s="907"/>
      <c r="M205" s="907"/>
      <c r="N205" s="919"/>
      <c r="AF205" s="415"/>
      <c r="AG205" s="416"/>
      <c r="AH205" s="416"/>
      <c r="AM205" s="416"/>
      <c r="AO205" s="426" t="s">
        <v>1787</v>
      </c>
    </row>
    <row r="206" spans="1:41" customFormat="1" ht="52.2" x14ac:dyDescent="0.3">
      <c r="A206" s="424"/>
      <c r="B206" s="425" t="s">
        <v>1703</v>
      </c>
      <c r="C206" s="917" t="s">
        <v>1704</v>
      </c>
      <c r="D206" s="917"/>
      <c r="E206" s="917"/>
      <c r="F206" s="917"/>
      <c r="G206" s="917"/>
      <c r="H206" s="917"/>
      <c r="I206" s="917"/>
      <c r="J206" s="917"/>
      <c r="K206" s="917"/>
      <c r="L206" s="917"/>
      <c r="M206" s="917"/>
      <c r="N206" s="918"/>
      <c r="AF206" s="415"/>
      <c r="AG206" s="416"/>
      <c r="AH206" s="416"/>
      <c r="AI206" s="426" t="s">
        <v>1704</v>
      </c>
      <c r="AM206" s="416"/>
    </row>
    <row r="207" spans="1:41" customFormat="1" ht="14.4" x14ac:dyDescent="0.3">
      <c r="A207" s="427"/>
      <c r="B207" s="425" t="s">
        <v>758</v>
      </c>
      <c r="C207" s="907" t="s">
        <v>1705</v>
      </c>
      <c r="D207" s="907"/>
      <c r="E207" s="907"/>
      <c r="F207" s="428"/>
      <c r="G207" s="429"/>
      <c r="H207" s="429"/>
      <c r="I207" s="429"/>
      <c r="J207" s="430">
        <v>443.82</v>
      </c>
      <c r="K207" s="431">
        <v>1.1499999999999999</v>
      </c>
      <c r="L207" s="432">
        <v>27418.31</v>
      </c>
      <c r="M207" s="431">
        <v>44.77</v>
      </c>
      <c r="N207" s="433">
        <v>1227517.74</v>
      </c>
      <c r="AF207" s="415"/>
      <c r="AG207" s="416"/>
      <c r="AH207" s="416"/>
      <c r="AJ207" s="426" t="s">
        <v>1705</v>
      </c>
      <c r="AM207" s="416"/>
    </row>
    <row r="208" spans="1:41" customFormat="1" ht="14.4" x14ac:dyDescent="0.3">
      <c r="A208" s="427"/>
      <c r="B208" s="425" t="s">
        <v>761</v>
      </c>
      <c r="C208" s="907" t="s">
        <v>1718</v>
      </c>
      <c r="D208" s="907"/>
      <c r="E208" s="907"/>
      <c r="F208" s="428"/>
      <c r="G208" s="429"/>
      <c r="H208" s="429"/>
      <c r="I208" s="429"/>
      <c r="J208" s="432">
        <v>1200.08</v>
      </c>
      <c r="K208" s="431">
        <v>1.1499999999999999</v>
      </c>
      <c r="L208" s="432">
        <v>74138.539999999994</v>
      </c>
      <c r="M208" s="431">
        <v>13.24</v>
      </c>
      <c r="N208" s="433">
        <v>981594.27</v>
      </c>
      <c r="AF208" s="415"/>
      <c r="AG208" s="416"/>
      <c r="AH208" s="416"/>
      <c r="AJ208" s="426" t="s">
        <v>1718</v>
      </c>
      <c r="AM208" s="416"/>
    </row>
    <row r="209" spans="1:41" customFormat="1" ht="14.4" x14ac:dyDescent="0.3">
      <c r="A209" s="427"/>
      <c r="B209" s="425" t="s">
        <v>586</v>
      </c>
      <c r="C209" s="907" t="s">
        <v>1738</v>
      </c>
      <c r="D209" s="907"/>
      <c r="E209" s="907"/>
      <c r="F209" s="428"/>
      <c r="G209" s="429"/>
      <c r="H209" s="429"/>
      <c r="I209" s="429"/>
      <c r="J209" s="430">
        <v>22.45</v>
      </c>
      <c r="K209" s="429"/>
      <c r="L209" s="432">
        <v>1206.01</v>
      </c>
      <c r="M209" s="431">
        <v>8.16</v>
      </c>
      <c r="N209" s="433">
        <v>9841.0400000000009</v>
      </c>
      <c r="AF209" s="415"/>
      <c r="AG209" s="416"/>
      <c r="AH209" s="416"/>
      <c r="AJ209" s="426" t="s">
        <v>1738</v>
      </c>
      <c r="AM209" s="416"/>
    </row>
    <row r="210" spans="1:41" customFormat="1" ht="14.4" x14ac:dyDescent="0.3">
      <c r="A210" s="434"/>
      <c r="B210" s="425"/>
      <c r="C210" s="907" t="s">
        <v>1706</v>
      </c>
      <c r="D210" s="907"/>
      <c r="E210" s="907"/>
      <c r="F210" s="428" t="s">
        <v>1707</v>
      </c>
      <c r="G210" s="431">
        <v>52.03</v>
      </c>
      <c r="H210" s="431">
        <v>1.1499999999999999</v>
      </c>
      <c r="I210" s="459">
        <v>3214.3093399999998</v>
      </c>
      <c r="J210" s="436"/>
      <c r="K210" s="429"/>
      <c r="L210" s="436"/>
      <c r="M210" s="429"/>
      <c r="N210" s="437"/>
      <c r="AF210" s="415"/>
      <c r="AG210" s="416"/>
      <c r="AH210" s="416"/>
      <c r="AK210" s="426" t="s">
        <v>1706</v>
      </c>
      <c r="AM210" s="416"/>
    </row>
    <row r="211" spans="1:41" customFormat="1" ht="14.4" x14ac:dyDescent="0.3">
      <c r="A211" s="427"/>
      <c r="B211" s="425"/>
      <c r="C211" s="908" t="s">
        <v>1708</v>
      </c>
      <c r="D211" s="908"/>
      <c r="E211" s="908"/>
      <c r="F211" s="438"/>
      <c r="G211" s="439"/>
      <c r="H211" s="439"/>
      <c r="I211" s="439"/>
      <c r="J211" s="441">
        <v>1666.35</v>
      </c>
      <c r="K211" s="439"/>
      <c r="L211" s="441">
        <v>102762.86</v>
      </c>
      <c r="M211" s="439"/>
      <c r="N211" s="442">
        <v>2218953.0499999998</v>
      </c>
      <c r="AF211" s="415"/>
      <c r="AG211" s="416"/>
      <c r="AH211" s="416"/>
      <c r="AL211" s="426" t="s">
        <v>1708</v>
      </c>
      <c r="AM211" s="416"/>
    </row>
    <row r="212" spans="1:41" customFormat="1" ht="14.4" x14ac:dyDescent="0.3">
      <c r="A212" s="434"/>
      <c r="B212" s="425"/>
      <c r="C212" s="907" t="s">
        <v>1709</v>
      </c>
      <c r="D212" s="907"/>
      <c r="E212" s="907"/>
      <c r="F212" s="428"/>
      <c r="G212" s="429"/>
      <c r="H212" s="429"/>
      <c r="I212" s="429"/>
      <c r="J212" s="436"/>
      <c r="K212" s="429"/>
      <c r="L212" s="432">
        <v>27418.31</v>
      </c>
      <c r="M212" s="429"/>
      <c r="N212" s="433">
        <v>1227517.74</v>
      </c>
      <c r="AF212" s="415"/>
      <c r="AG212" s="416"/>
      <c r="AH212" s="416"/>
      <c r="AK212" s="426" t="s">
        <v>1709</v>
      </c>
      <c r="AM212" s="416"/>
    </row>
    <row r="213" spans="1:41" customFormat="1" ht="31.8" x14ac:dyDescent="0.3">
      <c r="A213" s="434"/>
      <c r="B213" s="425" t="s">
        <v>1761</v>
      </c>
      <c r="C213" s="907" t="s">
        <v>1762</v>
      </c>
      <c r="D213" s="907"/>
      <c r="E213" s="907"/>
      <c r="F213" s="428" t="s">
        <v>1712</v>
      </c>
      <c r="G213" s="443">
        <v>91</v>
      </c>
      <c r="H213" s="429"/>
      <c r="I213" s="443">
        <v>91</v>
      </c>
      <c r="J213" s="436"/>
      <c r="K213" s="429"/>
      <c r="L213" s="432">
        <v>24950.66</v>
      </c>
      <c r="M213" s="429"/>
      <c r="N213" s="433">
        <v>1117041.1399999999</v>
      </c>
      <c r="AF213" s="415"/>
      <c r="AG213" s="416"/>
      <c r="AH213" s="416"/>
      <c r="AK213" s="426" t="s">
        <v>1762</v>
      </c>
      <c r="AM213" s="416"/>
    </row>
    <row r="214" spans="1:41" customFormat="1" ht="31.8" x14ac:dyDescent="0.3">
      <c r="A214" s="434"/>
      <c r="B214" s="425" t="s">
        <v>1763</v>
      </c>
      <c r="C214" s="907" t="s">
        <v>1764</v>
      </c>
      <c r="D214" s="907"/>
      <c r="E214" s="907"/>
      <c r="F214" s="428" t="s">
        <v>1712</v>
      </c>
      <c r="G214" s="443">
        <v>52</v>
      </c>
      <c r="H214" s="429"/>
      <c r="I214" s="443">
        <v>52</v>
      </c>
      <c r="J214" s="436"/>
      <c r="K214" s="429"/>
      <c r="L214" s="432">
        <v>14257.52</v>
      </c>
      <c r="M214" s="429"/>
      <c r="N214" s="433">
        <v>638309.22</v>
      </c>
      <c r="AF214" s="415"/>
      <c r="AG214" s="416"/>
      <c r="AH214" s="416"/>
      <c r="AK214" s="426" t="s">
        <v>1764</v>
      </c>
      <c r="AM214" s="416"/>
    </row>
    <row r="215" spans="1:41" customFormat="1" ht="14.4" x14ac:dyDescent="0.3">
      <c r="A215" s="444"/>
      <c r="B215" s="445"/>
      <c r="C215" s="916" t="s">
        <v>1715</v>
      </c>
      <c r="D215" s="916"/>
      <c r="E215" s="916"/>
      <c r="F215" s="419"/>
      <c r="G215" s="420"/>
      <c r="H215" s="420"/>
      <c r="I215" s="420"/>
      <c r="J215" s="422"/>
      <c r="K215" s="420"/>
      <c r="L215" s="446">
        <v>141971.04</v>
      </c>
      <c r="M215" s="439"/>
      <c r="N215" s="447">
        <v>3974303.41</v>
      </c>
      <c r="AF215" s="415"/>
      <c r="AG215" s="416"/>
      <c r="AH215" s="416"/>
      <c r="AM215" s="416" t="s">
        <v>1715</v>
      </c>
    </row>
    <row r="216" spans="1:41" customFormat="1" ht="42" x14ac:dyDescent="0.3">
      <c r="A216" s="417" t="s">
        <v>766</v>
      </c>
      <c r="B216" s="418" t="s">
        <v>1747</v>
      </c>
      <c r="C216" s="916" t="s">
        <v>1748</v>
      </c>
      <c r="D216" s="916"/>
      <c r="E216" s="916"/>
      <c r="F216" s="419" t="s">
        <v>1723</v>
      </c>
      <c r="G216" s="420">
        <v>3144.7</v>
      </c>
      <c r="H216" s="421">
        <v>1</v>
      </c>
      <c r="I216" s="456">
        <v>3144.7</v>
      </c>
      <c r="J216" s="449">
        <v>3.28</v>
      </c>
      <c r="K216" s="420"/>
      <c r="L216" s="446">
        <v>10314.620000000001</v>
      </c>
      <c r="M216" s="448">
        <v>13.24</v>
      </c>
      <c r="N216" s="447">
        <v>136565.57</v>
      </c>
      <c r="AF216" s="415"/>
      <c r="AG216" s="416"/>
      <c r="AH216" s="416" t="s">
        <v>1748</v>
      </c>
      <c r="AM216" s="416"/>
    </row>
    <row r="217" spans="1:41" customFormat="1" ht="14.4" x14ac:dyDescent="0.3">
      <c r="A217" s="450"/>
      <c r="B217" s="451"/>
      <c r="C217" s="907" t="s">
        <v>1788</v>
      </c>
      <c r="D217" s="907"/>
      <c r="E217" s="907"/>
      <c r="F217" s="907"/>
      <c r="G217" s="907"/>
      <c r="H217" s="907"/>
      <c r="I217" s="907"/>
      <c r="J217" s="907"/>
      <c r="K217" s="907"/>
      <c r="L217" s="907"/>
      <c r="M217" s="907"/>
      <c r="N217" s="919"/>
      <c r="AF217" s="415"/>
      <c r="AG217" s="416"/>
      <c r="AH217" s="416"/>
      <c r="AM217" s="416"/>
      <c r="AO217" s="426" t="s">
        <v>1788</v>
      </c>
    </row>
    <row r="218" spans="1:41" customFormat="1" ht="14.4" x14ac:dyDescent="0.3">
      <c r="A218" s="444"/>
      <c r="B218" s="445"/>
      <c r="C218" s="916" t="s">
        <v>1715</v>
      </c>
      <c r="D218" s="916"/>
      <c r="E218" s="916"/>
      <c r="F218" s="419"/>
      <c r="G218" s="420"/>
      <c r="H218" s="420"/>
      <c r="I218" s="420"/>
      <c r="J218" s="422"/>
      <c r="K218" s="420"/>
      <c r="L218" s="446">
        <v>10314.620000000001</v>
      </c>
      <c r="M218" s="439"/>
      <c r="N218" s="447">
        <v>136565.57</v>
      </c>
      <c r="AF218" s="415"/>
      <c r="AG218" s="416"/>
      <c r="AH218" s="416"/>
      <c r="AM218" s="416" t="s">
        <v>1715</v>
      </c>
    </row>
    <row r="219" spans="1:41" customFormat="1" ht="21.6" x14ac:dyDescent="0.3">
      <c r="A219" s="417" t="s">
        <v>1789</v>
      </c>
      <c r="B219" s="418" t="s">
        <v>1751</v>
      </c>
      <c r="C219" s="916" t="s">
        <v>1752</v>
      </c>
      <c r="D219" s="916"/>
      <c r="E219" s="916"/>
      <c r="F219" s="419" t="s">
        <v>1723</v>
      </c>
      <c r="G219" s="420">
        <v>786.16</v>
      </c>
      <c r="H219" s="421">
        <v>1</v>
      </c>
      <c r="I219" s="448">
        <v>786.16</v>
      </c>
      <c r="J219" s="449">
        <v>42.98</v>
      </c>
      <c r="K219" s="448">
        <v>1.1499999999999999</v>
      </c>
      <c r="L219" s="446">
        <v>38857.53</v>
      </c>
      <c r="M219" s="448">
        <v>13.24</v>
      </c>
      <c r="N219" s="447">
        <v>514473.7</v>
      </c>
      <c r="AF219" s="415"/>
      <c r="AG219" s="416"/>
      <c r="AH219" s="416" t="s">
        <v>1752</v>
      </c>
      <c r="AM219" s="416"/>
    </row>
    <row r="220" spans="1:41" customFormat="1" ht="14.4" x14ac:dyDescent="0.3">
      <c r="A220" s="450"/>
      <c r="B220" s="451"/>
      <c r="C220" s="907" t="s">
        <v>1790</v>
      </c>
      <c r="D220" s="907"/>
      <c r="E220" s="907"/>
      <c r="F220" s="907"/>
      <c r="G220" s="907"/>
      <c r="H220" s="907"/>
      <c r="I220" s="907"/>
      <c r="J220" s="907"/>
      <c r="K220" s="907"/>
      <c r="L220" s="907"/>
      <c r="M220" s="907"/>
      <c r="N220" s="919"/>
      <c r="AF220" s="415"/>
      <c r="AG220" s="416"/>
      <c r="AH220" s="416"/>
      <c r="AM220" s="416"/>
      <c r="AO220" s="426" t="s">
        <v>1790</v>
      </c>
    </row>
    <row r="221" spans="1:41" customFormat="1" ht="52.2" x14ac:dyDescent="0.3">
      <c r="A221" s="424"/>
      <c r="B221" s="425" t="s">
        <v>1703</v>
      </c>
      <c r="C221" s="917" t="s">
        <v>1704</v>
      </c>
      <c r="D221" s="917"/>
      <c r="E221" s="917"/>
      <c r="F221" s="917"/>
      <c r="G221" s="917"/>
      <c r="H221" s="917"/>
      <c r="I221" s="917"/>
      <c r="J221" s="917"/>
      <c r="K221" s="917"/>
      <c r="L221" s="917"/>
      <c r="M221" s="917"/>
      <c r="N221" s="918"/>
      <c r="AF221" s="415"/>
      <c r="AG221" s="416"/>
      <c r="AH221" s="416"/>
      <c r="AI221" s="426" t="s">
        <v>1704</v>
      </c>
      <c r="AM221" s="416"/>
    </row>
    <row r="222" spans="1:41" customFormat="1" ht="14.4" x14ac:dyDescent="0.3">
      <c r="A222" s="444"/>
      <c r="B222" s="445"/>
      <c r="C222" s="916" t="s">
        <v>1715</v>
      </c>
      <c r="D222" s="916"/>
      <c r="E222" s="916"/>
      <c r="F222" s="419"/>
      <c r="G222" s="420"/>
      <c r="H222" s="420"/>
      <c r="I222" s="420"/>
      <c r="J222" s="422"/>
      <c r="K222" s="420"/>
      <c r="L222" s="446">
        <v>38857.53</v>
      </c>
      <c r="M222" s="439"/>
      <c r="N222" s="447">
        <v>514473.7</v>
      </c>
      <c r="AF222" s="415"/>
      <c r="AG222" s="416"/>
      <c r="AH222" s="416"/>
      <c r="AM222" s="416" t="s">
        <v>1715</v>
      </c>
    </row>
    <row r="223" spans="1:41" customFormat="1" ht="21.6" x14ac:dyDescent="0.3">
      <c r="A223" s="417" t="s">
        <v>1791</v>
      </c>
      <c r="B223" s="418" t="s">
        <v>1726</v>
      </c>
      <c r="C223" s="916" t="s">
        <v>1727</v>
      </c>
      <c r="D223" s="916"/>
      <c r="E223" s="916"/>
      <c r="F223" s="419" t="s">
        <v>193</v>
      </c>
      <c r="G223" s="420">
        <v>1876.05</v>
      </c>
      <c r="H223" s="421">
        <v>1</v>
      </c>
      <c r="I223" s="448">
        <v>1876.05</v>
      </c>
      <c r="J223" s="449">
        <v>162.38</v>
      </c>
      <c r="K223" s="420"/>
      <c r="L223" s="446">
        <v>304633</v>
      </c>
      <c r="M223" s="448">
        <v>8.16</v>
      </c>
      <c r="N223" s="447">
        <v>2485805.2799999998</v>
      </c>
      <c r="AF223" s="415"/>
      <c r="AG223" s="416"/>
      <c r="AH223" s="416" t="s">
        <v>1727</v>
      </c>
      <c r="AM223" s="416"/>
    </row>
    <row r="224" spans="1:41" customFormat="1" ht="14.4" x14ac:dyDescent="0.3">
      <c r="A224" s="444"/>
      <c r="B224" s="445"/>
      <c r="C224" s="907" t="s">
        <v>1728</v>
      </c>
      <c r="D224" s="907"/>
      <c r="E224" s="907"/>
      <c r="F224" s="907"/>
      <c r="G224" s="907"/>
      <c r="H224" s="907"/>
      <c r="I224" s="907"/>
      <c r="J224" s="907"/>
      <c r="K224" s="907"/>
      <c r="L224" s="907"/>
      <c r="M224" s="907"/>
      <c r="N224" s="919"/>
      <c r="AF224" s="415"/>
      <c r="AG224" s="416"/>
      <c r="AH224" s="416"/>
      <c r="AM224" s="416"/>
      <c r="AN224" s="426" t="s">
        <v>1728</v>
      </c>
    </row>
    <row r="225" spans="1:42" customFormat="1" ht="14.4" x14ac:dyDescent="0.3">
      <c r="A225" s="450"/>
      <c r="B225" s="451"/>
      <c r="C225" s="907" t="s">
        <v>1792</v>
      </c>
      <c r="D225" s="907"/>
      <c r="E225" s="907"/>
      <c r="F225" s="907"/>
      <c r="G225" s="907"/>
      <c r="H225" s="907"/>
      <c r="I225" s="907"/>
      <c r="J225" s="907"/>
      <c r="K225" s="907"/>
      <c r="L225" s="907"/>
      <c r="M225" s="907"/>
      <c r="N225" s="919"/>
      <c r="AF225" s="415"/>
      <c r="AG225" s="416"/>
      <c r="AH225" s="416"/>
      <c r="AM225" s="416"/>
      <c r="AO225" s="426" t="s">
        <v>1792</v>
      </c>
    </row>
    <row r="226" spans="1:42" customFormat="1" ht="14.4" x14ac:dyDescent="0.3">
      <c r="A226" s="450"/>
      <c r="B226" s="451"/>
      <c r="C226" s="907" t="s">
        <v>1730</v>
      </c>
      <c r="D226" s="907"/>
      <c r="E226" s="907"/>
      <c r="F226" s="907"/>
      <c r="G226" s="907"/>
      <c r="H226" s="907"/>
      <c r="I226" s="907"/>
      <c r="J226" s="907"/>
      <c r="K226" s="907"/>
      <c r="L226" s="907"/>
      <c r="M226" s="907"/>
      <c r="N226" s="919"/>
      <c r="AF226" s="415"/>
      <c r="AG226" s="416"/>
      <c r="AH226" s="416"/>
      <c r="AM226" s="416"/>
      <c r="AP226" s="426" t="s">
        <v>1730</v>
      </c>
    </row>
    <row r="227" spans="1:42" customFormat="1" ht="14.4" x14ac:dyDescent="0.3">
      <c r="A227" s="444"/>
      <c r="B227" s="445"/>
      <c r="C227" s="916" t="s">
        <v>1715</v>
      </c>
      <c r="D227" s="916"/>
      <c r="E227" s="916"/>
      <c r="F227" s="419"/>
      <c r="G227" s="420"/>
      <c r="H227" s="420"/>
      <c r="I227" s="420"/>
      <c r="J227" s="422"/>
      <c r="K227" s="420"/>
      <c r="L227" s="446">
        <v>304633</v>
      </c>
      <c r="M227" s="439"/>
      <c r="N227" s="447">
        <v>2485805.2799999998</v>
      </c>
      <c r="AF227" s="415"/>
      <c r="AG227" s="416"/>
      <c r="AH227" s="416"/>
      <c r="AM227" s="416" t="s">
        <v>1715</v>
      </c>
    </row>
    <row r="228" spans="1:42" customFormat="1" ht="14.4" x14ac:dyDescent="0.3">
      <c r="A228" s="913" t="s">
        <v>1793</v>
      </c>
      <c r="B228" s="914"/>
      <c r="C228" s="914"/>
      <c r="D228" s="914"/>
      <c r="E228" s="914"/>
      <c r="F228" s="914"/>
      <c r="G228" s="914"/>
      <c r="H228" s="914"/>
      <c r="I228" s="914"/>
      <c r="J228" s="914"/>
      <c r="K228" s="914"/>
      <c r="L228" s="914"/>
      <c r="M228" s="914"/>
      <c r="N228" s="915"/>
      <c r="AF228" s="415"/>
      <c r="AG228" s="416" t="s">
        <v>1793</v>
      </c>
      <c r="AH228" s="416"/>
      <c r="AM228" s="416"/>
    </row>
    <row r="229" spans="1:42" customFormat="1" ht="61.2" x14ac:dyDescent="0.3">
      <c r="A229" s="417" t="s">
        <v>1794</v>
      </c>
      <c r="B229" s="418" t="s">
        <v>1783</v>
      </c>
      <c r="C229" s="916" t="s">
        <v>1784</v>
      </c>
      <c r="D229" s="916"/>
      <c r="E229" s="916"/>
      <c r="F229" s="419" t="s">
        <v>1759</v>
      </c>
      <c r="G229" s="420">
        <v>41.709000000000003</v>
      </c>
      <c r="H229" s="421">
        <v>1</v>
      </c>
      <c r="I229" s="452">
        <v>41.709000000000003</v>
      </c>
      <c r="J229" s="422"/>
      <c r="K229" s="420"/>
      <c r="L229" s="422"/>
      <c r="M229" s="420"/>
      <c r="N229" s="423"/>
      <c r="AF229" s="415"/>
      <c r="AG229" s="416"/>
      <c r="AH229" s="416" t="s">
        <v>1784</v>
      </c>
      <c r="AM229" s="416"/>
    </row>
    <row r="230" spans="1:42" customFormat="1" ht="14.4" x14ac:dyDescent="0.3">
      <c r="A230" s="450"/>
      <c r="B230" s="451"/>
      <c r="C230" s="907" t="s">
        <v>1795</v>
      </c>
      <c r="D230" s="907"/>
      <c r="E230" s="907"/>
      <c r="F230" s="907"/>
      <c r="G230" s="907"/>
      <c r="H230" s="907"/>
      <c r="I230" s="907"/>
      <c r="J230" s="907"/>
      <c r="K230" s="907"/>
      <c r="L230" s="907"/>
      <c r="M230" s="907"/>
      <c r="N230" s="919"/>
      <c r="AF230" s="415"/>
      <c r="AG230" s="416"/>
      <c r="AH230" s="416"/>
      <c r="AM230" s="416"/>
      <c r="AO230" s="426" t="s">
        <v>1795</v>
      </c>
    </row>
    <row r="231" spans="1:42" customFormat="1" ht="52.2" x14ac:dyDescent="0.3">
      <c r="A231" s="424"/>
      <c r="B231" s="425" t="s">
        <v>1703</v>
      </c>
      <c r="C231" s="917" t="s">
        <v>1704</v>
      </c>
      <c r="D231" s="917"/>
      <c r="E231" s="917"/>
      <c r="F231" s="917"/>
      <c r="G231" s="917"/>
      <c r="H231" s="917"/>
      <c r="I231" s="917"/>
      <c r="J231" s="917"/>
      <c r="K231" s="917"/>
      <c r="L231" s="917"/>
      <c r="M231" s="917"/>
      <c r="N231" s="918"/>
      <c r="AF231" s="415"/>
      <c r="AG231" s="416"/>
      <c r="AH231" s="416"/>
      <c r="AI231" s="426" t="s">
        <v>1704</v>
      </c>
      <c r="AM231" s="416"/>
    </row>
    <row r="232" spans="1:42" customFormat="1" ht="14.4" x14ac:dyDescent="0.3">
      <c r="A232" s="427"/>
      <c r="B232" s="425" t="s">
        <v>758</v>
      </c>
      <c r="C232" s="907" t="s">
        <v>1705</v>
      </c>
      <c r="D232" s="907"/>
      <c r="E232" s="907"/>
      <c r="F232" s="428"/>
      <c r="G232" s="429"/>
      <c r="H232" s="429"/>
      <c r="I232" s="429"/>
      <c r="J232" s="430">
        <v>280.13</v>
      </c>
      <c r="K232" s="431">
        <v>1.1499999999999999</v>
      </c>
      <c r="L232" s="432">
        <v>13436.53</v>
      </c>
      <c r="M232" s="431">
        <v>44.77</v>
      </c>
      <c r="N232" s="433">
        <v>601553.44999999995</v>
      </c>
      <c r="AF232" s="415"/>
      <c r="AG232" s="416"/>
      <c r="AH232" s="416"/>
      <c r="AJ232" s="426" t="s">
        <v>1705</v>
      </c>
      <c r="AM232" s="416"/>
    </row>
    <row r="233" spans="1:42" customFormat="1" ht="14.4" x14ac:dyDescent="0.3">
      <c r="A233" s="427"/>
      <c r="B233" s="425" t="s">
        <v>761</v>
      </c>
      <c r="C233" s="907" t="s">
        <v>1718</v>
      </c>
      <c r="D233" s="907"/>
      <c r="E233" s="907"/>
      <c r="F233" s="428"/>
      <c r="G233" s="429"/>
      <c r="H233" s="429"/>
      <c r="I233" s="429"/>
      <c r="J233" s="432">
        <v>2472.8000000000002</v>
      </c>
      <c r="K233" s="431">
        <v>1.1499999999999999</v>
      </c>
      <c r="L233" s="432">
        <v>118608.72</v>
      </c>
      <c r="M233" s="431">
        <v>13.24</v>
      </c>
      <c r="N233" s="433">
        <v>1570379.45</v>
      </c>
      <c r="AF233" s="415"/>
      <c r="AG233" s="416"/>
      <c r="AH233" s="416"/>
      <c r="AJ233" s="426" t="s">
        <v>1718</v>
      </c>
      <c r="AM233" s="416"/>
    </row>
    <row r="234" spans="1:42" customFormat="1" ht="14.4" x14ac:dyDescent="0.3">
      <c r="A234" s="427"/>
      <c r="B234" s="425" t="s">
        <v>1144</v>
      </c>
      <c r="C234" s="907" t="s">
        <v>1719</v>
      </c>
      <c r="D234" s="907"/>
      <c r="E234" s="907"/>
      <c r="F234" s="428"/>
      <c r="G234" s="429"/>
      <c r="H234" s="429"/>
      <c r="I234" s="429"/>
      <c r="J234" s="430">
        <v>417.51</v>
      </c>
      <c r="K234" s="431">
        <v>1.1499999999999999</v>
      </c>
      <c r="L234" s="432">
        <v>20026.009999999998</v>
      </c>
      <c r="M234" s="431">
        <v>44.77</v>
      </c>
      <c r="N234" s="433">
        <v>896564.47</v>
      </c>
      <c r="AF234" s="415"/>
      <c r="AG234" s="416"/>
      <c r="AH234" s="416"/>
      <c r="AJ234" s="426" t="s">
        <v>1719</v>
      </c>
      <c r="AM234" s="416"/>
    </row>
    <row r="235" spans="1:42" customFormat="1" ht="14.4" x14ac:dyDescent="0.3">
      <c r="A235" s="434"/>
      <c r="B235" s="425"/>
      <c r="C235" s="907" t="s">
        <v>1706</v>
      </c>
      <c r="D235" s="907"/>
      <c r="E235" s="907"/>
      <c r="F235" s="428" t="s">
        <v>1707</v>
      </c>
      <c r="G235" s="431">
        <v>32.840000000000003</v>
      </c>
      <c r="H235" s="431">
        <v>1.1499999999999999</v>
      </c>
      <c r="I235" s="457">
        <v>1575.182094</v>
      </c>
      <c r="J235" s="436"/>
      <c r="K235" s="429"/>
      <c r="L235" s="436"/>
      <c r="M235" s="429"/>
      <c r="N235" s="437"/>
      <c r="AF235" s="415"/>
      <c r="AG235" s="416"/>
      <c r="AH235" s="416"/>
      <c r="AK235" s="426" t="s">
        <v>1706</v>
      </c>
      <c r="AM235" s="416"/>
    </row>
    <row r="236" spans="1:42" customFormat="1" ht="14.4" x14ac:dyDescent="0.3">
      <c r="A236" s="434"/>
      <c r="B236" s="425"/>
      <c r="C236" s="907" t="s">
        <v>1720</v>
      </c>
      <c r="D236" s="907"/>
      <c r="E236" s="907"/>
      <c r="F236" s="428" t="s">
        <v>1707</v>
      </c>
      <c r="G236" s="431">
        <v>31.54</v>
      </c>
      <c r="H236" s="431">
        <v>1.1499999999999999</v>
      </c>
      <c r="I236" s="457">
        <v>1512.827139</v>
      </c>
      <c r="J236" s="436"/>
      <c r="K236" s="429"/>
      <c r="L236" s="436"/>
      <c r="M236" s="429"/>
      <c r="N236" s="437"/>
      <c r="AF236" s="415"/>
      <c r="AG236" s="416"/>
      <c r="AH236" s="416"/>
      <c r="AK236" s="426" t="s">
        <v>1720</v>
      </c>
      <c r="AM236" s="416"/>
    </row>
    <row r="237" spans="1:42" customFormat="1" ht="14.4" x14ac:dyDescent="0.3">
      <c r="A237" s="427"/>
      <c r="B237" s="425"/>
      <c r="C237" s="908" t="s">
        <v>1708</v>
      </c>
      <c r="D237" s="908"/>
      <c r="E237" s="908"/>
      <c r="F237" s="438"/>
      <c r="G237" s="439"/>
      <c r="H237" s="439"/>
      <c r="I237" s="439"/>
      <c r="J237" s="441">
        <v>2752.93</v>
      </c>
      <c r="K237" s="439"/>
      <c r="L237" s="441">
        <v>132045.25</v>
      </c>
      <c r="M237" s="439"/>
      <c r="N237" s="442">
        <v>2171932.9</v>
      </c>
      <c r="AF237" s="415"/>
      <c r="AG237" s="416"/>
      <c r="AH237" s="416"/>
      <c r="AL237" s="426" t="s">
        <v>1708</v>
      </c>
      <c r="AM237" s="416"/>
    </row>
    <row r="238" spans="1:42" customFormat="1" ht="14.4" x14ac:dyDescent="0.3">
      <c r="A238" s="434"/>
      <c r="B238" s="425"/>
      <c r="C238" s="907" t="s">
        <v>1709</v>
      </c>
      <c r="D238" s="907"/>
      <c r="E238" s="907"/>
      <c r="F238" s="428"/>
      <c r="G238" s="429"/>
      <c r="H238" s="429"/>
      <c r="I238" s="429"/>
      <c r="J238" s="436"/>
      <c r="K238" s="429"/>
      <c r="L238" s="432">
        <v>33462.54</v>
      </c>
      <c r="M238" s="429"/>
      <c r="N238" s="433">
        <v>1498117.92</v>
      </c>
      <c r="AF238" s="415"/>
      <c r="AG238" s="416"/>
      <c r="AH238" s="416"/>
      <c r="AK238" s="426" t="s">
        <v>1709</v>
      </c>
      <c r="AM238" s="416"/>
    </row>
    <row r="239" spans="1:42" customFormat="1" ht="31.8" x14ac:dyDescent="0.3">
      <c r="A239" s="434"/>
      <c r="B239" s="425" t="s">
        <v>1761</v>
      </c>
      <c r="C239" s="907" t="s">
        <v>1762</v>
      </c>
      <c r="D239" s="907"/>
      <c r="E239" s="907"/>
      <c r="F239" s="428" t="s">
        <v>1712</v>
      </c>
      <c r="G239" s="443">
        <v>91</v>
      </c>
      <c r="H239" s="429"/>
      <c r="I239" s="443">
        <v>91</v>
      </c>
      <c r="J239" s="436"/>
      <c r="K239" s="429"/>
      <c r="L239" s="432">
        <v>30450.91</v>
      </c>
      <c r="M239" s="429"/>
      <c r="N239" s="433">
        <v>1363287.31</v>
      </c>
      <c r="AF239" s="415"/>
      <c r="AG239" s="416"/>
      <c r="AH239" s="416"/>
      <c r="AK239" s="426" t="s">
        <v>1762</v>
      </c>
      <c r="AM239" s="416"/>
    </row>
    <row r="240" spans="1:42" customFormat="1" ht="31.8" x14ac:dyDescent="0.3">
      <c r="A240" s="434"/>
      <c r="B240" s="425" t="s">
        <v>1763</v>
      </c>
      <c r="C240" s="907" t="s">
        <v>1764</v>
      </c>
      <c r="D240" s="907"/>
      <c r="E240" s="907"/>
      <c r="F240" s="428" t="s">
        <v>1712</v>
      </c>
      <c r="G240" s="443">
        <v>52</v>
      </c>
      <c r="H240" s="429"/>
      <c r="I240" s="443">
        <v>52</v>
      </c>
      <c r="J240" s="436"/>
      <c r="K240" s="429"/>
      <c r="L240" s="432">
        <v>17400.52</v>
      </c>
      <c r="M240" s="429"/>
      <c r="N240" s="433">
        <v>779021.32</v>
      </c>
      <c r="AF240" s="415"/>
      <c r="AG240" s="416"/>
      <c r="AH240" s="416"/>
      <c r="AK240" s="426" t="s">
        <v>1764</v>
      </c>
      <c r="AM240" s="416"/>
    </row>
    <row r="241" spans="1:41" customFormat="1" ht="14.4" x14ac:dyDescent="0.3">
      <c r="A241" s="444"/>
      <c r="B241" s="445"/>
      <c r="C241" s="916" t="s">
        <v>1715</v>
      </c>
      <c r="D241" s="916"/>
      <c r="E241" s="916"/>
      <c r="F241" s="419"/>
      <c r="G241" s="420"/>
      <c r="H241" s="420"/>
      <c r="I241" s="420"/>
      <c r="J241" s="422"/>
      <c r="K241" s="420"/>
      <c r="L241" s="446">
        <v>179896.68</v>
      </c>
      <c r="M241" s="439"/>
      <c r="N241" s="447">
        <v>4314241.53</v>
      </c>
      <c r="AF241" s="415"/>
      <c r="AG241" s="416"/>
      <c r="AH241" s="416"/>
      <c r="AM241" s="416" t="s">
        <v>1715</v>
      </c>
    </row>
    <row r="242" spans="1:41" customFormat="1" ht="31.8" x14ac:dyDescent="0.3">
      <c r="A242" s="417" t="s">
        <v>1796</v>
      </c>
      <c r="B242" s="418" t="s">
        <v>1766</v>
      </c>
      <c r="C242" s="916" t="s">
        <v>1767</v>
      </c>
      <c r="D242" s="916"/>
      <c r="E242" s="916"/>
      <c r="F242" s="419" t="s">
        <v>193</v>
      </c>
      <c r="G242" s="420">
        <v>69.760000000000005</v>
      </c>
      <c r="H242" s="421">
        <v>1</v>
      </c>
      <c r="I242" s="448">
        <v>69.760000000000005</v>
      </c>
      <c r="J242" s="422"/>
      <c r="K242" s="420"/>
      <c r="L242" s="422"/>
      <c r="M242" s="420"/>
      <c r="N242" s="423"/>
      <c r="AF242" s="415"/>
      <c r="AG242" s="416"/>
      <c r="AH242" s="416" t="s">
        <v>1767</v>
      </c>
      <c r="AM242" s="416"/>
    </row>
    <row r="243" spans="1:41" customFormat="1" ht="52.2" x14ac:dyDescent="0.3">
      <c r="A243" s="424"/>
      <c r="B243" s="425" t="s">
        <v>1703</v>
      </c>
      <c r="C243" s="917" t="s">
        <v>1704</v>
      </c>
      <c r="D243" s="917"/>
      <c r="E243" s="917"/>
      <c r="F243" s="917"/>
      <c r="G243" s="917"/>
      <c r="H243" s="917"/>
      <c r="I243" s="917"/>
      <c r="J243" s="917"/>
      <c r="K243" s="917"/>
      <c r="L243" s="917"/>
      <c r="M243" s="917"/>
      <c r="N243" s="918"/>
      <c r="AF243" s="415"/>
      <c r="AG243" s="416"/>
      <c r="AH243" s="416"/>
      <c r="AI243" s="426" t="s">
        <v>1704</v>
      </c>
      <c r="AM243" s="416"/>
    </row>
    <row r="244" spans="1:41" customFormat="1" ht="14.4" x14ac:dyDescent="0.3">
      <c r="A244" s="427"/>
      <c r="B244" s="425" t="s">
        <v>758</v>
      </c>
      <c r="C244" s="907" t="s">
        <v>1705</v>
      </c>
      <c r="D244" s="907"/>
      <c r="E244" s="907"/>
      <c r="F244" s="428"/>
      <c r="G244" s="429"/>
      <c r="H244" s="429"/>
      <c r="I244" s="429"/>
      <c r="J244" s="430">
        <v>443.82</v>
      </c>
      <c r="K244" s="431">
        <v>1.1499999999999999</v>
      </c>
      <c r="L244" s="432">
        <v>35605.019999999997</v>
      </c>
      <c r="M244" s="431">
        <v>44.77</v>
      </c>
      <c r="N244" s="433">
        <v>1594036.75</v>
      </c>
      <c r="AF244" s="415"/>
      <c r="AG244" s="416"/>
      <c r="AH244" s="416"/>
      <c r="AJ244" s="426" t="s">
        <v>1705</v>
      </c>
      <c r="AM244" s="416"/>
    </row>
    <row r="245" spans="1:41" customFormat="1" ht="14.4" x14ac:dyDescent="0.3">
      <c r="A245" s="427"/>
      <c r="B245" s="425" t="s">
        <v>761</v>
      </c>
      <c r="C245" s="907" t="s">
        <v>1718</v>
      </c>
      <c r="D245" s="907"/>
      <c r="E245" s="907"/>
      <c r="F245" s="428"/>
      <c r="G245" s="429"/>
      <c r="H245" s="429"/>
      <c r="I245" s="429"/>
      <c r="J245" s="432">
        <v>1200.08</v>
      </c>
      <c r="K245" s="431">
        <v>1.1499999999999999</v>
      </c>
      <c r="L245" s="432">
        <v>96275.22</v>
      </c>
      <c r="M245" s="431">
        <v>13.24</v>
      </c>
      <c r="N245" s="433">
        <v>1274683.9099999999</v>
      </c>
      <c r="AF245" s="415"/>
      <c r="AG245" s="416"/>
      <c r="AH245" s="416"/>
      <c r="AJ245" s="426" t="s">
        <v>1718</v>
      </c>
      <c r="AM245" s="416"/>
    </row>
    <row r="246" spans="1:41" customFormat="1" ht="14.4" x14ac:dyDescent="0.3">
      <c r="A246" s="427"/>
      <c r="B246" s="425" t="s">
        <v>586</v>
      </c>
      <c r="C246" s="907" t="s">
        <v>1738</v>
      </c>
      <c r="D246" s="907"/>
      <c r="E246" s="907"/>
      <c r="F246" s="428"/>
      <c r="G246" s="429"/>
      <c r="H246" s="429"/>
      <c r="I246" s="429"/>
      <c r="J246" s="430">
        <v>22.45</v>
      </c>
      <c r="K246" s="429"/>
      <c r="L246" s="432">
        <v>1566.11</v>
      </c>
      <c r="M246" s="431">
        <v>8.16</v>
      </c>
      <c r="N246" s="433">
        <v>12779.46</v>
      </c>
      <c r="AF246" s="415"/>
      <c r="AG246" s="416"/>
      <c r="AH246" s="416"/>
      <c r="AJ246" s="426" t="s">
        <v>1738</v>
      </c>
      <c r="AM246" s="416"/>
    </row>
    <row r="247" spans="1:41" customFormat="1" ht="14.4" x14ac:dyDescent="0.3">
      <c r="A247" s="434"/>
      <c r="B247" s="425"/>
      <c r="C247" s="907" t="s">
        <v>1706</v>
      </c>
      <c r="D247" s="907"/>
      <c r="E247" s="907"/>
      <c r="F247" s="428" t="s">
        <v>1707</v>
      </c>
      <c r="G247" s="431">
        <v>52.03</v>
      </c>
      <c r="H247" s="431">
        <v>1.1499999999999999</v>
      </c>
      <c r="I247" s="459">
        <v>4174.0547200000001</v>
      </c>
      <c r="J247" s="436"/>
      <c r="K247" s="429"/>
      <c r="L247" s="436"/>
      <c r="M247" s="429"/>
      <c r="N247" s="437"/>
      <c r="AF247" s="415"/>
      <c r="AG247" s="416"/>
      <c r="AH247" s="416"/>
      <c r="AK247" s="426" t="s">
        <v>1706</v>
      </c>
      <c r="AM247" s="416"/>
    </row>
    <row r="248" spans="1:41" customFormat="1" ht="14.4" x14ac:dyDescent="0.3">
      <c r="A248" s="427"/>
      <c r="B248" s="425"/>
      <c r="C248" s="908" t="s">
        <v>1708</v>
      </c>
      <c r="D248" s="908"/>
      <c r="E248" s="908"/>
      <c r="F248" s="438"/>
      <c r="G248" s="439"/>
      <c r="H248" s="439"/>
      <c r="I248" s="439"/>
      <c r="J248" s="441">
        <v>1666.35</v>
      </c>
      <c r="K248" s="439"/>
      <c r="L248" s="441">
        <v>133446.35</v>
      </c>
      <c r="M248" s="439"/>
      <c r="N248" s="442">
        <v>2881500.12</v>
      </c>
      <c r="AF248" s="415"/>
      <c r="AG248" s="416"/>
      <c r="AH248" s="416"/>
      <c r="AL248" s="426" t="s">
        <v>1708</v>
      </c>
      <c r="AM248" s="416"/>
    </row>
    <row r="249" spans="1:41" customFormat="1" ht="14.4" x14ac:dyDescent="0.3">
      <c r="A249" s="434"/>
      <c r="B249" s="425"/>
      <c r="C249" s="907" t="s">
        <v>1709</v>
      </c>
      <c r="D249" s="907"/>
      <c r="E249" s="907"/>
      <c r="F249" s="428"/>
      <c r="G249" s="429"/>
      <c r="H249" s="429"/>
      <c r="I249" s="429"/>
      <c r="J249" s="436"/>
      <c r="K249" s="429"/>
      <c r="L249" s="432">
        <v>35605.019999999997</v>
      </c>
      <c r="M249" s="429"/>
      <c r="N249" s="433">
        <v>1594036.75</v>
      </c>
      <c r="AF249" s="415"/>
      <c r="AG249" s="416"/>
      <c r="AH249" s="416"/>
      <c r="AK249" s="426" t="s">
        <v>1709</v>
      </c>
      <c r="AM249" s="416"/>
    </row>
    <row r="250" spans="1:41" customFormat="1" ht="31.8" x14ac:dyDescent="0.3">
      <c r="A250" s="434"/>
      <c r="B250" s="425" t="s">
        <v>1761</v>
      </c>
      <c r="C250" s="907" t="s">
        <v>1762</v>
      </c>
      <c r="D250" s="907"/>
      <c r="E250" s="907"/>
      <c r="F250" s="428" t="s">
        <v>1712</v>
      </c>
      <c r="G250" s="443">
        <v>91</v>
      </c>
      <c r="H250" s="429"/>
      <c r="I250" s="443">
        <v>91</v>
      </c>
      <c r="J250" s="436"/>
      <c r="K250" s="429"/>
      <c r="L250" s="432">
        <v>32400.57</v>
      </c>
      <c r="M250" s="429"/>
      <c r="N250" s="433">
        <v>1450573.44</v>
      </c>
      <c r="AF250" s="415"/>
      <c r="AG250" s="416"/>
      <c r="AH250" s="416"/>
      <c r="AK250" s="426" t="s">
        <v>1762</v>
      </c>
      <c r="AM250" s="416"/>
    </row>
    <row r="251" spans="1:41" customFormat="1" ht="31.8" x14ac:dyDescent="0.3">
      <c r="A251" s="434"/>
      <c r="B251" s="425" t="s">
        <v>1763</v>
      </c>
      <c r="C251" s="907" t="s">
        <v>1764</v>
      </c>
      <c r="D251" s="907"/>
      <c r="E251" s="907"/>
      <c r="F251" s="428" t="s">
        <v>1712</v>
      </c>
      <c r="G251" s="443">
        <v>52</v>
      </c>
      <c r="H251" s="429"/>
      <c r="I251" s="443">
        <v>52</v>
      </c>
      <c r="J251" s="436"/>
      <c r="K251" s="429"/>
      <c r="L251" s="432">
        <v>18514.61</v>
      </c>
      <c r="M251" s="429"/>
      <c r="N251" s="433">
        <v>828899.11</v>
      </c>
      <c r="AF251" s="415"/>
      <c r="AG251" s="416"/>
      <c r="AH251" s="416"/>
      <c r="AK251" s="426" t="s">
        <v>1764</v>
      </c>
      <c r="AM251" s="416"/>
    </row>
    <row r="252" spans="1:41" customFormat="1" ht="14.4" x14ac:dyDescent="0.3">
      <c r="A252" s="444"/>
      <c r="B252" s="445"/>
      <c r="C252" s="916" t="s">
        <v>1715</v>
      </c>
      <c r="D252" s="916"/>
      <c r="E252" s="916"/>
      <c r="F252" s="419"/>
      <c r="G252" s="420"/>
      <c r="H252" s="420"/>
      <c r="I252" s="420"/>
      <c r="J252" s="422"/>
      <c r="K252" s="420"/>
      <c r="L252" s="446">
        <v>184361.53</v>
      </c>
      <c r="M252" s="439"/>
      <c r="N252" s="447">
        <v>5160972.67</v>
      </c>
      <c r="AF252" s="415"/>
      <c r="AG252" s="416"/>
      <c r="AH252" s="416"/>
      <c r="AM252" s="416" t="s">
        <v>1715</v>
      </c>
    </row>
    <row r="253" spans="1:41" customFormat="1" ht="31.8" x14ac:dyDescent="0.3">
      <c r="A253" s="417" t="s">
        <v>1797</v>
      </c>
      <c r="B253" s="418" t="s">
        <v>1798</v>
      </c>
      <c r="C253" s="916" t="s">
        <v>1799</v>
      </c>
      <c r="D253" s="916"/>
      <c r="E253" s="916"/>
      <c r="F253" s="419" t="s">
        <v>1800</v>
      </c>
      <c r="G253" s="420">
        <v>0.72799999999999998</v>
      </c>
      <c r="H253" s="421">
        <v>1</v>
      </c>
      <c r="I253" s="452">
        <v>0.72799999999999998</v>
      </c>
      <c r="J253" s="422"/>
      <c r="K253" s="420"/>
      <c r="L253" s="422"/>
      <c r="M253" s="420"/>
      <c r="N253" s="423"/>
      <c r="AF253" s="415"/>
      <c r="AG253" s="416"/>
      <c r="AH253" s="416" t="s">
        <v>1799</v>
      </c>
      <c r="AM253" s="416"/>
    </row>
    <row r="254" spans="1:41" customFormat="1" ht="14.4" x14ac:dyDescent="0.3">
      <c r="A254" s="450"/>
      <c r="B254" s="451"/>
      <c r="C254" s="907" t="s">
        <v>1801</v>
      </c>
      <c r="D254" s="907"/>
      <c r="E254" s="907"/>
      <c r="F254" s="907"/>
      <c r="G254" s="907"/>
      <c r="H254" s="907"/>
      <c r="I254" s="907"/>
      <c r="J254" s="907"/>
      <c r="K254" s="907"/>
      <c r="L254" s="907"/>
      <c r="M254" s="907"/>
      <c r="N254" s="919"/>
      <c r="AF254" s="415"/>
      <c r="AG254" s="416"/>
      <c r="AH254" s="416"/>
      <c r="AM254" s="416"/>
      <c r="AO254" s="426" t="s">
        <v>1801</v>
      </c>
    </row>
    <row r="255" spans="1:41" customFormat="1" ht="52.2" x14ac:dyDescent="0.3">
      <c r="A255" s="424"/>
      <c r="B255" s="425" t="s">
        <v>1703</v>
      </c>
      <c r="C255" s="917" t="s">
        <v>1704</v>
      </c>
      <c r="D255" s="917"/>
      <c r="E255" s="917"/>
      <c r="F255" s="917"/>
      <c r="G255" s="917"/>
      <c r="H255" s="917"/>
      <c r="I255" s="917"/>
      <c r="J255" s="917"/>
      <c r="K255" s="917"/>
      <c r="L255" s="917"/>
      <c r="M255" s="917"/>
      <c r="N255" s="918"/>
      <c r="AF255" s="415"/>
      <c r="AG255" s="416"/>
      <c r="AH255" s="416"/>
      <c r="AI255" s="426" t="s">
        <v>1704</v>
      </c>
      <c r="AM255" s="416"/>
    </row>
    <row r="256" spans="1:41" customFormat="1" ht="14.4" x14ac:dyDescent="0.3">
      <c r="A256" s="427"/>
      <c r="B256" s="425" t="s">
        <v>761</v>
      </c>
      <c r="C256" s="907" t="s">
        <v>1718</v>
      </c>
      <c r="D256" s="907"/>
      <c r="E256" s="907"/>
      <c r="F256" s="428"/>
      <c r="G256" s="429"/>
      <c r="H256" s="429"/>
      <c r="I256" s="429"/>
      <c r="J256" s="430">
        <v>479.33</v>
      </c>
      <c r="K256" s="431">
        <v>1.1499999999999999</v>
      </c>
      <c r="L256" s="430">
        <v>401.3</v>
      </c>
      <c r="M256" s="431">
        <v>13.24</v>
      </c>
      <c r="N256" s="433">
        <v>5313.21</v>
      </c>
      <c r="AF256" s="415"/>
      <c r="AG256" s="416"/>
      <c r="AH256" s="416"/>
      <c r="AJ256" s="426" t="s">
        <v>1718</v>
      </c>
      <c r="AM256" s="416"/>
    </row>
    <row r="257" spans="1:42" customFormat="1" ht="14.4" x14ac:dyDescent="0.3">
      <c r="A257" s="427"/>
      <c r="B257" s="425" t="s">
        <v>1144</v>
      </c>
      <c r="C257" s="907" t="s">
        <v>1719</v>
      </c>
      <c r="D257" s="907"/>
      <c r="E257" s="907"/>
      <c r="F257" s="428"/>
      <c r="G257" s="429"/>
      <c r="H257" s="429"/>
      <c r="I257" s="429"/>
      <c r="J257" s="430">
        <v>93.5</v>
      </c>
      <c r="K257" s="431">
        <v>1.1499999999999999</v>
      </c>
      <c r="L257" s="430">
        <v>78.28</v>
      </c>
      <c r="M257" s="431">
        <v>44.77</v>
      </c>
      <c r="N257" s="433">
        <v>3504.6</v>
      </c>
      <c r="AF257" s="415"/>
      <c r="AG257" s="416"/>
      <c r="AH257" s="416"/>
      <c r="AJ257" s="426" t="s">
        <v>1719</v>
      </c>
      <c r="AM257" s="416"/>
    </row>
    <row r="258" spans="1:42" customFormat="1" ht="14.4" x14ac:dyDescent="0.3">
      <c r="A258" s="434"/>
      <c r="B258" s="425"/>
      <c r="C258" s="907" t="s">
        <v>1720</v>
      </c>
      <c r="D258" s="907"/>
      <c r="E258" s="907"/>
      <c r="F258" s="428" t="s">
        <v>1707</v>
      </c>
      <c r="G258" s="431">
        <v>8.06</v>
      </c>
      <c r="H258" s="431">
        <v>1.1499999999999999</v>
      </c>
      <c r="I258" s="457">
        <v>6.7478319999999998</v>
      </c>
      <c r="J258" s="436"/>
      <c r="K258" s="429"/>
      <c r="L258" s="436"/>
      <c r="M258" s="429"/>
      <c r="N258" s="437"/>
      <c r="AF258" s="415"/>
      <c r="AG258" s="416"/>
      <c r="AH258" s="416"/>
      <c r="AK258" s="426" t="s">
        <v>1720</v>
      </c>
      <c r="AM258" s="416"/>
    </row>
    <row r="259" spans="1:42" customFormat="1" ht="14.4" x14ac:dyDescent="0.3">
      <c r="A259" s="427"/>
      <c r="B259" s="425"/>
      <c r="C259" s="908" t="s">
        <v>1708</v>
      </c>
      <c r="D259" s="908"/>
      <c r="E259" s="908"/>
      <c r="F259" s="438"/>
      <c r="G259" s="439"/>
      <c r="H259" s="439"/>
      <c r="I259" s="439"/>
      <c r="J259" s="440">
        <v>479.33</v>
      </c>
      <c r="K259" s="439"/>
      <c r="L259" s="440">
        <v>401.3</v>
      </c>
      <c r="M259" s="439"/>
      <c r="N259" s="442">
        <v>5313.21</v>
      </c>
      <c r="AF259" s="415"/>
      <c r="AG259" s="416"/>
      <c r="AH259" s="416"/>
      <c r="AL259" s="426" t="s">
        <v>1708</v>
      </c>
      <c r="AM259" s="416"/>
    </row>
    <row r="260" spans="1:42" customFormat="1" ht="14.4" x14ac:dyDescent="0.3">
      <c r="A260" s="434"/>
      <c r="B260" s="425"/>
      <c r="C260" s="907" t="s">
        <v>1709</v>
      </c>
      <c r="D260" s="907"/>
      <c r="E260" s="907"/>
      <c r="F260" s="428"/>
      <c r="G260" s="429"/>
      <c r="H260" s="429"/>
      <c r="I260" s="429"/>
      <c r="J260" s="436"/>
      <c r="K260" s="429"/>
      <c r="L260" s="430">
        <v>78.28</v>
      </c>
      <c r="M260" s="429"/>
      <c r="N260" s="433">
        <v>3504.6</v>
      </c>
      <c r="AF260" s="415"/>
      <c r="AG260" s="416"/>
      <c r="AH260" s="416"/>
      <c r="AK260" s="426" t="s">
        <v>1709</v>
      </c>
      <c r="AM260" s="416"/>
    </row>
    <row r="261" spans="1:42" customFormat="1" ht="21.6" x14ac:dyDescent="0.3">
      <c r="A261" s="434"/>
      <c r="B261" s="425" t="s">
        <v>1802</v>
      </c>
      <c r="C261" s="907" t="s">
        <v>1803</v>
      </c>
      <c r="D261" s="907"/>
      <c r="E261" s="907"/>
      <c r="F261" s="428" t="s">
        <v>1712</v>
      </c>
      <c r="G261" s="443">
        <v>92</v>
      </c>
      <c r="H261" s="429"/>
      <c r="I261" s="443">
        <v>92</v>
      </c>
      <c r="J261" s="436"/>
      <c r="K261" s="429"/>
      <c r="L261" s="430">
        <v>72.02</v>
      </c>
      <c r="M261" s="429"/>
      <c r="N261" s="433">
        <v>3224.23</v>
      </c>
      <c r="AF261" s="415"/>
      <c r="AG261" s="416"/>
      <c r="AH261" s="416"/>
      <c r="AK261" s="426" t="s">
        <v>1803</v>
      </c>
      <c r="AM261" s="416"/>
    </row>
    <row r="262" spans="1:42" customFormat="1" ht="21.6" x14ac:dyDescent="0.3">
      <c r="A262" s="434"/>
      <c r="B262" s="425" t="s">
        <v>1804</v>
      </c>
      <c r="C262" s="907" t="s">
        <v>1805</v>
      </c>
      <c r="D262" s="907"/>
      <c r="E262" s="907"/>
      <c r="F262" s="428" t="s">
        <v>1712</v>
      </c>
      <c r="G262" s="443">
        <v>46</v>
      </c>
      <c r="H262" s="429"/>
      <c r="I262" s="443">
        <v>46</v>
      </c>
      <c r="J262" s="436"/>
      <c r="K262" s="429"/>
      <c r="L262" s="430">
        <v>36.01</v>
      </c>
      <c r="M262" s="429"/>
      <c r="N262" s="433">
        <v>1612.12</v>
      </c>
      <c r="AF262" s="415"/>
      <c r="AG262" s="416"/>
      <c r="AH262" s="416"/>
      <c r="AK262" s="426" t="s">
        <v>1805</v>
      </c>
      <c r="AM262" s="416"/>
    </row>
    <row r="263" spans="1:42" customFormat="1" ht="14.4" x14ac:dyDescent="0.3">
      <c r="A263" s="444"/>
      <c r="B263" s="445"/>
      <c r="C263" s="916" t="s">
        <v>1715</v>
      </c>
      <c r="D263" s="916"/>
      <c r="E263" s="916"/>
      <c r="F263" s="419"/>
      <c r="G263" s="420"/>
      <c r="H263" s="420"/>
      <c r="I263" s="420"/>
      <c r="J263" s="422"/>
      <c r="K263" s="420"/>
      <c r="L263" s="449">
        <v>509.33</v>
      </c>
      <c r="M263" s="439"/>
      <c r="N263" s="447">
        <v>10149.56</v>
      </c>
      <c r="AF263" s="415"/>
      <c r="AG263" s="416"/>
      <c r="AH263" s="416"/>
      <c r="AM263" s="416" t="s">
        <v>1715</v>
      </c>
    </row>
    <row r="264" spans="1:42" customFormat="1" ht="20.399999999999999" x14ac:dyDescent="0.3">
      <c r="A264" s="417" t="s">
        <v>1806</v>
      </c>
      <c r="B264" s="418" t="s">
        <v>1807</v>
      </c>
      <c r="C264" s="916" t="s">
        <v>1808</v>
      </c>
      <c r="D264" s="916"/>
      <c r="E264" s="916"/>
      <c r="F264" s="419" t="s">
        <v>193</v>
      </c>
      <c r="G264" s="420">
        <v>821</v>
      </c>
      <c r="H264" s="421">
        <v>1</v>
      </c>
      <c r="I264" s="421">
        <v>821</v>
      </c>
      <c r="J264" s="449">
        <v>71.900000000000006</v>
      </c>
      <c r="K264" s="452">
        <v>1.012</v>
      </c>
      <c r="L264" s="446">
        <v>59738.26</v>
      </c>
      <c r="M264" s="448">
        <v>8.16</v>
      </c>
      <c r="N264" s="447">
        <v>487464.2</v>
      </c>
      <c r="AF264" s="415"/>
      <c r="AG264" s="416"/>
      <c r="AH264" s="416" t="s">
        <v>1808</v>
      </c>
      <c r="AM264" s="416"/>
    </row>
    <row r="265" spans="1:42" customFormat="1" ht="14.4" x14ac:dyDescent="0.3">
      <c r="A265" s="444"/>
      <c r="B265" s="445"/>
      <c r="C265" s="907" t="s">
        <v>1728</v>
      </c>
      <c r="D265" s="907"/>
      <c r="E265" s="907"/>
      <c r="F265" s="907"/>
      <c r="G265" s="907"/>
      <c r="H265" s="907"/>
      <c r="I265" s="907"/>
      <c r="J265" s="907"/>
      <c r="K265" s="907"/>
      <c r="L265" s="907"/>
      <c r="M265" s="907"/>
      <c r="N265" s="919"/>
      <c r="AF265" s="415"/>
      <c r="AG265" s="416"/>
      <c r="AH265" s="416"/>
      <c r="AM265" s="416"/>
      <c r="AN265" s="426" t="s">
        <v>1728</v>
      </c>
    </row>
    <row r="266" spans="1:42" customFormat="1" ht="14.4" x14ac:dyDescent="0.3">
      <c r="A266" s="450"/>
      <c r="B266" s="451"/>
      <c r="C266" s="907" t="s">
        <v>1809</v>
      </c>
      <c r="D266" s="907"/>
      <c r="E266" s="907"/>
      <c r="F266" s="907"/>
      <c r="G266" s="907"/>
      <c r="H266" s="907"/>
      <c r="I266" s="907"/>
      <c r="J266" s="907"/>
      <c r="K266" s="907"/>
      <c r="L266" s="907"/>
      <c r="M266" s="907"/>
      <c r="N266" s="919"/>
      <c r="AF266" s="415"/>
      <c r="AG266" s="416"/>
      <c r="AH266" s="416"/>
      <c r="AM266" s="416"/>
      <c r="AP266" s="426" t="s">
        <v>1809</v>
      </c>
    </row>
    <row r="267" spans="1:42" customFormat="1" ht="14.4" x14ac:dyDescent="0.3">
      <c r="A267" s="424"/>
      <c r="B267" s="425"/>
      <c r="C267" s="917" t="s">
        <v>1810</v>
      </c>
      <c r="D267" s="917"/>
      <c r="E267" s="917"/>
      <c r="F267" s="917"/>
      <c r="G267" s="917"/>
      <c r="H267" s="917"/>
      <c r="I267" s="917"/>
      <c r="J267" s="917"/>
      <c r="K267" s="917"/>
      <c r="L267" s="917"/>
      <c r="M267" s="917"/>
      <c r="N267" s="918"/>
      <c r="AF267" s="415"/>
      <c r="AG267" s="416"/>
      <c r="AH267" s="416"/>
      <c r="AI267" s="426" t="s">
        <v>1810</v>
      </c>
      <c r="AM267" s="416"/>
    </row>
    <row r="268" spans="1:42" customFormat="1" ht="14.4" x14ac:dyDescent="0.3">
      <c r="A268" s="444"/>
      <c r="B268" s="445"/>
      <c r="C268" s="916" t="s">
        <v>1715</v>
      </c>
      <c r="D268" s="916"/>
      <c r="E268" s="916"/>
      <c r="F268" s="419"/>
      <c r="G268" s="420"/>
      <c r="H268" s="420"/>
      <c r="I268" s="420"/>
      <c r="J268" s="422"/>
      <c r="K268" s="420"/>
      <c r="L268" s="446">
        <v>59738.26</v>
      </c>
      <c r="M268" s="439"/>
      <c r="N268" s="447">
        <v>487464.2</v>
      </c>
      <c r="AF268" s="415"/>
      <c r="AG268" s="416"/>
      <c r="AH268" s="416"/>
      <c r="AM268" s="416" t="s">
        <v>1715</v>
      </c>
    </row>
    <row r="269" spans="1:42" customFormat="1" ht="42" x14ac:dyDescent="0.3">
      <c r="A269" s="417" t="s">
        <v>1811</v>
      </c>
      <c r="B269" s="418" t="s">
        <v>1747</v>
      </c>
      <c r="C269" s="916" t="s">
        <v>1748</v>
      </c>
      <c r="D269" s="916"/>
      <c r="E269" s="916"/>
      <c r="F269" s="419" t="s">
        <v>1723</v>
      </c>
      <c r="G269" s="420">
        <v>1674.4</v>
      </c>
      <c r="H269" s="421">
        <v>1</v>
      </c>
      <c r="I269" s="456">
        <v>1674.4</v>
      </c>
      <c r="J269" s="449">
        <v>3.28</v>
      </c>
      <c r="K269" s="420"/>
      <c r="L269" s="446">
        <v>5492.03</v>
      </c>
      <c r="M269" s="448">
        <v>13.24</v>
      </c>
      <c r="N269" s="447">
        <v>72714.48</v>
      </c>
      <c r="AF269" s="415"/>
      <c r="AG269" s="416"/>
      <c r="AH269" s="416" t="s">
        <v>1748</v>
      </c>
      <c r="AM269" s="416"/>
    </row>
    <row r="270" spans="1:42" customFormat="1" ht="14.4" x14ac:dyDescent="0.3">
      <c r="A270" s="450"/>
      <c r="B270" s="451"/>
      <c r="C270" s="907" t="s">
        <v>1812</v>
      </c>
      <c r="D270" s="907"/>
      <c r="E270" s="907"/>
      <c r="F270" s="907"/>
      <c r="G270" s="907"/>
      <c r="H270" s="907"/>
      <c r="I270" s="907"/>
      <c r="J270" s="907"/>
      <c r="K270" s="907"/>
      <c r="L270" s="907"/>
      <c r="M270" s="907"/>
      <c r="N270" s="919"/>
      <c r="AF270" s="415"/>
      <c r="AG270" s="416"/>
      <c r="AH270" s="416"/>
      <c r="AM270" s="416"/>
      <c r="AO270" s="426" t="s">
        <v>1812</v>
      </c>
    </row>
    <row r="271" spans="1:42" customFormat="1" ht="14.4" x14ac:dyDescent="0.3">
      <c r="A271" s="444"/>
      <c r="B271" s="445"/>
      <c r="C271" s="916" t="s">
        <v>1715</v>
      </c>
      <c r="D271" s="916"/>
      <c r="E271" s="916"/>
      <c r="F271" s="419"/>
      <c r="G271" s="420"/>
      <c r="H271" s="420"/>
      <c r="I271" s="420"/>
      <c r="J271" s="422"/>
      <c r="K271" s="420"/>
      <c r="L271" s="446">
        <v>5492.03</v>
      </c>
      <c r="M271" s="439"/>
      <c r="N271" s="447">
        <v>72714.48</v>
      </c>
      <c r="AF271" s="415"/>
      <c r="AG271" s="416"/>
      <c r="AH271" s="416"/>
      <c r="AM271" s="416" t="s">
        <v>1715</v>
      </c>
    </row>
    <row r="272" spans="1:42" customFormat="1" ht="21.6" x14ac:dyDescent="0.3">
      <c r="A272" s="417" t="s">
        <v>808</v>
      </c>
      <c r="B272" s="418" t="s">
        <v>1751</v>
      </c>
      <c r="C272" s="916" t="s">
        <v>1752</v>
      </c>
      <c r="D272" s="916"/>
      <c r="E272" s="916"/>
      <c r="F272" s="419" t="s">
        <v>1723</v>
      </c>
      <c r="G272" s="420">
        <v>418.6</v>
      </c>
      <c r="H272" s="421">
        <v>1</v>
      </c>
      <c r="I272" s="456">
        <v>418.6</v>
      </c>
      <c r="J272" s="449">
        <v>42.98</v>
      </c>
      <c r="K272" s="448">
        <v>1.1499999999999999</v>
      </c>
      <c r="L272" s="446">
        <v>20690.14</v>
      </c>
      <c r="M272" s="448">
        <v>13.24</v>
      </c>
      <c r="N272" s="447">
        <v>273937.45</v>
      </c>
      <c r="AF272" s="415"/>
      <c r="AG272" s="416"/>
      <c r="AH272" s="416" t="s">
        <v>1752</v>
      </c>
      <c r="AM272" s="416"/>
    </row>
    <row r="273" spans="1:42" customFormat="1" ht="14.4" x14ac:dyDescent="0.3">
      <c r="A273" s="450"/>
      <c r="B273" s="451"/>
      <c r="C273" s="907" t="s">
        <v>1813</v>
      </c>
      <c r="D273" s="907"/>
      <c r="E273" s="907"/>
      <c r="F273" s="907"/>
      <c r="G273" s="907"/>
      <c r="H273" s="907"/>
      <c r="I273" s="907"/>
      <c r="J273" s="907"/>
      <c r="K273" s="907"/>
      <c r="L273" s="907"/>
      <c r="M273" s="907"/>
      <c r="N273" s="919"/>
      <c r="AF273" s="415"/>
      <c r="AG273" s="416"/>
      <c r="AH273" s="416"/>
      <c r="AM273" s="416"/>
      <c r="AO273" s="426" t="s">
        <v>1813</v>
      </c>
    </row>
    <row r="274" spans="1:42" customFormat="1" ht="52.2" x14ac:dyDescent="0.3">
      <c r="A274" s="424"/>
      <c r="B274" s="425" t="s">
        <v>1703</v>
      </c>
      <c r="C274" s="917" t="s">
        <v>1704</v>
      </c>
      <c r="D274" s="917"/>
      <c r="E274" s="917"/>
      <c r="F274" s="917"/>
      <c r="G274" s="917"/>
      <c r="H274" s="917"/>
      <c r="I274" s="917"/>
      <c r="J274" s="917"/>
      <c r="K274" s="917"/>
      <c r="L274" s="917"/>
      <c r="M274" s="917"/>
      <c r="N274" s="918"/>
      <c r="AF274" s="415"/>
      <c r="AG274" s="416"/>
      <c r="AH274" s="416"/>
      <c r="AI274" s="426" t="s">
        <v>1704</v>
      </c>
      <c r="AM274" s="416"/>
    </row>
    <row r="275" spans="1:42" customFormat="1" ht="14.4" x14ac:dyDescent="0.3">
      <c r="A275" s="444"/>
      <c r="B275" s="445"/>
      <c r="C275" s="916" t="s">
        <v>1715</v>
      </c>
      <c r="D275" s="916"/>
      <c r="E275" s="916"/>
      <c r="F275" s="419"/>
      <c r="G275" s="420"/>
      <c r="H275" s="420"/>
      <c r="I275" s="420"/>
      <c r="J275" s="422"/>
      <c r="K275" s="420"/>
      <c r="L275" s="446">
        <v>20690.14</v>
      </c>
      <c r="M275" s="439"/>
      <c r="N275" s="447">
        <v>273937.45</v>
      </c>
      <c r="AF275" s="415"/>
      <c r="AG275" s="416"/>
      <c r="AH275" s="416"/>
      <c r="AM275" s="416" t="s">
        <v>1715</v>
      </c>
    </row>
    <row r="276" spans="1:42" customFormat="1" ht="21.6" x14ac:dyDescent="0.3">
      <c r="A276" s="417" t="s">
        <v>1814</v>
      </c>
      <c r="B276" s="418" t="s">
        <v>1726</v>
      </c>
      <c r="C276" s="916" t="s">
        <v>1727</v>
      </c>
      <c r="D276" s="916"/>
      <c r="E276" s="916"/>
      <c r="F276" s="419" t="s">
        <v>193</v>
      </c>
      <c r="G276" s="420">
        <v>990.69</v>
      </c>
      <c r="H276" s="421">
        <v>1</v>
      </c>
      <c r="I276" s="448">
        <v>990.69</v>
      </c>
      <c r="J276" s="449">
        <v>162.38</v>
      </c>
      <c r="K276" s="420"/>
      <c r="L276" s="446">
        <v>160868.24</v>
      </c>
      <c r="M276" s="448">
        <v>8.16</v>
      </c>
      <c r="N276" s="447">
        <v>1312684.8400000001</v>
      </c>
      <c r="AF276" s="415"/>
      <c r="AG276" s="416"/>
      <c r="AH276" s="416" t="s">
        <v>1727</v>
      </c>
      <c r="AM276" s="416"/>
    </row>
    <row r="277" spans="1:42" customFormat="1" ht="14.4" x14ac:dyDescent="0.3">
      <c r="A277" s="444"/>
      <c r="B277" s="445"/>
      <c r="C277" s="907" t="s">
        <v>1728</v>
      </c>
      <c r="D277" s="907"/>
      <c r="E277" s="907"/>
      <c r="F277" s="907"/>
      <c r="G277" s="907"/>
      <c r="H277" s="907"/>
      <c r="I277" s="907"/>
      <c r="J277" s="907"/>
      <c r="K277" s="907"/>
      <c r="L277" s="907"/>
      <c r="M277" s="907"/>
      <c r="N277" s="919"/>
      <c r="AF277" s="415"/>
      <c r="AG277" s="416"/>
      <c r="AH277" s="416"/>
      <c r="AM277" s="416"/>
      <c r="AN277" s="426" t="s">
        <v>1728</v>
      </c>
    </row>
    <row r="278" spans="1:42" customFormat="1" ht="14.4" x14ac:dyDescent="0.3">
      <c r="A278" s="450"/>
      <c r="B278" s="451"/>
      <c r="C278" s="907" t="s">
        <v>1815</v>
      </c>
      <c r="D278" s="907"/>
      <c r="E278" s="907"/>
      <c r="F278" s="907"/>
      <c r="G278" s="907"/>
      <c r="H278" s="907"/>
      <c r="I278" s="907"/>
      <c r="J278" s="907"/>
      <c r="K278" s="907"/>
      <c r="L278" s="907"/>
      <c r="M278" s="907"/>
      <c r="N278" s="919"/>
      <c r="AF278" s="415"/>
      <c r="AG278" s="416"/>
      <c r="AH278" s="416"/>
      <c r="AM278" s="416"/>
      <c r="AO278" s="426" t="s">
        <v>1815</v>
      </c>
    </row>
    <row r="279" spans="1:42" customFormat="1" ht="14.4" x14ac:dyDescent="0.3">
      <c r="A279" s="450"/>
      <c r="B279" s="451"/>
      <c r="C279" s="907" t="s">
        <v>1730</v>
      </c>
      <c r="D279" s="907"/>
      <c r="E279" s="907"/>
      <c r="F279" s="907"/>
      <c r="G279" s="907"/>
      <c r="H279" s="907"/>
      <c r="I279" s="907"/>
      <c r="J279" s="907"/>
      <c r="K279" s="907"/>
      <c r="L279" s="907"/>
      <c r="M279" s="907"/>
      <c r="N279" s="919"/>
      <c r="AF279" s="415"/>
      <c r="AG279" s="416"/>
      <c r="AH279" s="416"/>
      <c r="AM279" s="416"/>
      <c r="AP279" s="426" t="s">
        <v>1730</v>
      </c>
    </row>
    <row r="280" spans="1:42" customFormat="1" ht="14.4" x14ac:dyDescent="0.3">
      <c r="A280" s="444"/>
      <c r="B280" s="445"/>
      <c r="C280" s="916" t="s">
        <v>1715</v>
      </c>
      <c r="D280" s="916"/>
      <c r="E280" s="916"/>
      <c r="F280" s="419"/>
      <c r="G280" s="420"/>
      <c r="H280" s="420"/>
      <c r="I280" s="420"/>
      <c r="J280" s="422"/>
      <c r="K280" s="420"/>
      <c r="L280" s="446">
        <v>160868.24</v>
      </c>
      <c r="M280" s="439"/>
      <c r="N280" s="447">
        <v>1312684.8400000001</v>
      </c>
      <c r="AF280" s="415"/>
      <c r="AG280" s="416"/>
      <c r="AH280" s="416"/>
      <c r="AM280" s="416" t="s">
        <v>1715</v>
      </c>
    </row>
    <row r="281" spans="1:42" customFormat="1" ht="14.4" x14ac:dyDescent="0.3">
      <c r="A281" s="913" t="s">
        <v>1816</v>
      </c>
      <c r="B281" s="914"/>
      <c r="C281" s="914"/>
      <c r="D281" s="914"/>
      <c r="E281" s="914"/>
      <c r="F281" s="914"/>
      <c r="G281" s="914"/>
      <c r="H281" s="914"/>
      <c r="I281" s="914"/>
      <c r="J281" s="914"/>
      <c r="K281" s="914"/>
      <c r="L281" s="914"/>
      <c r="M281" s="914"/>
      <c r="N281" s="915"/>
      <c r="AF281" s="415"/>
      <c r="AG281" s="416" t="s">
        <v>1816</v>
      </c>
      <c r="AH281" s="416"/>
      <c r="AM281" s="416"/>
    </row>
    <row r="282" spans="1:42" customFormat="1" ht="61.2" x14ac:dyDescent="0.3">
      <c r="A282" s="417" t="s">
        <v>1817</v>
      </c>
      <c r="B282" s="418" t="s">
        <v>1783</v>
      </c>
      <c r="C282" s="916" t="s">
        <v>1784</v>
      </c>
      <c r="D282" s="916"/>
      <c r="E282" s="916"/>
      <c r="F282" s="419" t="s">
        <v>1759</v>
      </c>
      <c r="G282" s="420">
        <v>7.48</v>
      </c>
      <c r="H282" s="421">
        <v>1</v>
      </c>
      <c r="I282" s="448">
        <v>7.48</v>
      </c>
      <c r="J282" s="422"/>
      <c r="K282" s="420"/>
      <c r="L282" s="422"/>
      <c r="M282" s="420"/>
      <c r="N282" s="423"/>
      <c r="AF282" s="415"/>
      <c r="AG282" s="416"/>
      <c r="AH282" s="416" t="s">
        <v>1784</v>
      </c>
      <c r="AM282" s="416"/>
    </row>
    <row r="283" spans="1:42" customFormat="1" ht="14.4" x14ac:dyDescent="0.3">
      <c r="A283" s="450"/>
      <c r="B283" s="451"/>
      <c r="C283" s="907" t="s">
        <v>1818</v>
      </c>
      <c r="D283" s="907"/>
      <c r="E283" s="907"/>
      <c r="F283" s="907"/>
      <c r="G283" s="907"/>
      <c r="H283" s="907"/>
      <c r="I283" s="907"/>
      <c r="J283" s="907"/>
      <c r="K283" s="907"/>
      <c r="L283" s="907"/>
      <c r="M283" s="907"/>
      <c r="N283" s="919"/>
      <c r="AF283" s="415"/>
      <c r="AG283" s="416"/>
      <c r="AH283" s="416"/>
      <c r="AM283" s="416"/>
      <c r="AO283" s="426" t="s">
        <v>1818</v>
      </c>
    </row>
    <row r="284" spans="1:42" customFormat="1" ht="52.2" x14ac:dyDescent="0.3">
      <c r="A284" s="424"/>
      <c r="B284" s="425" t="s">
        <v>1703</v>
      </c>
      <c r="C284" s="917" t="s">
        <v>1704</v>
      </c>
      <c r="D284" s="917"/>
      <c r="E284" s="917"/>
      <c r="F284" s="917"/>
      <c r="G284" s="917"/>
      <c r="H284" s="917"/>
      <c r="I284" s="917"/>
      <c r="J284" s="917"/>
      <c r="K284" s="917"/>
      <c r="L284" s="917"/>
      <c r="M284" s="917"/>
      <c r="N284" s="918"/>
      <c r="AF284" s="415"/>
      <c r="AG284" s="416"/>
      <c r="AH284" s="416"/>
      <c r="AI284" s="426" t="s">
        <v>1704</v>
      </c>
      <c r="AM284" s="416"/>
    </row>
    <row r="285" spans="1:42" customFormat="1" ht="14.4" x14ac:dyDescent="0.3">
      <c r="A285" s="427"/>
      <c r="B285" s="425" t="s">
        <v>758</v>
      </c>
      <c r="C285" s="907" t="s">
        <v>1705</v>
      </c>
      <c r="D285" s="907"/>
      <c r="E285" s="907"/>
      <c r="F285" s="428"/>
      <c r="G285" s="429"/>
      <c r="H285" s="429"/>
      <c r="I285" s="429"/>
      <c r="J285" s="430">
        <v>280.13</v>
      </c>
      <c r="K285" s="431">
        <v>1.1499999999999999</v>
      </c>
      <c r="L285" s="432">
        <v>2409.6799999999998</v>
      </c>
      <c r="M285" s="431">
        <v>44.77</v>
      </c>
      <c r="N285" s="433">
        <v>107881.37</v>
      </c>
      <c r="AF285" s="415"/>
      <c r="AG285" s="416"/>
      <c r="AH285" s="416"/>
      <c r="AJ285" s="426" t="s">
        <v>1705</v>
      </c>
      <c r="AM285" s="416"/>
    </row>
    <row r="286" spans="1:42" customFormat="1" ht="14.4" x14ac:dyDescent="0.3">
      <c r="A286" s="427"/>
      <c r="B286" s="425" t="s">
        <v>761</v>
      </c>
      <c r="C286" s="907" t="s">
        <v>1718</v>
      </c>
      <c r="D286" s="907"/>
      <c r="E286" s="907"/>
      <c r="F286" s="428"/>
      <c r="G286" s="429"/>
      <c r="H286" s="429"/>
      <c r="I286" s="429"/>
      <c r="J286" s="432">
        <v>2472.8000000000002</v>
      </c>
      <c r="K286" s="431">
        <v>1.1499999999999999</v>
      </c>
      <c r="L286" s="432">
        <v>21271.03</v>
      </c>
      <c r="M286" s="431">
        <v>13.24</v>
      </c>
      <c r="N286" s="433">
        <v>281628.44</v>
      </c>
      <c r="AF286" s="415"/>
      <c r="AG286" s="416"/>
      <c r="AH286" s="416"/>
      <c r="AJ286" s="426" t="s">
        <v>1718</v>
      </c>
      <c r="AM286" s="416"/>
    </row>
    <row r="287" spans="1:42" customFormat="1" ht="14.4" x14ac:dyDescent="0.3">
      <c r="A287" s="427"/>
      <c r="B287" s="425" t="s">
        <v>1144</v>
      </c>
      <c r="C287" s="907" t="s">
        <v>1719</v>
      </c>
      <c r="D287" s="907"/>
      <c r="E287" s="907"/>
      <c r="F287" s="428"/>
      <c r="G287" s="429"/>
      <c r="H287" s="429"/>
      <c r="I287" s="429"/>
      <c r="J287" s="430">
        <v>417.51</v>
      </c>
      <c r="K287" s="431">
        <v>1.1499999999999999</v>
      </c>
      <c r="L287" s="432">
        <v>3591.42</v>
      </c>
      <c r="M287" s="431">
        <v>44.77</v>
      </c>
      <c r="N287" s="433">
        <v>160787.87</v>
      </c>
      <c r="AF287" s="415"/>
      <c r="AG287" s="416"/>
      <c r="AH287" s="416"/>
      <c r="AJ287" s="426" t="s">
        <v>1719</v>
      </c>
      <c r="AM287" s="416"/>
    </row>
    <row r="288" spans="1:42" customFormat="1" ht="14.4" x14ac:dyDescent="0.3">
      <c r="A288" s="434"/>
      <c r="B288" s="425"/>
      <c r="C288" s="907" t="s">
        <v>1706</v>
      </c>
      <c r="D288" s="907"/>
      <c r="E288" s="907"/>
      <c r="F288" s="428" t="s">
        <v>1707</v>
      </c>
      <c r="G288" s="431">
        <v>32.840000000000003</v>
      </c>
      <c r="H288" s="431">
        <v>1.1499999999999999</v>
      </c>
      <c r="I288" s="459">
        <v>282.48968000000002</v>
      </c>
      <c r="J288" s="436"/>
      <c r="K288" s="429"/>
      <c r="L288" s="436"/>
      <c r="M288" s="429"/>
      <c r="N288" s="437"/>
      <c r="AF288" s="415"/>
      <c r="AG288" s="416"/>
      <c r="AH288" s="416"/>
      <c r="AK288" s="426" t="s">
        <v>1706</v>
      </c>
      <c r="AM288" s="416"/>
    </row>
    <row r="289" spans="1:39" customFormat="1" ht="14.4" x14ac:dyDescent="0.3">
      <c r="A289" s="434"/>
      <c r="B289" s="425"/>
      <c r="C289" s="907" t="s">
        <v>1720</v>
      </c>
      <c r="D289" s="907"/>
      <c r="E289" s="907"/>
      <c r="F289" s="428" t="s">
        <v>1707</v>
      </c>
      <c r="G289" s="431">
        <v>31.54</v>
      </c>
      <c r="H289" s="431">
        <v>1.1499999999999999</v>
      </c>
      <c r="I289" s="459">
        <v>271.30707999999998</v>
      </c>
      <c r="J289" s="436"/>
      <c r="K289" s="429"/>
      <c r="L289" s="436"/>
      <c r="M289" s="429"/>
      <c r="N289" s="437"/>
      <c r="AF289" s="415"/>
      <c r="AG289" s="416"/>
      <c r="AH289" s="416"/>
      <c r="AK289" s="426" t="s">
        <v>1720</v>
      </c>
      <c r="AM289" s="416"/>
    </row>
    <row r="290" spans="1:39" customFormat="1" ht="14.4" x14ac:dyDescent="0.3">
      <c r="A290" s="427"/>
      <c r="B290" s="425"/>
      <c r="C290" s="908" t="s">
        <v>1708</v>
      </c>
      <c r="D290" s="908"/>
      <c r="E290" s="908"/>
      <c r="F290" s="438"/>
      <c r="G290" s="439"/>
      <c r="H290" s="439"/>
      <c r="I290" s="439"/>
      <c r="J290" s="441">
        <v>2752.93</v>
      </c>
      <c r="K290" s="439"/>
      <c r="L290" s="441">
        <v>23680.71</v>
      </c>
      <c r="M290" s="439"/>
      <c r="N290" s="442">
        <v>389509.81</v>
      </c>
      <c r="AF290" s="415"/>
      <c r="AG290" s="416"/>
      <c r="AH290" s="416"/>
      <c r="AL290" s="426" t="s">
        <v>1708</v>
      </c>
      <c r="AM290" s="416"/>
    </row>
    <row r="291" spans="1:39" customFormat="1" ht="14.4" x14ac:dyDescent="0.3">
      <c r="A291" s="434"/>
      <c r="B291" s="425"/>
      <c r="C291" s="907" t="s">
        <v>1709</v>
      </c>
      <c r="D291" s="907"/>
      <c r="E291" s="907"/>
      <c r="F291" s="428"/>
      <c r="G291" s="429"/>
      <c r="H291" s="429"/>
      <c r="I291" s="429"/>
      <c r="J291" s="436"/>
      <c r="K291" s="429"/>
      <c r="L291" s="432">
        <v>6001.1</v>
      </c>
      <c r="M291" s="429"/>
      <c r="N291" s="433">
        <v>268669.24</v>
      </c>
      <c r="AF291" s="415"/>
      <c r="AG291" s="416"/>
      <c r="AH291" s="416"/>
      <c r="AK291" s="426" t="s">
        <v>1709</v>
      </c>
      <c r="AM291" s="416"/>
    </row>
    <row r="292" spans="1:39" customFormat="1" ht="31.8" x14ac:dyDescent="0.3">
      <c r="A292" s="434"/>
      <c r="B292" s="425" t="s">
        <v>1761</v>
      </c>
      <c r="C292" s="907" t="s">
        <v>1762</v>
      </c>
      <c r="D292" s="907"/>
      <c r="E292" s="907"/>
      <c r="F292" s="428" t="s">
        <v>1712</v>
      </c>
      <c r="G292" s="443">
        <v>91</v>
      </c>
      <c r="H292" s="429"/>
      <c r="I292" s="443">
        <v>91</v>
      </c>
      <c r="J292" s="436"/>
      <c r="K292" s="429"/>
      <c r="L292" s="432">
        <v>5461</v>
      </c>
      <c r="M292" s="429"/>
      <c r="N292" s="433">
        <v>244489.01</v>
      </c>
      <c r="AF292" s="415"/>
      <c r="AG292" s="416"/>
      <c r="AH292" s="416"/>
      <c r="AK292" s="426" t="s">
        <v>1762</v>
      </c>
      <c r="AM292" s="416"/>
    </row>
    <row r="293" spans="1:39" customFormat="1" ht="31.8" x14ac:dyDescent="0.3">
      <c r="A293" s="434"/>
      <c r="B293" s="425" t="s">
        <v>1763</v>
      </c>
      <c r="C293" s="907" t="s">
        <v>1764</v>
      </c>
      <c r="D293" s="907"/>
      <c r="E293" s="907"/>
      <c r="F293" s="428" t="s">
        <v>1712</v>
      </c>
      <c r="G293" s="443">
        <v>52</v>
      </c>
      <c r="H293" s="429"/>
      <c r="I293" s="443">
        <v>52</v>
      </c>
      <c r="J293" s="436"/>
      <c r="K293" s="429"/>
      <c r="L293" s="432">
        <v>3120.57</v>
      </c>
      <c r="M293" s="429"/>
      <c r="N293" s="433">
        <v>139708</v>
      </c>
      <c r="AF293" s="415"/>
      <c r="AG293" s="416"/>
      <c r="AH293" s="416"/>
      <c r="AK293" s="426" t="s">
        <v>1764</v>
      </c>
      <c r="AM293" s="416"/>
    </row>
    <row r="294" spans="1:39" customFormat="1" ht="14.4" x14ac:dyDescent="0.3">
      <c r="A294" s="444"/>
      <c r="B294" s="445"/>
      <c r="C294" s="916" t="s">
        <v>1715</v>
      </c>
      <c r="D294" s="916"/>
      <c r="E294" s="916"/>
      <c r="F294" s="419"/>
      <c r="G294" s="420"/>
      <c r="H294" s="420"/>
      <c r="I294" s="420"/>
      <c r="J294" s="422"/>
      <c r="K294" s="420"/>
      <c r="L294" s="446">
        <v>32262.28</v>
      </c>
      <c r="M294" s="439"/>
      <c r="N294" s="447">
        <v>773706.82</v>
      </c>
      <c r="AF294" s="415"/>
      <c r="AG294" s="416"/>
      <c r="AH294" s="416"/>
      <c r="AM294" s="416" t="s">
        <v>1715</v>
      </c>
    </row>
    <row r="295" spans="1:39" customFormat="1" ht="31.8" x14ac:dyDescent="0.3">
      <c r="A295" s="417" t="s">
        <v>771</v>
      </c>
      <c r="B295" s="418" t="s">
        <v>1766</v>
      </c>
      <c r="C295" s="916" t="s">
        <v>1767</v>
      </c>
      <c r="D295" s="916"/>
      <c r="E295" s="916"/>
      <c r="F295" s="419" t="s">
        <v>193</v>
      </c>
      <c r="G295" s="420">
        <v>69.760000000000005</v>
      </c>
      <c r="H295" s="421">
        <v>1</v>
      </c>
      <c r="I295" s="448">
        <v>69.760000000000005</v>
      </c>
      <c r="J295" s="422"/>
      <c r="K295" s="420"/>
      <c r="L295" s="422"/>
      <c r="M295" s="420"/>
      <c r="N295" s="423"/>
      <c r="AF295" s="415"/>
      <c r="AG295" s="416"/>
      <c r="AH295" s="416" t="s">
        <v>1767</v>
      </c>
      <c r="AM295" s="416"/>
    </row>
    <row r="296" spans="1:39" customFormat="1" ht="52.2" x14ac:dyDescent="0.3">
      <c r="A296" s="424"/>
      <c r="B296" s="425" t="s">
        <v>1703</v>
      </c>
      <c r="C296" s="917" t="s">
        <v>1704</v>
      </c>
      <c r="D296" s="917"/>
      <c r="E296" s="917"/>
      <c r="F296" s="917"/>
      <c r="G296" s="917"/>
      <c r="H296" s="917"/>
      <c r="I296" s="917"/>
      <c r="J296" s="917"/>
      <c r="K296" s="917"/>
      <c r="L296" s="917"/>
      <c r="M296" s="917"/>
      <c r="N296" s="918"/>
      <c r="AF296" s="415"/>
      <c r="AG296" s="416"/>
      <c r="AH296" s="416"/>
      <c r="AI296" s="426" t="s">
        <v>1704</v>
      </c>
      <c r="AM296" s="416"/>
    </row>
    <row r="297" spans="1:39" customFormat="1" ht="14.4" x14ac:dyDescent="0.3">
      <c r="A297" s="427"/>
      <c r="B297" s="425" t="s">
        <v>758</v>
      </c>
      <c r="C297" s="907" t="s">
        <v>1705</v>
      </c>
      <c r="D297" s="907"/>
      <c r="E297" s="907"/>
      <c r="F297" s="428"/>
      <c r="G297" s="429"/>
      <c r="H297" s="429"/>
      <c r="I297" s="429"/>
      <c r="J297" s="430">
        <v>443.82</v>
      </c>
      <c r="K297" s="431">
        <v>1.1499999999999999</v>
      </c>
      <c r="L297" s="432">
        <v>35605.019999999997</v>
      </c>
      <c r="M297" s="431">
        <v>44.77</v>
      </c>
      <c r="N297" s="433">
        <v>1594036.75</v>
      </c>
      <c r="AF297" s="415"/>
      <c r="AG297" s="416"/>
      <c r="AH297" s="416"/>
      <c r="AJ297" s="426" t="s">
        <v>1705</v>
      </c>
      <c r="AM297" s="416"/>
    </row>
    <row r="298" spans="1:39" customFormat="1" ht="14.4" x14ac:dyDescent="0.3">
      <c r="A298" s="427"/>
      <c r="B298" s="425" t="s">
        <v>761</v>
      </c>
      <c r="C298" s="907" t="s">
        <v>1718</v>
      </c>
      <c r="D298" s="907"/>
      <c r="E298" s="907"/>
      <c r="F298" s="428"/>
      <c r="G298" s="429"/>
      <c r="H298" s="429"/>
      <c r="I298" s="429"/>
      <c r="J298" s="432">
        <v>1200.08</v>
      </c>
      <c r="K298" s="431">
        <v>1.1499999999999999</v>
      </c>
      <c r="L298" s="432">
        <v>96275.22</v>
      </c>
      <c r="M298" s="431">
        <v>13.24</v>
      </c>
      <c r="N298" s="433">
        <v>1274683.9099999999</v>
      </c>
      <c r="AF298" s="415"/>
      <c r="AG298" s="416"/>
      <c r="AH298" s="416"/>
      <c r="AJ298" s="426" t="s">
        <v>1718</v>
      </c>
      <c r="AM298" s="416"/>
    </row>
    <row r="299" spans="1:39" customFormat="1" ht="14.4" x14ac:dyDescent="0.3">
      <c r="A299" s="427"/>
      <c r="B299" s="425" t="s">
        <v>586</v>
      </c>
      <c r="C299" s="907" t="s">
        <v>1738</v>
      </c>
      <c r="D299" s="907"/>
      <c r="E299" s="907"/>
      <c r="F299" s="428"/>
      <c r="G299" s="429"/>
      <c r="H299" s="429"/>
      <c r="I299" s="429"/>
      <c r="J299" s="430">
        <v>22.45</v>
      </c>
      <c r="K299" s="429"/>
      <c r="L299" s="432">
        <v>1566.11</v>
      </c>
      <c r="M299" s="431">
        <v>8.16</v>
      </c>
      <c r="N299" s="433">
        <v>12779.46</v>
      </c>
      <c r="AF299" s="415"/>
      <c r="AG299" s="416"/>
      <c r="AH299" s="416"/>
      <c r="AJ299" s="426" t="s">
        <v>1738</v>
      </c>
      <c r="AM299" s="416"/>
    </row>
    <row r="300" spans="1:39" customFormat="1" ht="14.4" x14ac:dyDescent="0.3">
      <c r="A300" s="434"/>
      <c r="B300" s="425"/>
      <c r="C300" s="907" t="s">
        <v>1706</v>
      </c>
      <c r="D300" s="907"/>
      <c r="E300" s="907"/>
      <c r="F300" s="428" t="s">
        <v>1707</v>
      </c>
      <c r="G300" s="431">
        <v>52.03</v>
      </c>
      <c r="H300" s="431">
        <v>1.1499999999999999</v>
      </c>
      <c r="I300" s="459">
        <v>4174.0547200000001</v>
      </c>
      <c r="J300" s="436"/>
      <c r="K300" s="429"/>
      <c r="L300" s="436"/>
      <c r="M300" s="429"/>
      <c r="N300" s="437"/>
      <c r="AF300" s="415"/>
      <c r="AG300" s="416"/>
      <c r="AH300" s="416"/>
      <c r="AK300" s="426" t="s">
        <v>1706</v>
      </c>
      <c r="AM300" s="416"/>
    </row>
    <row r="301" spans="1:39" customFormat="1" ht="14.4" x14ac:dyDescent="0.3">
      <c r="A301" s="427"/>
      <c r="B301" s="425"/>
      <c r="C301" s="908" t="s">
        <v>1708</v>
      </c>
      <c r="D301" s="908"/>
      <c r="E301" s="908"/>
      <c r="F301" s="438"/>
      <c r="G301" s="439"/>
      <c r="H301" s="439"/>
      <c r="I301" s="439"/>
      <c r="J301" s="441">
        <v>1666.35</v>
      </c>
      <c r="K301" s="439"/>
      <c r="L301" s="441">
        <v>133446.35</v>
      </c>
      <c r="M301" s="439"/>
      <c r="N301" s="442">
        <v>2881500.12</v>
      </c>
      <c r="AF301" s="415"/>
      <c r="AG301" s="416"/>
      <c r="AH301" s="416"/>
      <c r="AL301" s="426" t="s">
        <v>1708</v>
      </c>
      <c r="AM301" s="416"/>
    </row>
    <row r="302" spans="1:39" customFormat="1" ht="14.4" x14ac:dyDescent="0.3">
      <c r="A302" s="434"/>
      <c r="B302" s="425"/>
      <c r="C302" s="907" t="s">
        <v>1709</v>
      </c>
      <c r="D302" s="907"/>
      <c r="E302" s="907"/>
      <c r="F302" s="428"/>
      <c r="G302" s="429"/>
      <c r="H302" s="429"/>
      <c r="I302" s="429"/>
      <c r="J302" s="436"/>
      <c r="K302" s="429"/>
      <c r="L302" s="432">
        <v>35605.019999999997</v>
      </c>
      <c r="M302" s="429"/>
      <c r="N302" s="433">
        <v>1594036.75</v>
      </c>
      <c r="AF302" s="415"/>
      <c r="AG302" s="416"/>
      <c r="AH302" s="416"/>
      <c r="AK302" s="426" t="s">
        <v>1709</v>
      </c>
      <c r="AM302" s="416"/>
    </row>
    <row r="303" spans="1:39" customFormat="1" ht="31.8" x14ac:dyDescent="0.3">
      <c r="A303" s="434"/>
      <c r="B303" s="425" t="s">
        <v>1761</v>
      </c>
      <c r="C303" s="907" t="s">
        <v>1762</v>
      </c>
      <c r="D303" s="907"/>
      <c r="E303" s="907"/>
      <c r="F303" s="428" t="s">
        <v>1712</v>
      </c>
      <c r="G303" s="443">
        <v>91</v>
      </c>
      <c r="H303" s="429"/>
      <c r="I303" s="443">
        <v>91</v>
      </c>
      <c r="J303" s="436"/>
      <c r="K303" s="429"/>
      <c r="L303" s="432">
        <v>32400.57</v>
      </c>
      <c r="M303" s="429"/>
      <c r="N303" s="433">
        <v>1450573.44</v>
      </c>
      <c r="AF303" s="415"/>
      <c r="AG303" s="416"/>
      <c r="AH303" s="416"/>
      <c r="AK303" s="426" t="s">
        <v>1762</v>
      </c>
      <c r="AM303" s="416"/>
    </row>
    <row r="304" spans="1:39" customFormat="1" ht="31.8" x14ac:dyDescent="0.3">
      <c r="A304" s="434"/>
      <c r="B304" s="425" t="s">
        <v>1763</v>
      </c>
      <c r="C304" s="907" t="s">
        <v>1764</v>
      </c>
      <c r="D304" s="907"/>
      <c r="E304" s="907"/>
      <c r="F304" s="428" t="s">
        <v>1712</v>
      </c>
      <c r="G304" s="443">
        <v>52</v>
      </c>
      <c r="H304" s="429"/>
      <c r="I304" s="443">
        <v>52</v>
      </c>
      <c r="J304" s="436"/>
      <c r="K304" s="429"/>
      <c r="L304" s="432">
        <v>18514.61</v>
      </c>
      <c r="M304" s="429"/>
      <c r="N304" s="433">
        <v>828899.11</v>
      </c>
      <c r="AF304" s="415"/>
      <c r="AG304" s="416"/>
      <c r="AH304" s="416"/>
      <c r="AK304" s="426" t="s">
        <v>1764</v>
      </c>
      <c r="AM304" s="416"/>
    </row>
    <row r="305" spans="1:42" customFormat="1" ht="14.4" x14ac:dyDescent="0.3">
      <c r="A305" s="444"/>
      <c r="B305" s="445"/>
      <c r="C305" s="916" t="s">
        <v>1715</v>
      </c>
      <c r="D305" s="916"/>
      <c r="E305" s="916"/>
      <c r="F305" s="419"/>
      <c r="G305" s="420"/>
      <c r="H305" s="420"/>
      <c r="I305" s="420"/>
      <c r="J305" s="422"/>
      <c r="K305" s="420"/>
      <c r="L305" s="446">
        <v>184361.53</v>
      </c>
      <c r="M305" s="439"/>
      <c r="N305" s="447">
        <v>5160972.67</v>
      </c>
      <c r="AF305" s="415"/>
      <c r="AG305" s="416"/>
      <c r="AH305" s="416"/>
      <c r="AM305" s="416" t="s">
        <v>1715</v>
      </c>
    </row>
    <row r="306" spans="1:42" customFormat="1" ht="31.8" x14ac:dyDescent="0.3">
      <c r="A306" s="417" t="s">
        <v>1819</v>
      </c>
      <c r="B306" s="418" t="s">
        <v>1798</v>
      </c>
      <c r="C306" s="916" t="s">
        <v>1799</v>
      </c>
      <c r="D306" s="916"/>
      <c r="E306" s="916"/>
      <c r="F306" s="419" t="s">
        <v>1800</v>
      </c>
      <c r="G306" s="420">
        <v>6.9000000000000006E-2</v>
      </c>
      <c r="H306" s="421">
        <v>1</v>
      </c>
      <c r="I306" s="452">
        <v>6.9000000000000006E-2</v>
      </c>
      <c r="J306" s="422"/>
      <c r="K306" s="420"/>
      <c r="L306" s="422"/>
      <c r="M306" s="420"/>
      <c r="N306" s="423"/>
      <c r="AF306" s="415"/>
      <c r="AG306" s="416"/>
      <c r="AH306" s="416" t="s">
        <v>1799</v>
      </c>
      <c r="AM306" s="416"/>
    </row>
    <row r="307" spans="1:42" customFormat="1" ht="14.4" x14ac:dyDescent="0.3">
      <c r="A307" s="450"/>
      <c r="B307" s="451"/>
      <c r="C307" s="907" t="s">
        <v>1820</v>
      </c>
      <c r="D307" s="907"/>
      <c r="E307" s="907"/>
      <c r="F307" s="907"/>
      <c r="G307" s="907"/>
      <c r="H307" s="907"/>
      <c r="I307" s="907"/>
      <c r="J307" s="907"/>
      <c r="K307" s="907"/>
      <c r="L307" s="907"/>
      <c r="M307" s="907"/>
      <c r="N307" s="919"/>
      <c r="AF307" s="415"/>
      <c r="AG307" s="416"/>
      <c r="AH307" s="416"/>
      <c r="AM307" s="416"/>
      <c r="AO307" s="426" t="s">
        <v>1820</v>
      </c>
    </row>
    <row r="308" spans="1:42" customFormat="1" ht="52.2" x14ac:dyDescent="0.3">
      <c r="A308" s="424"/>
      <c r="B308" s="425" t="s">
        <v>1703</v>
      </c>
      <c r="C308" s="917" t="s">
        <v>1704</v>
      </c>
      <c r="D308" s="917"/>
      <c r="E308" s="917"/>
      <c r="F308" s="917"/>
      <c r="G308" s="917"/>
      <c r="H308" s="917"/>
      <c r="I308" s="917"/>
      <c r="J308" s="917"/>
      <c r="K308" s="917"/>
      <c r="L308" s="917"/>
      <c r="M308" s="917"/>
      <c r="N308" s="918"/>
      <c r="AF308" s="415"/>
      <c r="AG308" s="416"/>
      <c r="AH308" s="416"/>
      <c r="AI308" s="426" t="s">
        <v>1704</v>
      </c>
      <c r="AM308" s="416"/>
    </row>
    <row r="309" spans="1:42" customFormat="1" ht="14.4" x14ac:dyDescent="0.3">
      <c r="A309" s="427"/>
      <c r="B309" s="425" t="s">
        <v>761</v>
      </c>
      <c r="C309" s="907" t="s">
        <v>1718</v>
      </c>
      <c r="D309" s="907"/>
      <c r="E309" s="907"/>
      <c r="F309" s="428"/>
      <c r="G309" s="429"/>
      <c r="H309" s="429"/>
      <c r="I309" s="429"/>
      <c r="J309" s="430">
        <v>479.33</v>
      </c>
      <c r="K309" s="431">
        <v>1.1499999999999999</v>
      </c>
      <c r="L309" s="430">
        <v>38.03</v>
      </c>
      <c r="M309" s="431">
        <v>13.24</v>
      </c>
      <c r="N309" s="460">
        <v>503.52</v>
      </c>
      <c r="AF309" s="415"/>
      <c r="AG309" s="416"/>
      <c r="AH309" s="416"/>
      <c r="AJ309" s="426" t="s">
        <v>1718</v>
      </c>
      <c r="AM309" s="416"/>
    </row>
    <row r="310" spans="1:42" customFormat="1" ht="14.4" x14ac:dyDescent="0.3">
      <c r="A310" s="427"/>
      <c r="B310" s="425" t="s">
        <v>1144</v>
      </c>
      <c r="C310" s="907" t="s">
        <v>1719</v>
      </c>
      <c r="D310" s="907"/>
      <c r="E310" s="907"/>
      <c r="F310" s="428"/>
      <c r="G310" s="429"/>
      <c r="H310" s="429"/>
      <c r="I310" s="429"/>
      <c r="J310" s="430">
        <v>93.5</v>
      </c>
      <c r="K310" s="431">
        <v>1.1499999999999999</v>
      </c>
      <c r="L310" s="430">
        <v>7.42</v>
      </c>
      <c r="M310" s="431">
        <v>44.77</v>
      </c>
      <c r="N310" s="460">
        <v>332.19</v>
      </c>
      <c r="AF310" s="415"/>
      <c r="AG310" s="416"/>
      <c r="AH310" s="416"/>
      <c r="AJ310" s="426" t="s">
        <v>1719</v>
      </c>
      <c r="AM310" s="416"/>
    </row>
    <row r="311" spans="1:42" customFormat="1" ht="14.4" x14ac:dyDescent="0.3">
      <c r="A311" s="434"/>
      <c r="B311" s="425"/>
      <c r="C311" s="907" t="s">
        <v>1720</v>
      </c>
      <c r="D311" s="907"/>
      <c r="E311" s="907"/>
      <c r="F311" s="428" t="s">
        <v>1707</v>
      </c>
      <c r="G311" s="431">
        <v>8.06</v>
      </c>
      <c r="H311" s="431">
        <v>1.1499999999999999</v>
      </c>
      <c r="I311" s="457">
        <v>0.63956100000000005</v>
      </c>
      <c r="J311" s="436"/>
      <c r="K311" s="429"/>
      <c r="L311" s="436"/>
      <c r="M311" s="429"/>
      <c r="N311" s="437"/>
      <c r="AF311" s="415"/>
      <c r="AG311" s="416"/>
      <c r="AH311" s="416"/>
      <c r="AK311" s="426" t="s">
        <v>1720</v>
      </c>
      <c r="AM311" s="416"/>
    </row>
    <row r="312" spans="1:42" customFormat="1" ht="14.4" x14ac:dyDescent="0.3">
      <c r="A312" s="427"/>
      <c r="B312" s="425"/>
      <c r="C312" s="908" t="s">
        <v>1708</v>
      </c>
      <c r="D312" s="908"/>
      <c r="E312" s="908"/>
      <c r="F312" s="438"/>
      <c r="G312" s="439"/>
      <c r="H312" s="439"/>
      <c r="I312" s="439"/>
      <c r="J312" s="440">
        <v>479.33</v>
      </c>
      <c r="K312" s="439"/>
      <c r="L312" s="440">
        <v>38.03</v>
      </c>
      <c r="M312" s="439"/>
      <c r="N312" s="461">
        <v>503.52</v>
      </c>
      <c r="AF312" s="415"/>
      <c r="AG312" s="416"/>
      <c r="AH312" s="416"/>
      <c r="AL312" s="426" t="s">
        <v>1708</v>
      </c>
      <c r="AM312" s="416"/>
    </row>
    <row r="313" spans="1:42" customFormat="1" ht="14.4" x14ac:dyDescent="0.3">
      <c r="A313" s="434"/>
      <c r="B313" s="425"/>
      <c r="C313" s="907" t="s">
        <v>1709</v>
      </c>
      <c r="D313" s="907"/>
      <c r="E313" s="907"/>
      <c r="F313" s="428"/>
      <c r="G313" s="429"/>
      <c r="H313" s="429"/>
      <c r="I313" s="429"/>
      <c r="J313" s="436"/>
      <c r="K313" s="429"/>
      <c r="L313" s="430">
        <v>7.42</v>
      </c>
      <c r="M313" s="429"/>
      <c r="N313" s="460">
        <v>332.19</v>
      </c>
      <c r="AF313" s="415"/>
      <c r="AG313" s="416"/>
      <c r="AH313" s="416"/>
      <c r="AK313" s="426" t="s">
        <v>1709</v>
      </c>
      <c r="AM313" s="416"/>
    </row>
    <row r="314" spans="1:42" customFormat="1" ht="21.6" x14ac:dyDescent="0.3">
      <c r="A314" s="434"/>
      <c r="B314" s="425" t="s">
        <v>1802</v>
      </c>
      <c r="C314" s="907" t="s">
        <v>1803</v>
      </c>
      <c r="D314" s="907"/>
      <c r="E314" s="907"/>
      <c r="F314" s="428" t="s">
        <v>1712</v>
      </c>
      <c r="G314" s="443">
        <v>92</v>
      </c>
      <c r="H314" s="429"/>
      <c r="I314" s="443">
        <v>92</v>
      </c>
      <c r="J314" s="436"/>
      <c r="K314" s="429"/>
      <c r="L314" s="430">
        <v>6.83</v>
      </c>
      <c r="M314" s="429"/>
      <c r="N314" s="460">
        <v>305.61</v>
      </c>
      <c r="AF314" s="415"/>
      <c r="AG314" s="416"/>
      <c r="AH314" s="416"/>
      <c r="AK314" s="426" t="s">
        <v>1803</v>
      </c>
      <c r="AM314" s="416"/>
    </row>
    <row r="315" spans="1:42" customFormat="1" ht="21.6" x14ac:dyDescent="0.3">
      <c r="A315" s="434"/>
      <c r="B315" s="425" t="s">
        <v>1804</v>
      </c>
      <c r="C315" s="907" t="s">
        <v>1805</v>
      </c>
      <c r="D315" s="907"/>
      <c r="E315" s="907"/>
      <c r="F315" s="428" t="s">
        <v>1712</v>
      </c>
      <c r="G315" s="443">
        <v>46</v>
      </c>
      <c r="H315" s="429"/>
      <c r="I315" s="443">
        <v>46</v>
      </c>
      <c r="J315" s="436"/>
      <c r="K315" s="429"/>
      <c r="L315" s="430">
        <v>3.41</v>
      </c>
      <c r="M315" s="429"/>
      <c r="N315" s="460">
        <v>152.81</v>
      </c>
      <c r="AF315" s="415"/>
      <c r="AG315" s="416"/>
      <c r="AH315" s="416"/>
      <c r="AK315" s="426" t="s">
        <v>1805</v>
      </c>
      <c r="AM315" s="416"/>
    </row>
    <row r="316" spans="1:42" customFormat="1" ht="14.4" x14ac:dyDescent="0.3">
      <c r="A316" s="444"/>
      <c r="B316" s="445"/>
      <c r="C316" s="916" t="s">
        <v>1715</v>
      </c>
      <c r="D316" s="916"/>
      <c r="E316" s="916"/>
      <c r="F316" s="419"/>
      <c r="G316" s="420"/>
      <c r="H316" s="420"/>
      <c r="I316" s="420"/>
      <c r="J316" s="422"/>
      <c r="K316" s="420"/>
      <c r="L316" s="449">
        <v>48.27</v>
      </c>
      <c r="M316" s="439"/>
      <c r="N316" s="455">
        <v>961.94</v>
      </c>
      <c r="AF316" s="415"/>
      <c r="AG316" s="416"/>
      <c r="AH316" s="416"/>
      <c r="AM316" s="416" t="s">
        <v>1715</v>
      </c>
    </row>
    <row r="317" spans="1:42" customFormat="1" ht="20.399999999999999" x14ac:dyDescent="0.3">
      <c r="A317" s="417" t="s">
        <v>1821</v>
      </c>
      <c r="B317" s="418" t="s">
        <v>1807</v>
      </c>
      <c r="C317" s="916" t="s">
        <v>1808</v>
      </c>
      <c r="D317" s="916"/>
      <c r="E317" s="916"/>
      <c r="F317" s="419" t="s">
        <v>193</v>
      </c>
      <c r="G317" s="420">
        <v>69</v>
      </c>
      <c r="H317" s="421">
        <v>1</v>
      </c>
      <c r="I317" s="421">
        <v>69</v>
      </c>
      <c r="J317" s="449">
        <v>71.900000000000006</v>
      </c>
      <c r="K317" s="452">
        <v>1.012</v>
      </c>
      <c r="L317" s="446">
        <v>5020.63</v>
      </c>
      <c r="M317" s="448">
        <v>8.16</v>
      </c>
      <c r="N317" s="447">
        <v>40968.339999999997</v>
      </c>
      <c r="AF317" s="415"/>
      <c r="AG317" s="416"/>
      <c r="AH317" s="416" t="s">
        <v>1808</v>
      </c>
      <c r="AM317" s="416"/>
    </row>
    <row r="318" spans="1:42" customFormat="1" ht="14.4" x14ac:dyDescent="0.3">
      <c r="A318" s="444"/>
      <c r="B318" s="445"/>
      <c r="C318" s="907" t="s">
        <v>1728</v>
      </c>
      <c r="D318" s="907"/>
      <c r="E318" s="907"/>
      <c r="F318" s="907"/>
      <c r="G318" s="907"/>
      <c r="H318" s="907"/>
      <c r="I318" s="907"/>
      <c r="J318" s="907"/>
      <c r="K318" s="907"/>
      <c r="L318" s="907"/>
      <c r="M318" s="907"/>
      <c r="N318" s="919"/>
      <c r="AF318" s="415"/>
      <c r="AG318" s="416"/>
      <c r="AH318" s="416"/>
      <c r="AM318" s="416"/>
      <c r="AN318" s="426" t="s">
        <v>1728</v>
      </c>
    </row>
    <row r="319" spans="1:42" customFormat="1" ht="14.4" x14ac:dyDescent="0.3">
      <c r="A319" s="450"/>
      <c r="B319" s="451"/>
      <c r="C319" s="907" t="s">
        <v>1809</v>
      </c>
      <c r="D319" s="907"/>
      <c r="E319" s="907"/>
      <c r="F319" s="907"/>
      <c r="G319" s="907"/>
      <c r="H319" s="907"/>
      <c r="I319" s="907"/>
      <c r="J319" s="907"/>
      <c r="K319" s="907"/>
      <c r="L319" s="907"/>
      <c r="M319" s="907"/>
      <c r="N319" s="919"/>
      <c r="AF319" s="415"/>
      <c r="AG319" s="416"/>
      <c r="AH319" s="416"/>
      <c r="AM319" s="416"/>
      <c r="AP319" s="426" t="s">
        <v>1809</v>
      </c>
    </row>
    <row r="320" spans="1:42" customFormat="1" ht="14.4" x14ac:dyDescent="0.3">
      <c r="A320" s="424"/>
      <c r="B320" s="425"/>
      <c r="C320" s="917" t="s">
        <v>1810</v>
      </c>
      <c r="D320" s="917"/>
      <c r="E320" s="917"/>
      <c r="F320" s="917"/>
      <c r="G320" s="917"/>
      <c r="H320" s="917"/>
      <c r="I320" s="917"/>
      <c r="J320" s="917"/>
      <c r="K320" s="917"/>
      <c r="L320" s="917"/>
      <c r="M320" s="917"/>
      <c r="N320" s="918"/>
      <c r="AF320" s="415"/>
      <c r="AG320" s="416"/>
      <c r="AH320" s="416"/>
      <c r="AI320" s="426" t="s">
        <v>1810</v>
      </c>
      <c r="AM320" s="416"/>
    </row>
    <row r="321" spans="1:42" customFormat="1" ht="14.4" x14ac:dyDescent="0.3">
      <c r="A321" s="444"/>
      <c r="B321" s="445"/>
      <c r="C321" s="916" t="s">
        <v>1715</v>
      </c>
      <c r="D321" s="916"/>
      <c r="E321" s="916"/>
      <c r="F321" s="419"/>
      <c r="G321" s="420"/>
      <c r="H321" s="420"/>
      <c r="I321" s="420"/>
      <c r="J321" s="422"/>
      <c r="K321" s="420"/>
      <c r="L321" s="446">
        <v>5020.63</v>
      </c>
      <c r="M321" s="439"/>
      <c r="N321" s="447">
        <v>40968.339999999997</v>
      </c>
      <c r="AF321" s="415"/>
      <c r="AG321" s="416"/>
      <c r="AH321" s="416"/>
      <c r="AM321" s="416" t="s">
        <v>1715</v>
      </c>
    </row>
    <row r="322" spans="1:42" customFormat="1" ht="42" x14ac:dyDescent="0.3">
      <c r="A322" s="417" t="s">
        <v>1822</v>
      </c>
      <c r="B322" s="418" t="s">
        <v>1747</v>
      </c>
      <c r="C322" s="916" t="s">
        <v>1748</v>
      </c>
      <c r="D322" s="916"/>
      <c r="E322" s="916"/>
      <c r="F322" s="419" t="s">
        <v>1723</v>
      </c>
      <c r="G322" s="420">
        <v>413.26</v>
      </c>
      <c r="H322" s="421">
        <v>1</v>
      </c>
      <c r="I322" s="448">
        <v>413.26</v>
      </c>
      <c r="J322" s="449">
        <v>3.28</v>
      </c>
      <c r="K322" s="420"/>
      <c r="L322" s="446">
        <v>1355.49</v>
      </c>
      <c r="M322" s="448">
        <v>13.24</v>
      </c>
      <c r="N322" s="447">
        <v>17946.689999999999</v>
      </c>
      <c r="AF322" s="415"/>
      <c r="AG322" s="416"/>
      <c r="AH322" s="416" t="s">
        <v>1748</v>
      </c>
      <c r="AM322" s="416"/>
    </row>
    <row r="323" spans="1:42" customFormat="1" ht="14.4" x14ac:dyDescent="0.3">
      <c r="A323" s="450"/>
      <c r="B323" s="451"/>
      <c r="C323" s="907" t="s">
        <v>1823</v>
      </c>
      <c r="D323" s="907"/>
      <c r="E323" s="907"/>
      <c r="F323" s="907"/>
      <c r="G323" s="907"/>
      <c r="H323" s="907"/>
      <c r="I323" s="907"/>
      <c r="J323" s="907"/>
      <c r="K323" s="907"/>
      <c r="L323" s="907"/>
      <c r="M323" s="907"/>
      <c r="N323" s="919"/>
      <c r="AF323" s="415"/>
      <c r="AG323" s="416"/>
      <c r="AH323" s="416"/>
      <c r="AM323" s="416"/>
      <c r="AO323" s="426" t="s">
        <v>1823</v>
      </c>
    </row>
    <row r="324" spans="1:42" customFormat="1" ht="14.4" x14ac:dyDescent="0.3">
      <c r="A324" s="444"/>
      <c r="B324" s="445"/>
      <c r="C324" s="916" t="s">
        <v>1715</v>
      </c>
      <c r="D324" s="916"/>
      <c r="E324" s="916"/>
      <c r="F324" s="419"/>
      <c r="G324" s="420"/>
      <c r="H324" s="420"/>
      <c r="I324" s="420"/>
      <c r="J324" s="422"/>
      <c r="K324" s="420"/>
      <c r="L324" s="446">
        <v>1355.49</v>
      </c>
      <c r="M324" s="439"/>
      <c r="N324" s="447">
        <v>17946.689999999999</v>
      </c>
      <c r="AF324" s="415"/>
      <c r="AG324" s="416"/>
      <c r="AH324" s="416"/>
      <c r="AM324" s="416" t="s">
        <v>1715</v>
      </c>
    </row>
    <row r="325" spans="1:42" customFormat="1" ht="21.6" x14ac:dyDescent="0.3">
      <c r="A325" s="417" t="s">
        <v>1824</v>
      </c>
      <c r="B325" s="418" t="s">
        <v>1751</v>
      </c>
      <c r="C325" s="916" t="s">
        <v>1752</v>
      </c>
      <c r="D325" s="916"/>
      <c r="E325" s="916"/>
      <c r="F325" s="419" t="s">
        <v>1723</v>
      </c>
      <c r="G325" s="420">
        <v>103.32</v>
      </c>
      <c r="H325" s="421">
        <v>1</v>
      </c>
      <c r="I325" s="448">
        <v>103.32</v>
      </c>
      <c r="J325" s="449">
        <v>42.98</v>
      </c>
      <c r="K325" s="448">
        <v>1.1499999999999999</v>
      </c>
      <c r="L325" s="446">
        <v>5106.8</v>
      </c>
      <c r="M325" s="448">
        <v>13.24</v>
      </c>
      <c r="N325" s="447">
        <v>67614.03</v>
      </c>
      <c r="AF325" s="415"/>
      <c r="AG325" s="416"/>
      <c r="AH325" s="416" t="s">
        <v>1752</v>
      </c>
      <c r="AM325" s="416"/>
    </row>
    <row r="326" spans="1:42" customFormat="1" ht="14.4" x14ac:dyDescent="0.3">
      <c r="A326" s="450"/>
      <c r="B326" s="451"/>
      <c r="C326" s="907" t="s">
        <v>1825</v>
      </c>
      <c r="D326" s="907"/>
      <c r="E326" s="907"/>
      <c r="F326" s="907"/>
      <c r="G326" s="907"/>
      <c r="H326" s="907"/>
      <c r="I326" s="907"/>
      <c r="J326" s="907"/>
      <c r="K326" s="907"/>
      <c r="L326" s="907"/>
      <c r="M326" s="907"/>
      <c r="N326" s="919"/>
      <c r="AF326" s="415"/>
      <c r="AG326" s="416"/>
      <c r="AH326" s="416"/>
      <c r="AM326" s="416"/>
      <c r="AO326" s="426" t="s">
        <v>1825</v>
      </c>
    </row>
    <row r="327" spans="1:42" customFormat="1" ht="52.2" x14ac:dyDescent="0.3">
      <c r="A327" s="424"/>
      <c r="B327" s="425" t="s">
        <v>1703</v>
      </c>
      <c r="C327" s="917" t="s">
        <v>1704</v>
      </c>
      <c r="D327" s="917"/>
      <c r="E327" s="917"/>
      <c r="F327" s="917"/>
      <c r="G327" s="917"/>
      <c r="H327" s="917"/>
      <c r="I327" s="917"/>
      <c r="J327" s="917"/>
      <c r="K327" s="917"/>
      <c r="L327" s="917"/>
      <c r="M327" s="917"/>
      <c r="N327" s="918"/>
      <c r="AF327" s="415"/>
      <c r="AG327" s="416"/>
      <c r="AH327" s="416"/>
      <c r="AI327" s="426" t="s">
        <v>1704</v>
      </c>
      <c r="AM327" s="416"/>
    </row>
    <row r="328" spans="1:42" customFormat="1" ht="14.4" x14ac:dyDescent="0.3">
      <c r="A328" s="444"/>
      <c r="B328" s="445"/>
      <c r="C328" s="916" t="s">
        <v>1715</v>
      </c>
      <c r="D328" s="916"/>
      <c r="E328" s="916"/>
      <c r="F328" s="419"/>
      <c r="G328" s="420"/>
      <c r="H328" s="420"/>
      <c r="I328" s="420"/>
      <c r="J328" s="422"/>
      <c r="K328" s="420"/>
      <c r="L328" s="446">
        <v>5106.8</v>
      </c>
      <c r="M328" s="439"/>
      <c r="N328" s="447">
        <v>67614.03</v>
      </c>
      <c r="AF328" s="415"/>
      <c r="AG328" s="416"/>
      <c r="AH328" s="416"/>
      <c r="AM328" s="416" t="s">
        <v>1715</v>
      </c>
    </row>
    <row r="329" spans="1:42" customFormat="1" ht="21.6" x14ac:dyDescent="0.3">
      <c r="A329" s="417" t="s">
        <v>1138</v>
      </c>
      <c r="B329" s="418" t="s">
        <v>1726</v>
      </c>
      <c r="C329" s="916" t="s">
        <v>1727</v>
      </c>
      <c r="D329" s="916"/>
      <c r="E329" s="916"/>
      <c r="F329" s="419" t="s">
        <v>193</v>
      </c>
      <c r="G329" s="420">
        <v>249.39</v>
      </c>
      <c r="H329" s="421">
        <v>1</v>
      </c>
      <c r="I329" s="448">
        <v>249.39</v>
      </c>
      <c r="J329" s="449">
        <v>162.38</v>
      </c>
      <c r="K329" s="420"/>
      <c r="L329" s="446">
        <v>40495.949999999997</v>
      </c>
      <c r="M329" s="448">
        <v>8.16</v>
      </c>
      <c r="N329" s="447">
        <v>330446.95</v>
      </c>
      <c r="AF329" s="415"/>
      <c r="AG329" s="416"/>
      <c r="AH329" s="416" t="s">
        <v>1727</v>
      </c>
      <c r="AM329" s="416"/>
    </row>
    <row r="330" spans="1:42" customFormat="1" ht="14.4" x14ac:dyDescent="0.3">
      <c r="A330" s="444"/>
      <c r="B330" s="445"/>
      <c r="C330" s="907" t="s">
        <v>1728</v>
      </c>
      <c r="D330" s="907"/>
      <c r="E330" s="907"/>
      <c r="F330" s="907"/>
      <c r="G330" s="907"/>
      <c r="H330" s="907"/>
      <c r="I330" s="907"/>
      <c r="J330" s="907"/>
      <c r="K330" s="907"/>
      <c r="L330" s="907"/>
      <c r="M330" s="907"/>
      <c r="N330" s="919"/>
      <c r="AF330" s="415"/>
      <c r="AG330" s="416"/>
      <c r="AH330" s="416"/>
      <c r="AM330" s="416"/>
      <c r="AN330" s="426" t="s">
        <v>1728</v>
      </c>
    </row>
    <row r="331" spans="1:42" customFormat="1" ht="14.4" x14ac:dyDescent="0.3">
      <c r="A331" s="450"/>
      <c r="B331" s="451"/>
      <c r="C331" s="907" t="s">
        <v>1826</v>
      </c>
      <c r="D331" s="907"/>
      <c r="E331" s="907"/>
      <c r="F331" s="907"/>
      <c r="G331" s="907"/>
      <c r="H331" s="907"/>
      <c r="I331" s="907"/>
      <c r="J331" s="907"/>
      <c r="K331" s="907"/>
      <c r="L331" s="907"/>
      <c r="M331" s="907"/>
      <c r="N331" s="919"/>
      <c r="AF331" s="415"/>
      <c r="AG331" s="416"/>
      <c r="AH331" s="416"/>
      <c r="AM331" s="416"/>
      <c r="AO331" s="426" t="s">
        <v>1826</v>
      </c>
    </row>
    <row r="332" spans="1:42" customFormat="1" ht="14.4" x14ac:dyDescent="0.3">
      <c r="A332" s="450"/>
      <c r="B332" s="451"/>
      <c r="C332" s="907" t="s">
        <v>1730</v>
      </c>
      <c r="D332" s="907"/>
      <c r="E332" s="907"/>
      <c r="F332" s="907"/>
      <c r="G332" s="907"/>
      <c r="H332" s="907"/>
      <c r="I332" s="907"/>
      <c r="J332" s="907"/>
      <c r="K332" s="907"/>
      <c r="L332" s="907"/>
      <c r="M332" s="907"/>
      <c r="N332" s="919"/>
      <c r="AF332" s="415"/>
      <c r="AG332" s="416"/>
      <c r="AH332" s="416"/>
      <c r="AM332" s="416"/>
      <c r="AP332" s="426" t="s">
        <v>1730</v>
      </c>
    </row>
    <row r="333" spans="1:42" customFormat="1" ht="14.4" x14ac:dyDescent="0.3">
      <c r="A333" s="444"/>
      <c r="B333" s="445"/>
      <c r="C333" s="916" t="s">
        <v>1715</v>
      </c>
      <c r="D333" s="916"/>
      <c r="E333" s="916"/>
      <c r="F333" s="419"/>
      <c r="G333" s="420"/>
      <c r="H333" s="420"/>
      <c r="I333" s="420"/>
      <c r="J333" s="422"/>
      <c r="K333" s="420"/>
      <c r="L333" s="446">
        <v>40495.949999999997</v>
      </c>
      <c r="M333" s="439"/>
      <c r="N333" s="447">
        <v>330446.95</v>
      </c>
      <c r="AF333" s="415"/>
      <c r="AG333" s="416"/>
      <c r="AH333" s="416"/>
      <c r="AM333" s="416" t="s">
        <v>1715</v>
      </c>
    </row>
    <row r="334" spans="1:42" customFormat="1" ht="14.4" x14ac:dyDescent="0.3">
      <c r="A334" s="913" t="s">
        <v>1827</v>
      </c>
      <c r="B334" s="914"/>
      <c r="C334" s="914"/>
      <c r="D334" s="914"/>
      <c r="E334" s="914"/>
      <c r="F334" s="914"/>
      <c r="G334" s="914"/>
      <c r="H334" s="914"/>
      <c r="I334" s="914"/>
      <c r="J334" s="914"/>
      <c r="K334" s="914"/>
      <c r="L334" s="914"/>
      <c r="M334" s="914"/>
      <c r="N334" s="915"/>
      <c r="AF334" s="415"/>
      <c r="AG334" s="416" t="s">
        <v>1827</v>
      </c>
      <c r="AH334" s="416"/>
      <c r="AM334" s="416"/>
    </row>
    <row r="335" spans="1:42" customFormat="1" ht="31.8" x14ac:dyDescent="0.3">
      <c r="A335" s="417" t="s">
        <v>819</v>
      </c>
      <c r="B335" s="418" t="s">
        <v>1828</v>
      </c>
      <c r="C335" s="916" t="s">
        <v>1829</v>
      </c>
      <c r="D335" s="916"/>
      <c r="E335" s="916"/>
      <c r="F335" s="419" t="s">
        <v>1800</v>
      </c>
      <c r="G335" s="420">
        <v>6.7000000000000004E-2</v>
      </c>
      <c r="H335" s="421">
        <v>1</v>
      </c>
      <c r="I335" s="452">
        <v>6.7000000000000004E-2</v>
      </c>
      <c r="J335" s="422"/>
      <c r="K335" s="420"/>
      <c r="L335" s="422"/>
      <c r="M335" s="420"/>
      <c r="N335" s="423"/>
      <c r="AF335" s="415"/>
      <c r="AG335" s="416"/>
      <c r="AH335" s="416" t="s">
        <v>1829</v>
      </c>
      <c r="AM335" s="416"/>
    </row>
    <row r="336" spans="1:42" customFormat="1" ht="14.4" x14ac:dyDescent="0.3">
      <c r="A336" s="450"/>
      <c r="B336" s="451"/>
      <c r="C336" s="907" t="s">
        <v>1830</v>
      </c>
      <c r="D336" s="907"/>
      <c r="E336" s="907"/>
      <c r="F336" s="907"/>
      <c r="G336" s="907"/>
      <c r="H336" s="907"/>
      <c r="I336" s="907"/>
      <c r="J336" s="907"/>
      <c r="K336" s="907"/>
      <c r="L336" s="907"/>
      <c r="M336" s="907"/>
      <c r="N336" s="919"/>
      <c r="AF336" s="415"/>
      <c r="AG336" s="416"/>
      <c r="AH336" s="416"/>
      <c r="AM336" s="416"/>
      <c r="AO336" s="426" t="s">
        <v>1830</v>
      </c>
    </row>
    <row r="337" spans="1:39" customFormat="1" ht="52.2" x14ac:dyDescent="0.3">
      <c r="A337" s="424"/>
      <c r="B337" s="425" t="s">
        <v>1703</v>
      </c>
      <c r="C337" s="917" t="s">
        <v>1704</v>
      </c>
      <c r="D337" s="917"/>
      <c r="E337" s="917"/>
      <c r="F337" s="917"/>
      <c r="G337" s="917"/>
      <c r="H337" s="917"/>
      <c r="I337" s="917"/>
      <c r="J337" s="917"/>
      <c r="K337" s="917"/>
      <c r="L337" s="917"/>
      <c r="M337" s="917"/>
      <c r="N337" s="918"/>
      <c r="AF337" s="415"/>
      <c r="AG337" s="416"/>
      <c r="AH337" s="416"/>
      <c r="AI337" s="426" t="s">
        <v>1704</v>
      </c>
      <c r="AM337" s="416"/>
    </row>
    <row r="338" spans="1:39" customFormat="1" ht="14.4" x14ac:dyDescent="0.3">
      <c r="A338" s="427"/>
      <c r="B338" s="425" t="s">
        <v>758</v>
      </c>
      <c r="C338" s="907" t="s">
        <v>1705</v>
      </c>
      <c r="D338" s="907"/>
      <c r="E338" s="907"/>
      <c r="F338" s="428"/>
      <c r="G338" s="429"/>
      <c r="H338" s="429"/>
      <c r="I338" s="429"/>
      <c r="J338" s="430">
        <v>101.4</v>
      </c>
      <c r="K338" s="431">
        <v>1.1499999999999999</v>
      </c>
      <c r="L338" s="430">
        <v>7.81</v>
      </c>
      <c r="M338" s="431">
        <v>44.77</v>
      </c>
      <c r="N338" s="460">
        <v>349.65</v>
      </c>
      <c r="AF338" s="415"/>
      <c r="AG338" s="416"/>
      <c r="AH338" s="416"/>
      <c r="AJ338" s="426" t="s">
        <v>1705</v>
      </c>
      <c r="AM338" s="416"/>
    </row>
    <row r="339" spans="1:39" customFormat="1" ht="14.4" x14ac:dyDescent="0.3">
      <c r="A339" s="427"/>
      <c r="B339" s="425" t="s">
        <v>761</v>
      </c>
      <c r="C339" s="907" t="s">
        <v>1718</v>
      </c>
      <c r="D339" s="907"/>
      <c r="E339" s="907"/>
      <c r="F339" s="428"/>
      <c r="G339" s="429"/>
      <c r="H339" s="429"/>
      <c r="I339" s="429"/>
      <c r="J339" s="432">
        <v>3563.26</v>
      </c>
      <c r="K339" s="431">
        <v>1.1499999999999999</v>
      </c>
      <c r="L339" s="430">
        <v>274.55</v>
      </c>
      <c r="M339" s="431">
        <v>13.24</v>
      </c>
      <c r="N339" s="433">
        <v>3635.04</v>
      </c>
      <c r="AF339" s="415"/>
      <c r="AG339" s="416"/>
      <c r="AH339" s="416"/>
      <c r="AJ339" s="426" t="s">
        <v>1718</v>
      </c>
      <c r="AM339" s="416"/>
    </row>
    <row r="340" spans="1:39" customFormat="1" ht="14.4" x14ac:dyDescent="0.3">
      <c r="A340" s="427"/>
      <c r="B340" s="425" t="s">
        <v>1144</v>
      </c>
      <c r="C340" s="907" t="s">
        <v>1719</v>
      </c>
      <c r="D340" s="907"/>
      <c r="E340" s="907"/>
      <c r="F340" s="428"/>
      <c r="G340" s="429"/>
      <c r="H340" s="429"/>
      <c r="I340" s="429"/>
      <c r="J340" s="430">
        <v>507.6</v>
      </c>
      <c r="K340" s="431">
        <v>1.1499999999999999</v>
      </c>
      <c r="L340" s="430">
        <v>39.11</v>
      </c>
      <c r="M340" s="431">
        <v>44.77</v>
      </c>
      <c r="N340" s="433">
        <v>1750.95</v>
      </c>
      <c r="AF340" s="415"/>
      <c r="AG340" s="416"/>
      <c r="AH340" s="416"/>
      <c r="AJ340" s="426" t="s">
        <v>1719</v>
      </c>
      <c r="AM340" s="416"/>
    </row>
    <row r="341" spans="1:39" customFormat="1" ht="14.4" x14ac:dyDescent="0.3">
      <c r="A341" s="427"/>
      <c r="B341" s="425" t="s">
        <v>586</v>
      </c>
      <c r="C341" s="907" t="s">
        <v>1738</v>
      </c>
      <c r="D341" s="907"/>
      <c r="E341" s="907"/>
      <c r="F341" s="428"/>
      <c r="G341" s="429"/>
      <c r="H341" s="429"/>
      <c r="I341" s="429"/>
      <c r="J341" s="430">
        <v>4.34</v>
      </c>
      <c r="K341" s="429"/>
      <c r="L341" s="430">
        <v>0.28999999999999998</v>
      </c>
      <c r="M341" s="431">
        <v>8.16</v>
      </c>
      <c r="N341" s="460">
        <v>2.37</v>
      </c>
      <c r="AF341" s="415"/>
      <c r="AG341" s="416"/>
      <c r="AH341" s="416"/>
      <c r="AJ341" s="426" t="s">
        <v>1738</v>
      </c>
      <c r="AM341" s="416"/>
    </row>
    <row r="342" spans="1:39" customFormat="1" ht="14.4" x14ac:dyDescent="0.3">
      <c r="A342" s="434"/>
      <c r="B342" s="425"/>
      <c r="C342" s="907" t="s">
        <v>1706</v>
      </c>
      <c r="D342" s="907"/>
      <c r="E342" s="907"/>
      <c r="F342" s="428" t="s">
        <v>1707</v>
      </c>
      <c r="G342" s="443">
        <v>13</v>
      </c>
      <c r="H342" s="431">
        <v>1.1499999999999999</v>
      </c>
      <c r="I342" s="459">
        <v>1.0016499999999999</v>
      </c>
      <c r="J342" s="436"/>
      <c r="K342" s="429"/>
      <c r="L342" s="436"/>
      <c r="M342" s="429"/>
      <c r="N342" s="437"/>
      <c r="AF342" s="415"/>
      <c r="AG342" s="416"/>
      <c r="AH342" s="416"/>
      <c r="AK342" s="426" t="s">
        <v>1706</v>
      </c>
      <c r="AM342" s="416"/>
    </row>
    <row r="343" spans="1:39" customFormat="1" ht="14.4" x14ac:dyDescent="0.3">
      <c r="A343" s="434"/>
      <c r="B343" s="425"/>
      <c r="C343" s="907" t="s">
        <v>1720</v>
      </c>
      <c r="D343" s="907"/>
      <c r="E343" s="907"/>
      <c r="F343" s="428" t="s">
        <v>1707</v>
      </c>
      <c r="G343" s="458">
        <v>37.6</v>
      </c>
      <c r="H343" s="431">
        <v>1.1499999999999999</v>
      </c>
      <c r="I343" s="459">
        <v>2.8970799999999999</v>
      </c>
      <c r="J343" s="436"/>
      <c r="K343" s="429"/>
      <c r="L343" s="436"/>
      <c r="M343" s="429"/>
      <c r="N343" s="437"/>
      <c r="AF343" s="415"/>
      <c r="AG343" s="416"/>
      <c r="AH343" s="416"/>
      <c r="AK343" s="426" t="s">
        <v>1720</v>
      </c>
      <c r="AM343" s="416"/>
    </row>
    <row r="344" spans="1:39" customFormat="1" ht="14.4" x14ac:dyDescent="0.3">
      <c r="A344" s="427"/>
      <c r="B344" s="425"/>
      <c r="C344" s="908" t="s">
        <v>1708</v>
      </c>
      <c r="D344" s="908"/>
      <c r="E344" s="908"/>
      <c r="F344" s="438"/>
      <c r="G344" s="439"/>
      <c r="H344" s="439"/>
      <c r="I344" s="439"/>
      <c r="J344" s="441">
        <v>3669</v>
      </c>
      <c r="K344" s="439"/>
      <c r="L344" s="440">
        <v>282.64999999999998</v>
      </c>
      <c r="M344" s="439"/>
      <c r="N344" s="442">
        <v>3987.06</v>
      </c>
      <c r="AF344" s="415"/>
      <c r="AG344" s="416"/>
      <c r="AH344" s="416"/>
      <c r="AL344" s="426" t="s">
        <v>1708</v>
      </c>
      <c r="AM344" s="416"/>
    </row>
    <row r="345" spans="1:39" customFormat="1" ht="14.4" x14ac:dyDescent="0.3">
      <c r="A345" s="434"/>
      <c r="B345" s="425"/>
      <c r="C345" s="907" t="s">
        <v>1709</v>
      </c>
      <c r="D345" s="907"/>
      <c r="E345" s="907"/>
      <c r="F345" s="428"/>
      <c r="G345" s="429"/>
      <c r="H345" s="429"/>
      <c r="I345" s="429"/>
      <c r="J345" s="436"/>
      <c r="K345" s="429"/>
      <c r="L345" s="430">
        <v>46.92</v>
      </c>
      <c r="M345" s="429"/>
      <c r="N345" s="433">
        <v>2100.6</v>
      </c>
      <c r="AF345" s="415"/>
      <c r="AG345" s="416"/>
      <c r="AH345" s="416"/>
      <c r="AK345" s="426" t="s">
        <v>1709</v>
      </c>
      <c r="AM345" s="416"/>
    </row>
    <row r="346" spans="1:39" customFormat="1" ht="21.6" x14ac:dyDescent="0.3">
      <c r="A346" s="434"/>
      <c r="B346" s="425" t="s">
        <v>1802</v>
      </c>
      <c r="C346" s="907" t="s">
        <v>1803</v>
      </c>
      <c r="D346" s="907"/>
      <c r="E346" s="907"/>
      <c r="F346" s="428" t="s">
        <v>1712</v>
      </c>
      <c r="G346" s="443">
        <v>92</v>
      </c>
      <c r="H346" s="429"/>
      <c r="I346" s="443">
        <v>92</v>
      </c>
      <c r="J346" s="436"/>
      <c r="K346" s="429"/>
      <c r="L346" s="430">
        <v>43.17</v>
      </c>
      <c r="M346" s="429"/>
      <c r="N346" s="433">
        <v>1932.55</v>
      </c>
      <c r="AF346" s="415"/>
      <c r="AG346" s="416"/>
      <c r="AH346" s="416"/>
      <c r="AK346" s="426" t="s">
        <v>1803</v>
      </c>
      <c r="AM346" s="416"/>
    </row>
    <row r="347" spans="1:39" customFormat="1" ht="21.6" x14ac:dyDescent="0.3">
      <c r="A347" s="434"/>
      <c r="B347" s="425" t="s">
        <v>1804</v>
      </c>
      <c r="C347" s="907" t="s">
        <v>1805</v>
      </c>
      <c r="D347" s="907"/>
      <c r="E347" s="907"/>
      <c r="F347" s="428" t="s">
        <v>1712</v>
      </c>
      <c r="G347" s="443">
        <v>46</v>
      </c>
      <c r="H347" s="429"/>
      <c r="I347" s="443">
        <v>46</v>
      </c>
      <c r="J347" s="436"/>
      <c r="K347" s="429"/>
      <c r="L347" s="430">
        <v>21.58</v>
      </c>
      <c r="M347" s="429"/>
      <c r="N347" s="460">
        <v>966.28</v>
      </c>
      <c r="AF347" s="415"/>
      <c r="AG347" s="416"/>
      <c r="AH347" s="416"/>
      <c r="AK347" s="426" t="s">
        <v>1805</v>
      </c>
      <c r="AM347" s="416"/>
    </row>
    <row r="348" spans="1:39" customFormat="1" ht="14.4" x14ac:dyDescent="0.3">
      <c r="A348" s="444"/>
      <c r="B348" s="445"/>
      <c r="C348" s="916" t="s">
        <v>1715</v>
      </c>
      <c r="D348" s="916"/>
      <c r="E348" s="916"/>
      <c r="F348" s="419"/>
      <c r="G348" s="420"/>
      <c r="H348" s="420"/>
      <c r="I348" s="420"/>
      <c r="J348" s="422"/>
      <c r="K348" s="420"/>
      <c r="L348" s="449">
        <v>347.4</v>
      </c>
      <c r="M348" s="439"/>
      <c r="N348" s="447">
        <v>6885.89</v>
      </c>
      <c r="AF348" s="415"/>
      <c r="AG348" s="416"/>
      <c r="AH348" s="416"/>
      <c r="AM348" s="416" t="s">
        <v>1715</v>
      </c>
    </row>
    <row r="349" spans="1:39" customFormat="1" ht="14.4" x14ac:dyDescent="0.3">
      <c r="A349" s="417" t="s">
        <v>790</v>
      </c>
      <c r="B349" s="418" t="s">
        <v>1831</v>
      </c>
      <c r="C349" s="916" t="s">
        <v>1832</v>
      </c>
      <c r="D349" s="916"/>
      <c r="E349" s="916"/>
      <c r="F349" s="419" t="s">
        <v>178</v>
      </c>
      <c r="G349" s="420">
        <v>3</v>
      </c>
      <c r="H349" s="421">
        <v>1</v>
      </c>
      <c r="I349" s="421">
        <v>3</v>
      </c>
      <c r="J349" s="422"/>
      <c r="K349" s="420"/>
      <c r="L349" s="422"/>
      <c r="M349" s="420"/>
      <c r="N349" s="423"/>
      <c r="AF349" s="415"/>
      <c r="AG349" s="416"/>
      <c r="AH349" s="416" t="s">
        <v>1832</v>
      </c>
      <c r="AM349" s="416"/>
    </row>
    <row r="350" spans="1:39" customFormat="1" ht="52.2" x14ac:dyDescent="0.3">
      <c r="A350" s="424"/>
      <c r="B350" s="425" t="s">
        <v>1703</v>
      </c>
      <c r="C350" s="917" t="s">
        <v>1704</v>
      </c>
      <c r="D350" s="917"/>
      <c r="E350" s="917"/>
      <c r="F350" s="917"/>
      <c r="G350" s="917"/>
      <c r="H350" s="917"/>
      <c r="I350" s="917"/>
      <c r="J350" s="917"/>
      <c r="K350" s="917"/>
      <c r="L350" s="917"/>
      <c r="M350" s="917"/>
      <c r="N350" s="918"/>
      <c r="AF350" s="415"/>
      <c r="AG350" s="416"/>
      <c r="AH350" s="416"/>
      <c r="AI350" s="426" t="s">
        <v>1704</v>
      </c>
      <c r="AM350" s="416"/>
    </row>
    <row r="351" spans="1:39" customFormat="1" ht="14.4" x14ac:dyDescent="0.3">
      <c r="A351" s="427"/>
      <c r="B351" s="425" t="s">
        <v>758</v>
      </c>
      <c r="C351" s="907" t="s">
        <v>1705</v>
      </c>
      <c r="D351" s="907"/>
      <c r="E351" s="907"/>
      <c r="F351" s="428"/>
      <c r="G351" s="429"/>
      <c r="H351" s="429"/>
      <c r="I351" s="429"/>
      <c r="J351" s="430">
        <v>17.86</v>
      </c>
      <c r="K351" s="431">
        <v>1.1499999999999999</v>
      </c>
      <c r="L351" s="430">
        <v>61.62</v>
      </c>
      <c r="M351" s="431">
        <v>44.77</v>
      </c>
      <c r="N351" s="433">
        <v>2758.73</v>
      </c>
      <c r="AF351" s="415"/>
      <c r="AG351" s="416"/>
      <c r="AH351" s="416"/>
      <c r="AJ351" s="426" t="s">
        <v>1705</v>
      </c>
      <c r="AM351" s="416"/>
    </row>
    <row r="352" spans="1:39" customFormat="1" ht="14.4" x14ac:dyDescent="0.3">
      <c r="A352" s="434"/>
      <c r="B352" s="425"/>
      <c r="C352" s="907" t="s">
        <v>1706</v>
      </c>
      <c r="D352" s="907"/>
      <c r="E352" s="907"/>
      <c r="F352" s="428" t="s">
        <v>1707</v>
      </c>
      <c r="G352" s="431">
        <v>2.27</v>
      </c>
      <c r="H352" s="431">
        <v>1.1499999999999999</v>
      </c>
      <c r="I352" s="453">
        <v>7.8315000000000001</v>
      </c>
      <c r="J352" s="436"/>
      <c r="K352" s="429"/>
      <c r="L352" s="436"/>
      <c r="M352" s="429"/>
      <c r="N352" s="437"/>
      <c r="AF352" s="415"/>
      <c r="AG352" s="416"/>
      <c r="AH352" s="416"/>
      <c r="AK352" s="426" t="s">
        <v>1706</v>
      </c>
      <c r="AM352" s="416"/>
    </row>
    <row r="353" spans="1:39" customFormat="1" ht="14.4" x14ac:dyDescent="0.3">
      <c r="A353" s="427"/>
      <c r="B353" s="425"/>
      <c r="C353" s="908" t="s">
        <v>1708</v>
      </c>
      <c r="D353" s="908"/>
      <c r="E353" s="908"/>
      <c r="F353" s="438"/>
      <c r="G353" s="439"/>
      <c r="H353" s="439"/>
      <c r="I353" s="439"/>
      <c r="J353" s="440">
        <v>17.86</v>
      </c>
      <c r="K353" s="439"/>
      <c r="L353" s="440">
        <v>61.62</v>
      </c>
      <c r="M353" s="439"/>
      <c r="N353" s="442">
        <v>2758.73</v>
      </c>
      <c r="AF353" s="415"/>
      <c r="AG353" s="416"/>
      <c r="AH353" s="416"/>
      <c r="AL353" s="426" t="s">
        <v>1708</v>
      </c>
      <c r="AM353" s="416"/>
    </row>
    <row r="354" spans="1:39" customFormat="1" ht="14.4" x14ac:dyDescent="0.3">
      <c r="A354" s="434"/>
      <c r="B354" s="425"/>
      <c r="C354" s="907" t="s">
        <v>1709</v>
      </c>
      <c r="D354" s="907"/>
      <c r="E354" s="907"/>
      <c r="F354" s="428"/>
      <c r="G354" s="429"/>
      <c r="H354" s="429"/>
      <c r="I354" s="429"/>
      <c r="J354" s="436"/>
      <c r="K354" s="429"/>
      <c r="L354" s="430">
        <v>61.62</v>
      </c>
      <c r="M354" s="429"/>
      <c r="N354" s="433">
        <v>2758.73</v>
      </c>
      <c r="AF354" s="415"/>
      <c r="AG354" s="416"/>
      <c r="AH354" s="416"/>
      <c r="AK354" s="426" t="s">
        <v>1709</v>
      </c>
      <c r="AM354" s="416"/>
    </row>
    <row r="355" spans="1:39" customFormat="1" ht="21.6" x14ac:dyDescent="0.3">
      <c r="A355" s="434"/>
      <c r="B355" s="425" t="s">
        <v>1833</v>
      </c>
      <c r="C355" s="907" t="s">
        <v>1834</v>
      </c>
      <c r="D355" s="907"/>
      <c r="E355" s="907"/>
      <c r="F355" s="428" t="s">
        <v>1712</v>
      </c>
      <c r="G355" s="443">
        <v>89</v>
      </c>
      <c r="H355" s="429"/>
      <c r="I355" s="443">
        <v>89</v>
      </c>
      <c r="J355" s="436"/>
      <c r="K355" s="429"/>
      <c r="L355" s="430">
        <v>54.84</v>
      </c>
      <c r="M355" s="429"/>
      <c r="N355" s="433">
        <v>2455.27</v>
      </c>
      <c r="AF355" s="415"/>
      <c r="AG355" s="416"/>
      <c r="AH355" s="416"/>
      <c r="AK355" s="426" t="s">
        <v>1834</v>
      </c>
      <c r="AM355" s="416"/>
    </row>
    <row r="356" spans="1:39" customFormat="1" ht="21.6" x14ac:dyDescent="0.3">
      <c r="A356" s="434"/>
      <c r="B356" s="425" t="s">
        <v>1835</v>
      </c>
      <c r="C356" s="907" t="s">
        <v>1836</v>
      </c>
      <c r="D356" s="907"/>
      <c r="E356" s="907"/>
      <c r="F356" s="428" t="s">
        <v>1712</v>
      </c>
      <c r="G356" s="443">
        <v>44</v>
      </c>
      <c r="H356" s="429"/>
      <c r="I356" s="443">
        <v>44</v>
      </c>
      <c r="J356" s="436"/>
      <c r="K356" s="429"/>
      <c r="L356" s="430">
        <v>27.11</v>
      </c>
      <c r="M356" s="429"/>
      <c r="N356" s="433">
        <v>1213.8399999999999</v>
      </c>
      <c r="AF356" s="415"/>
      <c r="AG356" s="416"/>
      <c r="AH356" s="416"/>
      <c r="AK356" s="426" t="s">
        <v>1836</v>
      </c>
      <c r="AM356" s="416"/>
    </row>
    <row r="357" spans="1:39" customFormat="1" ht="14.4" x14ac:dyDescent="0.3">
      <c r="A357" s="444"/>
      <c r="B357" s="445"/>
      <c r="C357" s="916" t="s">
        <v>1715</v>
      </c>
      <c r="D357" s="916"/>
      <c r="E357" s="916"/>
      <c r="F357" s="419"/>
      <c r="G357" s="420"/>
      <c r="H357" s="420"/>
      <c r="I357" s="420"/>
      <c r="J357" s="422"/>
      <c r="K357" s="420"/>
      <c r="L357" s="449">
        <v>143.57</v>
      </c>
      <c r="M357" s="439"/>
      <c r="N357" s="447">
        <v>6427.84</v>
      </c>
      <c r="AF357" s="415"/>
      <c r="AG357" s="416"/>
      <c r="AH357" s="416"/>
      <c r="AM357" s="416" t="s">
        <v>1715</v>
      </c>
    </row>
    <row r="358" spans="1:39" customFormat="1" ht="31.8" x14ac:dyDescent="0.3">
      <c r="A358" s="417" t="s">
        <v>801</v>
      </c>
      <c r="B358" s="418" t="s">
        <v>1837</v>
      </c>
      <c r="C358" s="916" t="s">
        <v>1838</v>
      </c>
      <c r="D358" s="916"/>
      <c r="E358" s="916"/>
      <c r="F358" s="419" t="s">
        <v>193</v>
      </c>
      <c r="G358" s="420">
        <v>76.8</v>
      </c>
      <c r="H358" s="421">
        <v>1</v>
      </c>
      <c r="I358" s="456">
        <v>76.8</v>
      </c>
      <c r="J358" s="422"/>
      <c r="K358" s="420"/>
      <c r="L358" s="422"/>
      <c r="M358" s="420"/>
      <c r="N358" s="423"/>
      <c r="AF358" s="415"/>
      <c r="AG358" s="416"/>
      <c r="AH358" s="416" t="s">
        <v>1838</v>
      </c>
      <c r="AM358" s="416"/>
    </row>
    <row r="359" spans="1:39" customFormat="1" ht="20.399999999999999" x14ac:dyDescent="0.3">
      <c r="A359" s="424"/>
      <c r="B359" s="425" t="s">
        <v>1736</v>
      </c>
      <c r="C359" s="917" t="s">
        <v>1737</v>
      </c>
      <c r="D359" s="917"/>
      <c r="E359" s="917"/>
      <c r="F359" s="917"/>
      <c r="G359" s="917"/>
      <c r="H359" s="917"/>
      <c r="I359" s="917"/>
      <c r="J359" s="917"/>
      <c r="K359" s="917"/>
      <c r="L359" s="917"/>
      <c r="M359" s="917"/>
      <c r="N359" s="918"/>
      <c r="AF359" s="415"/>
      <c r="AG359" s="416"/>
      <c r="AH359" s="416"/>
      <c r="AI359" s="426" t="s">
        <v>1737</v>
      </c>
      <c r="AM359" s="416"/>
    </row>
    <row r="360" spans="1:39" customFormat="1" ht="52.2" x14ac:dyDescent="0.3">
      <c r="A360" s="424"/>
      <c r="B360" s="425" t="s">
        <v>1703</v>
      </c>
      <c r="C360" s="917" t="s">
        <v>1704</v>
      </c>
      <c r="D360" s="917"/>
      <c r="E360" s="917"/>
      <c r="F360" s="917"/>
      <c r="G360" s="917"/>
      <c r="H360" s="917"/>
      <c r="I360" s="917"/>
      <c r="J360" s="917"/>
      <c r="K360" s="917"/>
      <c r="L360" s="917"/>
      <c r="M360" s="917"/>
      <c r="N360" s="918"/>
      <c r="AF360" s="415"/>
      <c r="AG360" s="416"/>
      <c r="AH360" s="416"/>
      <c r="AI360" s="426" t="s">
        <v>1704</v>
      </c>
      <c r="AM360" s="416"/>
    </row>
    <row r="361" spans="1:39" customFormat="1" ht="14.4" x14ac:dyDescent="0.3">
      <c r="A361" s="427"/>
      <c r="B361" s="425" t="s">
        <v>758</v>
      </c>
      <c r="C361" s="907" t="s">
        <v>1705</v>
      </c>
      <c r="D361" s="907"/>
      <c r="E361" s="907"/>
      <c r="F361" s="428"/>
      <c r="G361" s="429"/>
      <c r="H361" s="429"/>
      <c r="I361" s="429"/>
      <c r="J361" s="430">
        <v>7.76</v>
      </c>
      <c r="K361" s="431">
        <v>0.92</v>
      </c>
      <c r="L361" s="430">
        <v>548.29</v>
      </c>
      <c r="M361" s="431">
        <v>44.77</v>
      </c>
      <c r="N361" s="433">
        <v>24546.94</v>
      </c>
      <c r="AF361" s="415"/>
      <c r="AG361" s="416"/>
      <c r="AH361" s="416"/>
      <c r="AJ361" s="426" t="s">
        <v>1705</v>
      </c>
      <c r="AM361" s="416"/>
    </row>
    <row r="362" spans="1:39" customFormat="1" ht="14.4" x14ac:dyDescent="0.3">
      <c r="A362" s="427"/>
      <c r="B362" s="425" t="s">
        <v>761</v>
      </c>
      <c r="C362" s="907" t="s">
        <v>1718</v>
      </c>
      <c r="D362" s="907"/>
      <c r="E362" s="907"/>
      <c r="F362" s="428"/>
      <c r="G362" s="429"/>
      <c r="H362" s="429"/>
      <c r="I362" s="429"/>
      <c r="J362" s="432">
        <v>1293.92</v>
      </c>
      <c r="K362" s="431">
        <v>0.92</v>
      </c>
      <c r="L362" s="432">
        <v>91423.21</v>
      </c>
      <c r="M362" s="431">
        <v>13.24</v>
      </c>
      <c r="N362" s="433">
        <v>1210443.3</v>
      </c>
      <c r="AF362" s="415"/>
      <c r="AG362" s="416"/>
      <c r="AH362" s="416"/>
      <c r="AJ362" s="426" t="s">
        <v>1718</v>
      </c>
      <c r="AM362" s="416"/>
    </row>
    <row r="363" spans="1:39" customFormat="1" ht="14.4" x14ac:dyDescent="0.3">
      <c r="A363" s="427"/>
      <c r="B363" s="425" t="s">
        <v>1144</v>
      </c>
      <c r="C363" s="907" t="s">
        <v>1719</v>
      </c>
      <c r="D363" s="907"/>
      <c r="E363" s="907"/>
      <c r="F363" s="428"/>
      <c r="G363" s="429"/>
      <c r="H363" s="429"/>
      <c r="I363" s="429"/>
      <c r="J363" s="430">
        <v>32.909999999999997</v>
      </c>
      <c r="K363" s="431">
        <v>0.92</v>
      </c>
      <c r="L363" s="432">
        <v>2325.29</v>
      </c>
      <c r="M363" s="431">
        <v>44.77</v>
      </c>
      <c r="N363" s="433">
        <v>104103.23</v>
      </c>
      <c r="AF363" s="415"/>
      <c r="AG363" s="416"/>
      <c r="AH363" s="416"/>
      <c r="AJ363" s="426" t="s">
        <v>1719</v>
      </c>
      <c r="AM363" s="416"/>
    </row>
    <row r="364" spans="1:39" customFormat="1" ht="14.4" x14ac:dyDescent="0.3">
      <c r="A364" s="427"/>
      <c r="B364" s="425" t="s">
        <v>586</v>
      </c>
      <c r="C364" s="907" t="s">
        <v>1738</v>
      </c>
      <c r="D364" s="907"/>
      <c r="E364" s="907"/>
      <c r="F364" s="428"/>
      <c r="G364" s="429"/>
      <c r="H364" s="429"/>
      <c r="I364" s="429"/>
      <c r="J364" s="430">
        <v>21.02</v>
      </c>
      <c r="K364" s="443">
        <v>0</v>
      </c>
      <c r="L364" s="430">
        <v>0</v>
      </c>
      <c r="M364" s="431">
        <v>8.16</v>
      </c>
      <c r="N364" s="437"/>
      <c r="AF364" s="415"/>
      <c r="AG364" s="416"/>
      <c r="AH364" s="416"/>
      <c r="AJ364" s="426" t="s">
        <v>1738</v>
      </c>
      <c r="AM364" s="416"/>
    </row>
    <row r="365" spans="1:39" customFormat="1" ht="14.4" x14ac:dyDescent="0.3">
      <c r="A365" s="434"/>
      <c r="B365" s="425"/>
      <c r="C365" s="907" t="s">
        <v>1706</v>
      </c>
      <c r="D365" s="907"/>
      <c r="E365" s="907"/>
      <c r="F365" s="428" t="s">
        <v>1707</v>
      </c>
      <c r="G365" s="431">
        <v>0.91</v>
      </c>
      <c r="H365" s="431">
        <v>0.92</v>
      </c>
      <c r="I365" s="459">
        <v>64.296959999999999</v>
      </c>
      <c r="J365" s="436"/>
      <c r="K365" s="429"/>
      <c r="L365" s="436"/>
      <c r="M365" s="429"/>
      <c r="N365" s="437"/>
      <c r="AF365" s="415"/>
      <c r="AG365" s="416"/>
      <c r="AH365" s="416"/>
      <c r="AK365" s="426" t="s">
        <v>1706</v>
      </c>
      <c r="AM365" s="416"/>
    </row>
    <row r="366" spans="1:39" customFormat="1" ht="14.4" x14ac:dyDescent="0.3">
      <c r="A366" s="434"/>
      <c r="B366" s="425"/>
      <c r="C366" s="907" t="s">
        <v>1720</v>
      </c>
      <c r="D366" s="907"/>
      <c r="E366" s="907"/>
      <c r="F366" s="428" t="s">
        <v>1707</v>
      </c>
      <c r="G366" s="458">
        <v>2.1</v>
      </c>
      <c r="H366" s="431">
        <v>0.92</v>
      </c>
      <c r="I366" s="453">
        <v>148.3776</v>
      </c>
      <c r="J366" s="436"/>
      <c r="K366" s="429"/>
      <c r="L366" s="436"/>
      <c r="M366" s="429"/>
      <c r="N366" s="437"/>
      <c r="AF366" s="415"/>
      <c r="AG366" s="416"/>
      <c r="AH366" s="416"/>
      <c r="AK366" s="426" t="s">
        <v>1720</v>
      </c>
      <c r="AM366" s="416"/>
    </row>
    <row r="367" spans="1:39" customFormat="1" ht="14.4" x14ac:dyDescent="0.3">
      <c r="A367" s="427"/>
      <c r="B367" s="425"/>
      <c r="C367" s="908" t="s">
        <v>1708</v>
      </c>
      <c r="D367" s="908"/>
      <c r="E367" s="908"/>
      <c r="F367" s="438"/>
      <c r="G367" s="439"/>
      <c r="H367" s="439"/>
      <c r="I367" s="439"/>
      <c r="J367" s="441">
        <v>1322.7</v>
      </c>
      <c r="K367" s="439"/>
      <c r="L367" s="441">
        <v>91971.5</v>
      </c>
      <c r="M367" s="439"/>
      <c r="N367" s="442">
        <v>1234990.24</v>
      </c>
      <c r="AF367" s="415"/>
      <c r="AG367" s="416"/>
      <c r="AH367" s="416"/>
      <c r="AL367" s="426" t="s">
        <v>1708</v>
      </c>
      <c r="AM367" s="416"/>
    </row>
    <row r="368" spans="1:39" customFormat="1" ht="14.4" x14ac:dyDescent="0.3">
      <c r="A368" s="434"/>
      <c r="B368" s="425"/>
      <c r="C368" s="907" t="s">
        <v>1709</v>
      </c>
      <c r="D368" s="907"/>
      <c r="E368" s="907"/>
      <c r="F368" s="428"/>
      <c r="G368" s="429"/>
      <c r="H368" s="429"/>
      <c r="I368" s="429"/>
      <c r="J368" s="436"/>
      <c r="K368" s="429"/>
      <c r="L368" s="432">
        <v>2873.58</v>
      </c>
      <c r="M368" s="429"/>
      <c r="N368" s="433">
        <v>128650.17</v>
      </c>
      <c r="AF368" s="415"/>
      <c r="AG368" s="416"/>
      <c r="AH368" s="416"/>
      <c r="AK368" s="426" t="s">
        <v>1709</v>
      </c>
      <c r="AM368" s="416"/>
    </row>
    <row r="369" spans="1:41" customFormat="1" ht="31.8" x14ac:dyDescent="0.3">
      <c r="A369" s="434"/>
      <c r="B369" s="425" t="s">
        <v>1761</v>
      </c>
      <c r="C369" s="907" t="s">
        <v>1762</v>
      </c>
      <c r="D369" s="907"/>
      <c r="E369" s="907"/>
      <c r="F369" s="428" t="s">
        <v>1712</v>
      </c>
      <c r="G369" s="443">
        <v>91</v>
      </c>
      <c r="H369" s="429"/>
      <c r="I369" s="443">
        <v>91</v>
      </c>
      <c r="J369" s="436"/>
      <c r="K369" s="429"/>
      <c r="L369" s="432">
        <v>2614.96</v>
      </c>
      <c r="M369" s="429"/>
      <c r="N369" s="433">
        <v>117071.65</v>
      </c>
      <c r="AF369" s="415"/>
      <c r="AG369" s="416"/>
      <c r="AH369" s="416"/>
      <c r="AK369" s="426" t="s">
        <v>1762</v>
      </c>
      <c r="AM369" s="416"/>
    </row>
    <row r="370" spans="1:41" customFormat="1" ht="31.8" x14ac:dyDescent="0.3">
      <c r="A370" s="434"/>
      <c r="B370" s="425" t="s">
        <v>1763</v>
      </c>
      <c r="C370" s="907" t="s">
        <v>1764</v>
      </c>
      <c r="D370" s="907"/>
      <c r="E370" s="907"/>
      <c r="F370" s="428" t="s">
        <v>1712</v>
      </c>
      <c r="G370" s="443">
        <v>52</v>
      </c>
      <c r="H370" s="429"/>
      <c r="I370" s="443">
        <v>52</v>
      </c>
      <c r="J370" s="436"/>
      <c r="K370" s="429"/>
      <c r="L370" s="432">
        <v>1494.26</v>
      </c>
      <c r="M370" s="429"/>
      <c r="N370" s="433">
        <v>66898.09</v>
      </c>
      <c r="AF370" s="415"/>
      <c r="AG370" s="416"/>
      <c r="AH370" s="416"/>
      <c r="AK370" s="426" t="s">
        <v>1764</v>
      </c>
      <c r="AM370" s="416"/>
    </row>
    <row r="371" spans="1:41" customFormat="1" ht="14.4" x14ac:dyDescent="0.3">
      <c r="A371" s="444"/>
      <c r="B371" s="445"/>
      <c r="C371" s="916" t="s">
        <v>1715</v>
      </c>
      <c r="D371" s="916"/>
      <c r="E371" s="916"/>
      <c r="F371" s="419"/>
      <c r="G371" s="420"/>
      <c r="H371" s="420"/>
      <c r="I371" s="420"/>
      <c r="J371" s="422"/>
      <c r="K371" s="420"/>
      <c r="L371" s="446">
        <v>96080.72</v>
      </c>
      <c r="M371" s="439"/>
      <c r="N371" s="447">
        <v>1418959.98</v>
      </c>
      <c r="AF371" s="415"/>
      <c r="AG371" s="416"/>
      <c r="AH371" s="416"/>
      <c r="AM371" s="416" t="s">
        <v>1715</v>
      </c>
    </row>
    <row r="372" spans="1:41" customFormat="1" ht="31.8" x14ac:dyDescent="0.3">
      <c r="A372" s="417" t="s">
        <v>1839</v>
      </c>
      <c r="B372" s="418" t="s">
        <v>1798</v>
      </c>
      <c r="C372" s="916" t="s">
        <v>1799</v>
      </c>
      <c r="D372" s="916"/>
      <c r="E372" s="916"/>
      <c r="F372" s="419" t="s">
        <v>1800</v>
      </c>
      <c r="G372" s="420">
        <v>1.08</v>
      </c>
      <c r="H372" s="421">
        <v>1</v>
      </c>
      <c r="I372" s="448">
        <v>1.08</v>
      </c>
      <c r="J372" s="422"/>
      <c r="K372" s="420"/>
      <c r="L372" s="422"/>
      <c r="M372" s="420"/>
      <c r="N372" s="423"/>
      <c r="AF372" s="415"/>
      <c r="AG372" s="416"/>
      <c r="AH372" s="416" t="s">
        <v>1799</v>
      </c>
      <c r="AM372" s="416"/>
    </row>
    <row r="373" spans="1:41" customFormat="1" ht="14.4" x14ac:dyDescent="0.3">
      <c r="A373" s="450"/>
      <c r="B373" s="451"/>
      <c r="C373" s="907" t="s">
        <v>1840</v>
      </c>
      <c r="D373" s="907"/>
      <c r="E373" s="907"/>
      <c r="F373" s="907"/>
      <c r="G373" s="907"/>
      <c r="H373" s="907"/>
      <c r="I373" s="907"/>
      <c r="J373" s="907"/>
      <c r="K373" s="907"/>
      <c r="L373" s="907"/>
      <c r="M373" s="907"/>
      <c r="N373" s="919"/>
      <c r="AF373" s="415"/>
      <c r="AG373" s="416"/>
      <c r="AH373" s="416"/>
      <c r="AM373" s="416"/>
      <c r="AO373" s="426" t="s">
        <v>1840</v>
      </c>
    </row>
    <row r="374" spans="1:41" customFormat="1" ht="52.2" x14ac:dyDescent="0.3">
      <c r="A374" s="424"/>
      <c r="B374" s="425" t="s">
        <v>1703</v>
      </c>
      <c r="C374" s="917" t="s">
        <v>1704</v>
      </c>
      <c r="D374" s="917"/>
      <c r="E374" s="917"/>
      <c r="F374" s="917"/>
      <c r="G374" s="917"/>
      <c r="H374" s="917"/>
      <c r="I374" s="917"/>
      <c r="J374" s="917"/>
      <c r="K374" s="917"/>
      <c r="L374" s="917"/>
      <c r="M374" s="917"/>
      <c r="N374" s="918"/>
      <c r="AF374" s="415"/>
      <c r="AG374" s="416"/>
      <c r="AH374" s="416"/>
      <c r="AI374" s="426" t="s">
        <v>1704</v>
      </c>
      <c r="AM374" s="416"/>
    </row>
    <row r="375" spans="1:41" customFormat="1" ht="14.4" x14ac:dyDescent="0.3">
      <c r="A375" s="427"/>
      <c r="B375" s="425" t="s">
        <v>761</v>
      </c>
      <c r="C375" s="907" t="s">
        <v>1718</v>
      </c>
      <c r="D375" s="907"/>
      <c r="E375" s="907"/>
      <c r="F375" s="428"/>
      <c r="G375" s="429"/>
      <c r="H375" s="429"/>
      <c r="I375" s="429"/>
      <c r="J375" s="430">
        <v>479.33</v>
      </c>
      <c r="K375" s="431">
        <v>1.1499999999999999</v>
      </c>
      <c r="L375" s="430">
        <v>595.33000000000004</v>
      </c>
      <c r="M375" s="431">
        <v>13.24</v>
      </c>
      <c r="N375" s="433">
        <v>7882.17</v>
      </c>
      <c r="AF375" s="415"/>
      <c r="AG375" s="416"/>
      <c r="AH375" s="416"/>
      <c r="AJ375" s="426" t="s">
        <v>1718</v>
      </c>
      <c r="AM375" s="416"/>
    </row>
    <row r="376" spans="1:41" customFormat="1" ht="14.4" x14ac:dyDescent="0.3">
      <c r="A376" s="427"/>
      <c r="B376" s="425" t="s">
        <v>1144</v>
      </c>
      <c r="C376" s="907" t="s">
        <v>1719</v>
      </c>
      <c r="D376" s="907"/>
      <c r="E376" s="907"/>
      <c r="F376" s="428"/>
      <c r="G376" s="429"/>
      <c r="H376" s="429"/>
      <c r="I376" s="429"/>
      <c r="J376" s="430">
        <v>93.5</v>
      </c>
      <c r="K376" s="431">
        <v>1.1499999999999999</v>
      </c>
      <c r="L376" s="430">
        <v>116.13</v>
      </c>
      <c r="M376" s="431">
        <v>44.77</v>
      </c>
      <c r="N376" s="433">
        <v>5199.1400000000003</v>
      </c>
      <c r="AF376" s="415"/>
      <c r="AG376" s="416"/>
      <c r="AH376" s="416"/>
      <c r="AJ376" s="426" t="s">
        <v>1719</v>
      </c>
      <c r="AM376" s="416"/>
    </row>
    <row r="377" spans="1:41" customFormat="1" ht="14.4" x14ac:dyDescent="0.3">
      <c r="A377" s="434"/>
      <c r="B377" s="425"/>
      <c r="C377" s="907" t="s">
        <v>1720</v>
      </c>
      <c r="D377" s="907"/>
      <c r="E377" s="907"/>
      <c r="F377" s="428" t="s">
        <v>1707</v>
      </c>
      <c r="G377" s="431">
        <v>8.06</v>
      </c>
      <c r="H377" s="431">
        <v>1.1499999999999999</v>
      </c>
      <c r="I377" s="459">
        <v>10.01052</v>
      </c>
      <c r="J377" s="436"/>
      <c r="K377" s="429"/>
      <c r="L377" s="436"/>
      <c r="M377" s="429"/>
      <c r="N377" s="437"/>
      <c r="AF377" s="415"/>
      <c r="AG377" s="416"/>
      <c r="AH377" s="416"/>
      <c r="AK377" s="426" t="s">
        <v>1720</v>
      </c>
      <c r="AM377" s="416"/>
    </row>
    <row r="378" spans="1:41" customFormat="1" ht="14.4" x14ac:dyDescent="0.3">
      <c r="A378" s="427"/>
      <c r="B378" s="425"/>
      <c r="C378" s="908" t="s">
        <v>1708</v>
      </c>
      <c r="D378" s="908"/>
      <c r="E378" s="908"/>
      <c r="F378" s="438"/>
      <c r="G378" s="439"/>
      <c r="H378" s="439"/>
      <c r="I378" s="439"/>
      <c r="J378" s="440">
        <v>479.33</v>
      </c>
      <c r="K378" s="439"/>
      <c r="L378" s="440">
        <v>595.33000000000004</v>
      </c>
      <c r="M378" s="439"/>
      <c r="N378" s="442">
        <v>7882.17</v>
      </c>
      <c r="AF378" s="415"/>
      <c r="AG378" s="416"/>
      <c r="AH378" s="416"/>
      <c r="AL378" s="426" t="s">
        <v>1708</v>
      </c>
      <c r="AM378" s="416"/>
    </row>
    <row r="379" spans="1:41" customFormat="1" ht="14.4" x14ac:dyDescent="0.3">
      <c r="A379" s="434"/>
      <c r="B379" s="425"/>
      <c r="C379" s="907" t="s">
        <v>1709</v>
      </c>
      <c r="D379" s="907"/>
      <c r="E379" s="907"/>
      <c r="F379" s="428"/>
      <c r="G379" s="429"/>
      <c r="H379" s="429"/>
      <c r="I379" s="429"/>
      <c r="J379" s="436"/>
      <c r="K379" s="429"/>
      <c r="L379" s="430">
        <v>116.13</v>
      </c>
      <c r="M379" s="429"/>
      <c r="N379" s="433">
        <v>5199.1400000000003</v>
      </c>
      <c r="AF379" s="415"/>
      <c r="AG379" s="416"/>
      <c r="AH379" s="416"/>
      <c r="AK379" s="426" t="s">
        <v>1709</v>
      </c>
      <c r="AM379" s="416"/>
    </row>
    <row r="380" spans="1:41" customFormat="1" ht="21.6" x14ac:dyDescent="0.3">
      <c r="A380" s="434"/>
      <c r="B380" s="425" t="s">
        <v>1802</v>
      </c>
      <c r="C380" s="907" t="s">
        <v>1803</v>
      </c>
      <c r="D380" s="907"/>
      <c r="E380" s="907"/>
      <c r="F380" s="428" t="s">
        <v>1712</v>
      </c>
      <c r="G380" s="443">
        <v>92</v>
      </c>
      <c r="H380" s="429"/>
      <c r="I380" s="443">
        <v>92</v>
      </c>
      <c r="J380" s="436"/>
      <c r="K380" s="429"/>
      <c r="L380" s="430">
        <v>106.84</v>
      </c>
      <c r="M380" s="429"/>
      <c r="N380" s="433">
        <v>4783.21</v>
      </c>
      <c r="AF380" s="415"/>
      <c r="AG380" s="416"/>
      <c r="AH380" s="416"/>
      <c r="AK380" s="426" t="s">
        <v>1803</v>
      </c>
      <c r="AM380" s="416"/>
    </row>
    <row r="381" spans="1:41" customFormat="1" ht="21.6" x14ac:dyDescent="0.3">
      <c r="A381" s="434"/>
      <c r="B381" s="425" t="s">
        <v>1804</v>
      </c>
      <c r="C381" s="907" t="s">
        <v>1805</v>
      </c>
      <c r="D381" s="907"/>
      <c r="E381" s="907"/>
      <c r="F381" s="428" t="s">
        <v>1712</v>
      </c>
      <c r="G381" s="443">
        <v>46</v>
      </c>
      <c r="H381" s="429"/>
      <c r="I381" s="443">
        <v>46</v>
      </c>
      <c r="J381" s="436"/>
      <c r="K381" s="429"/>
      <c r="L381" s="430">
        <v>53.42</v>
      </c>
      <c r="M381" s="429"/>
      <c r="N381" s="433">
        <v>2391.6</v>
      </c>
      <c r="AF381" s="415"/>
      <c r="AG381" s="416"/>
      <c r="AH381" s="416"/>
      <c r="AK381" s="426" t="s">
        <v>1805</v>
      </c>
      <c r="AM381" s="416"/>
    </row>
    <row r="382" spans="1:41" customFormat="1" ht="14.4" x14ac:dyDescent="0.3">
      <c r="A382" s="444"/>
      <c r="B382" s="445"/>
      <c r="C382" s="916" t="s">
        <v>1715</v>
      </c>
      <c r="D382" s="916"/>
      <c r="E382" s="916"/>
      <c r="F382" s="419"/>
      <c r="G382" s="420"/>
      <c r="H382" s="420"/>
      <c r="I382" s="420"/>
      <c r="J382" s="422"/>
      <c r="K382" s="420"/>
      <c r="L382" s="449">
        <v>755.59</v>
      </c>
      <c r="M382" s="439"/>
      <c r="N382" s="447">
        <v>15056.98</v>
      </c>
      <c r="AF382" s="415"/>
      <c r="AG382" s="416"/>
      <c r="AH382" s="416"/>
      <c r="AM382" s="416" t="s">
        <v>1715</v>
      </c>
    </row>
    <row r="383" spans="1:41" customFormat="1" ht="20.399999999999999" x14ac:dyDescent="0.3">
      <c r="A383" s="417" t="s">
        <v>1841</v>
      </c>
      <c r="B383" s="418" t="s">
        <v>1807</v>
      </c>
      <c r="C383" s="916" t="s">
        <v>1808</v>
      </c>
      <c r="D383" s="916"/>
      <c r="E383" s="916"/>
      <c r="F383" s="419" t="s">
        <v>193</v>
      </c>
      <c r="G383" s="420">
        <v>1003</v>
      </c>
      <c r="H383" s="421">
        <v>1</v>
      </c>
      <c r="I383" s="421">
        <v>1003</v>
      </c>
      <c r="J383" s="449">
        <v>71.900000000000006</v>
      </c>
      <c r="K383" s="452">
        <v>1.012</v>
      </c>
      <c r="L383" s="446">
        <v>72981.09</v>
      </c>
      <c r="M383" s="448">
        <v>8.16</v>
      </c>
      <c r="N383" s="447">
        <v>595525.68999999994</v>
      </c>
      <c r="AF383" s="415"/>
      <c r="AG383" s="416"/>
      <c r="AH383" s="416" t="s">
        <v>1808</v>
      </c>
      <c r="AM383" s="416"/>
    </row>
    <row r="384" spans="1:41" customFormat="1" ht="14.4" x14ac:dyDescent="0.3">
      <c r="A384" s="444"/>
      <c r="B384" s="445"/>
      <c r="C384" s="907" t="s">
        <v>1728</v>
      </c>
      <c r="D384" s="907"/>
      <c r="E384" s="907"/>
      <c r="F384" s="907"/>
      <c r="G384" s="907"/>
      <c r="H384" s="907"/>
      <c r="I384" s="907"/>
      <c r="J384" s="907"/>
      <c r="K384" s="907"/>
      <c r="L384" s="907"/>
      <c r="M384" s="907"/>
      <c r="N384" s="919"/>
      <c r="AF384" s="415"/>
      <c r="AG384" s="416"/>
      <c r="AH384" s="416"/>
      <c r="AM384" s="416"/>
      <c r="AN384" s="426" t="s">
        <v>1728</v>
      </c>
    </row>
    <row r="385" spans="1:42" customFormat="1" ht="14.4" x14ac:dyDescent="0.3">
      <c r="A385" s="450"/>
      <c r="B385" s="451"/>
      <c r="C385" s="907" t="s">
        <v>1809</v>
      </c>
      <c r="D385" s="907"/>
      <c r="E385" s="907"/>
      <c r="F385" s="907"/>
      <c r="G385" s="907"/>
      <c r="H385" s="907"/>
      <c r="I385" s="907"/>
      <c r="J385" s="907"/>
      <c r="K385" s="907"/>
      <c r="L385" s="907"/>
      <c r="M385" s="907"/>
      <c r="N385" s="919"/>
      <c r="AF385" s="415"/>
      <c r="AG385" s="416"/>
      <c r="AH385" s="416"/>
      <c r="AM385" s="416"/>
      <c r="AP385" s="426" t="s">
        <v>1809</v>
      </c>
    </row>
    <row r="386" spans="1:42" customFormat="1" ht="14.4" x14ac:dyDescent="0.3">
      <c r="A386" s="424"/>
      <c r="B386" s="425"/>
      <c r="C386" s="917" t="s">
        <v>1810</v>
      </c>
      <c r="D386" s="917"/>
      <c r="E386" s="917"/>
      <c r="F386" s="917"/>
      <c r="G386" s="917"/>
      <c r="H386" s="917"/>
      <c r="I386" s="917"/>
      <c r="J386" s="917"/>
      <c r="K386" s="917"/>
      <c r="L386" s="917"/>
      <c r="M386" s="917"/>
      <c r="N386" s="918"/>
      <c r="AF386" s="415"/>
      <c r="AG386" s="416"/>
      <c r="AH386" s="416"/>
      <c r="AI386" s="426" t="s">
        <v>1810</v>
      </c>
      <c r="AM386" s="416"/>
    </row>
    <row r="387" spans="1:42" customFormat="1" ht="14.4" x14ac:dyDescent="0.3">
      <c r="A387" s="444"/>
      <c r="B387" s="445"/>
      <c r="C387" s="916" t="s">
        <v>1715</v>
      </c>
      <c r="D387" s="916"/>
      <c r="E387" s="916"/>
      <c r="F387" s="419"/>
      <c r="G387" s="420"/>
      <c r="H387" s="420"/>
      <c r="I387" s="420"/>
      <c r="J387" s="422"/>
      <c r="K387" s="420"/>
      <c r="L387" s="446">
        <v>72981.09</v>
      </c>
      <c r="M387" s="439"/>
      <c r="N387" s="447">
        <v>595525.68999999994</v>
      </c>
      <c r="AF387" s="415"/>
      <c r="AG387" s="416"/>
      <c r="AH387" s="416"/>
      <c r="AM387" s="416" t="s">
        <v>1715</v>
      </c>
    </row>
    <row r="388" spans="1:42" customFormat="1" ht="31.8" x14ac:dyDescent="0.3">
      <c r="A388" s="417" t="s">
        <v>1842</v>
      </c>
      <c r="B388" s="418" t="s">
        <v>1828</v>
      </c>
      <c r="C388" s="916" t="s">
        <v>1829</v>
      </c>
      <c r="D388" s="916"/>
      <c r="E388" s="916"/>
      <c r="F388" s="419" t="s">
        <v>1800</v>
      </c>
      <c r="G388" s="420">
        <v>1.0029999999999999</v>
      </c>
      <c r="H388" s="421">
        <v>1</v>
      </c>
      <c r="I388" s="452">
        <v>1.0029999999999999</v>
      </c>
      <c r="J388" s="422"/>
      <c r="K388" s="420"/>
      <c r="L388" s="422"/>
      <c r="M388" s="420"/>
      <c r="N388" s="423"/>
      <c r="AF388" s="415"/>
      <c r="AG388" s="416"/>
      <c r="AH388" s="416" t="s">
        <v>1829</v>
      </c>
      <c r="AM388" s="416"/>
    </row>
    <row r="389" spans="1:42" customFormat="1" ht="14.4" x14ac:dyDescent="0.3">
      <c r="A389" s="450"/>
      <c r="B389" s="451"/>
      <c r="C389" s="907" t="s">
        <v>1843</v>
      </c>
      <c r="D389" s="907"/>
      <c r="E389" s="907"/>
      <c r="F389" s="907"/>
      <c r="G389" s="907"/>
      <c r="H389" s="907"/>
      <c r="I389" s="907"/>
      <c r="J389" s="907"/>
      <c r="K389" s="907"/>
      <c r="L389" s="907"/>
      <c r="M389" s="907"/>
      <c r="N389" s="919"/>
      <c r="AF389" s="415"/>
      <c r="AG389" s="416"/>
      <c r="AH389" s="416"/>
      <c r="AM389" s="416"/>
      <c r="AO389" s="426" t="s">
        <v>1843</v>
      </c>
    </row>
    <row r="390" spans="1:42" customFormat="1" ht="52.2" x14ac:dyDescent="0.3">
      <c r="A390" s="424"/>
      <c r="B390" s="425" t="s">
        <v>1703</v>
      </c>
      <c r="C390" s="917" t="s">
        <v>1704</v>
      </c>
      <c r="D390" s="917"/>
      <c r="E390" s="917"/>
      <c r="F390" s="917"/>
      <c r="G390" s="917"/>
      <c r="H390" s="917"/>
      <c r="I390" s="917"/>
      <c r="J390" s="917"/>
      <c r="K390" s="917"/>
      <c r="L390" s="917"/>
      <c r="M390" s="917"/>
      <c r="N390" s="918"/>
      <c r="AF390" s="415"/>
      <c r="AG390" s="416"/>
      <c r="AH390" s="416"/>
      <c r="AI390" s="426" t="s">
        <v>1704</v>
      </c>
      <c r="AM390" s="416"/>
    </row>
    <row r="391" spans="1:42" customFormat="1" ht="14.4" x14ac:dyDescent="0.3">
      <c r="A391" s="427"/>
      <c r="B391" s="425" t="s">
        <v>758</v>
      </c>
      <c r="C391" s="907" t="s">
        <v>1705</v>
      </c>
      <c r="D391" s="907"/>
      <c r="E391" s="907"/>
      <c r="F391" s="428"/>
      <c r="G391" s="429"/>
      <c r="H391" s="429"/>
      <c r="I391" s="429"/>
      <c r="J391" s="430">
        <v>101.4</v>
      </c>
      <c r="K391" s="431">
        <v>1.1499999999999999</v>
      </c>
      <c r="L391" s="430">
        <v>116.96</v>
      </c>
      <c r="M391" s="431">
        <v>44.77</v>
      </c>
      <c r="N391" s="433">
        <v>5236.3</v>
      </c>
      <c r="AF391" s="415"/>
      <c r="AG391" s="416"/>
      <c r="AH391" s="416"/>
      <c r="AJ391" s="426" t="s">
        <v>1705</v>
      </c>
      <c r="AM391" s="416"/>
    </row>
    <row r="392" spans="1:42" customFormat="1" ht="14.4" x14ac:dyDescent="0.3">
      <c r="A392" s="427"/>
      <c r="B392" s="425" t="s">
        <v>761</v>
      </c>
      <c r="C392" s="907" t="s">
        <v>1718</v>
      </c>
      <c r="D392" s="907"/>
      <c r="E392" s="907"/>
      <c r="F392" s="428"/>
      <c r="G392" s="429"/>
      <c r="H392" s="429"/>
      <c r="I392" s="429"/>
      <c r="J392" s="432">
        <v>3563.26</v>
      </c>
      <c r="K392" s="431">
        <v>1.1499999999999999</v>
      </c>
      <c r="L392" s="432">
        <v>4110.04</v>
      </c>
      <c r="M392" s="431">
        <v>13.24</v>
      </c>
      <c r="N392" s="433">
        <v>54416.93</v>
      </c>
      <c r="AF392" s="415"/>
      <c r="AG392" s="416"/>
      <c r="AH392" s="416"/>
      <c r="AJ392" s="426" t="s">
        <v>1718</v>
      </c>
      <c r="AM392" s="416"/>
    </row>
    <row r="393" spans="1:42" customFormat="1" ht="14.4" x14ac:dyDescent="0.3">
      <c r="A393" s="427"/>
      <c r="B393" s="425" t="s">
        <v>1144</v>
      </c>
      <c r="C393" s="907" t="s">
        <v>1719</v>
      </c>
      <c r="D393" s="907"/>
      <c r="E393" s="907"/>
      <c r="F393" s="428"/>
      <c r="G393" s="429"/>
      <c r="H393" s="429"/>
      <c r="I393" s="429"/>
      <c r="J393" s="430">
        <v>507.6</v>
      </c>
      <c r="K393" s="431">
        <v>1.1499999999999999</v>
      </c>
      <c r="L393" s="430">
        <v>585.49</v>
      </c>
      <c r="M393" s="431">
        <v>44.77</v>
      </c>
      <c r="N393" s="433">
        <v>26212.39</v>
      </c>
      <c r="AF393" s="415"/>
      <c r="AG393" s="416"/>
      <c r="AH393" s="416"/>
      <c r="AJ393" s="426" t="s">
        <v>1719</v>
      </c>
      <c r="AM393" s="416"/>
    </row>
    <row r="394" spans="1:42" customFormat="1" ht="14.4" x14ac:dyDescent="0.3">
      <c r="A394" s="427"/>
      <c r="B394" s="425" t="s">
        <v>586</v>
      </c>
      <c r="C394" s="907" t="s">
        <v>1738</v>
      </c>
      <c r="D394" s="907"/>
      <c r="E394" s="907"/>
      <c r="F394" s="428"/>
      <c r="G394" s="429"/>
      <c r="H394" s="429"/>
      <c r="I394" s="429"/>
      <c r="J394" s="430">
        <v>4.34</v>
      </c>
      <c r="K394" s="429"/>
      <c r="L394" s="430">
        <v>4.3499999999999996</v>
      </c>
      <c r="M394" s="431">
        <v>8.16</v>
      </c>
      <c r="N394" s="460">
        <v>35.5</v>
      </c>
      <c r="AF394" s="415"/>
      <c r="AG394" s="416"/>
      <c r="AH394" s="416"/>
      <c r="AJ394" s="426" t="s">
        <v>1738</v>
      </c>
      <c r="AM394" s="416"/>
    </row>
    <row r="395" spans="1:42" customFormat="1" ht="14.4" x14ac:dyDescent="0.3">
      <c r="A395" s="434"/>
      <c r="B395" s="425"/>
      <c r="C395" s="907" t="s">
        <v>1706</v>
      </c>
      <c r="D395" s="907"/>
      <c r="E395" s="907"/>
      <c r="F395" s="428" t="s">
        <v>1707</v>
      </c>
      <c r="G395" s="443">
        <v>13</v>
      </c>
      <c r="H395" s="431">
        <v>1.1499999999999999</v>
      </c>
      <c r="I395" s="459">
        <v>14.99485</v>
      </c>
      <c r="J395" s="436"/>
      <c r="K395" s="429"/>
      <c r="L395" s="436"/>
      <c r="M395" s="429"/>
      <c r="N395" s="437"/>
      <c r="AF395" s="415"/>
      <c r="AG395" s="416"/>
      <c r="AH395" s="416"/>
      <c r="AK395" s="426" t="s">
        <v>1706</v>
      </c>
      <c r="AM395" s="416"/>
    </row>
    <row r="396" spans="1:42" customFormat="1" ht="14.4" x14ac:dyDescent="0.3">
      <c r="A396" s="434"/>
      <c r="B396" s="425"/>
      <c r="C396" s="907" t="s">
        <v>1720</v>
      </c>
      <c r="D396" s="907"/>
      <c r="E396" s="907"/>
      <c r="F396" s="428" t="s">
        <v>1707</v>
      </c>
      <c r="G396" s="458">
        <v>37.6</v>
      </c>
      <c r="H396" s="431">
        <v>1.1499999999999999</v>
      </c>
      <c r="I396" s="459">
        <v>43.369720000000001</v>
      </c>
      <c r="J396" s="436"/>
      <c r="K396" s="429"/>
      <c r="L396" s="436"/>
      <c r="M396" s="429"/>
      <c r="N396" s="437"/>
      <c r="AF396" s="415"/>
      <c r="AG396" s="416"/>
      <c r="AH396" s="416"/>
      <c r="AK396" s="426" t="s">
        <v>1720</v>
      </c>
      <c r="AM396" s="416"/>
    </row>
    <row r="397" spans="1:42" customFormat="1" ht="14.4" x14ac:dyDescent="0.3">
      <c r="A397" s="427"/>
      <c r="B397" s="425"/>
      <c r="C397" s="908" t="s">
        <v>1708</v>
      </c>
      <c r="D397" s="908"/>
      <c r="E397" s="908"/>
      <c r="F397" s="438"/>
      <c r="G397" s="439"/>
      <c r="H397" s="439"/>
      <c r="I397" s="439"/>
      <c r="J397" s="441">
        <v>3669</v>
      </c>
      <c r="K397" s="439"/>
      <c r="L397" s="441">
        <v>4231.3500000000004</v>
      </c>
      <c r="M397" s="439"/>
      <c r="N397" s="442">
        <v>59688.73</v>
      </c>
      <c r="AF397" s="415"/>
      <c r="AG397" s="416"/>
      <c r="AH397" s="416"/>
      <c r="AL397" s="426" t="s">
        <v>1708</v>
      </c>
      <c r="AM397" s="416"/>
    </row>
    <row r="398" spans="1:42" customFormat="1" ht="14.4" x14ac:dyDescent="0.3">
      <c r="A398" s="434"/>
      <c r="B398" s="425"/>
      <c r="C398" s="907" t="s">
        <v>1709</v>
      </c>
      <c r="D398" s="907"/>
      <c r="E398" s="907"/>
      <c r="F398" s="428"/>
      <c r="G398" s="429"/>
      <c r="H398" s="429"/>
      <c r="I398" s="429"/>
      <c r="J398" s="436"/>
      <c r="K398" s="429"/>
      <c r="L398" s="430">
        <v>702.45</v>
      </c>
      <c r="M398" s="429"/>
      <c r="N398" s="433">
        <v>31448.69</v>
      </c>
      <c r="AF398" s="415"/>
      <c r="AG398" s="416"/>
      <c r="AH398" s="416"/>
      <c r="AK398" s="426" t="s">
        <v>1709</v>
      </c>
      <c r="AM398" s="416"/>
    </row>
    <row r="399" spans="1:42" customFormat="1" ht="21.6" x14ac:dyDescent="0.3">
      <c r="A399" s="434"/>
      <c r="B399" s="425" t="s">
        <v>1802</v>
      </c>
      <c r="C399" s="907" t="s">
        <v>1803</v>
      </c>
      <c r="D399" s="907"/>
      <c r="E399" s="907"/>
      <c r="F399" s="428" t="s">
        <v>1712</v>
      </c>
      <c r="G399" s="443">
        <v>92</v>
      </c>
      <c r="H399" s="429"/>
      <c r="I399" s="443">
        <v>92</v>
      </c>
      <c r="J399" s="436"/>
      <c r="K399" s="429"/>
      <c r="L399" s="430">
        <v>646.25</v>
      </c>
      <c r="M399" s="429"/>
      <c r="N399" s="433">
        <v>28932.79</v>
      </c>
      <c r="AF399" s="415"/>
      <c r="AG399" s="416"/>
      <c r="AH399" s="416"/>
      <c r="AK399" s="426" t="s">
        <v>1803</v>
      </c>
      <c r="AM399" s="416"/>
    </row>
    <row r="400" spans="1:42" customFormat="1" ht="21.6" x14ac:dyDescent="0.3">
      <c r="A400" s="434"/>
      <c r="B400" s="425" t="s">
        <v>1804</v>
      </c>
      <c r="C400" s="907" t="s">
        <v>1805</v>
      </c>
      <c r="D400" s="907"/>
      <c r="E400" s="907"/>
      <c r="F400" s="428" t="s">
        <v>1712</v>
      </c>
      <c r="G400" s="443">
        <v>46</v>
      </c>
      <c r="H400" s="429"/>
      <c r="I400" s="443">
        <v>46</v>
      </c>
      <c r="J400" s="436"/>
      <c r="K400" s="429"/>
      <c r="L400" s="430">
        <v>323.13</v>
      </c>
      <c r="M400" s="429"/>
      <c r="N400" s="433">
        <v>14466.4</v>
      </c>
      <c r="AF400" s="415"/>
      <c r="AG400" s="416"/>
      <c r="AH400" s="416"/>
      <c r="AK400" s="426" t="s">
        <v>1805</v>
      </c>
      <c r="AM400" s="416"/>
    </row>
    <row r="401" spans="1:42" customFormat="1" ht="14.4" x14ac:dyDescent="0.3">
      <c r="A401" s="444"/>
      <c r="B401" s="445"/>
      <c r="C401" s="916" t="s">
        <v>1715</v>
      </c>
      <c r="D401" s="916"/>
      <c r="E401" s="916"/>
      <c r="F401" s="419"/>
      <c r="G401" s="420"/>
      <c r="H401" s="420"/>
      <c r="I401" s="420"/>
      <c r="J401" s="422"/>
      <c r="K401" s="420"/>
      <c r="L401" s="446">
        <v>5200.7299999999996</v>
      </c>
      <c r="M401" s="439"/>
      <c r="N401" s="447">
        <v>103087.92</v>
      </c>
      <c r="AF401" s="415"/>
      <c r="AG401" s="416"/>
      <c r="AH401" s="416"/>
      <c r="AM401" s="416" t="s">
        <v>1715</v>
      </c>
    </row>
    <row r="402" spans="1:42" customFormat="1" ht="42" x14ac:dyDescent="0.3">
      <c r="A402" s="417" t="s">
        <v>1844</v>
      </c>
      <c r="B402" s="418" t="s">
        <v>1747</v>
      </c>
      <c r="C402" s="916" t="s">
        <v>1748</v>
      </c>
      <c r="D402" s="916"/>
      <c r="E402" s="916"/>
      <c r="F402" s="419" t="s">
        <v>1723</v>
      </c>
      <c r="G402" s="420">
        <v>153.6</v>
      </c>
      <c r="H402" s="421">
        <v>1</v>
      </c>
      <c r="I402" s="456">
        <v>153.6</v>
      </c>
      <c r="J402" s="449">
        <v>3.28</v>
      </c>
      <c r="K402" s="420"/>
      <c r="L402" s="449">
        <v>503.81</v>
      </c>
      <c r="M402" s="448">
        <v>13.24</v>
      </c>
      <c r="N402" s="447">
        <v>6670.44</v>
      </c>
      <c r="AF402" s="415"/>
      <c r="AG402" s="416"/>
      <c r="AH402" s="416" t="s">
        <v>1748</v>
      </c>
      <c r="AM402" s="416"/>
    </row>
    <row r="403" spans="1:42" customFormat="1" ht="14.4" x14ac:dyDescent="0.3">
      <c r="A403" s="450"/>
      <c r="B403" s="451"/>
      <c r="C403" s="907" t="s">
        <v>1845</v>
      </c>
      <c r="D403" s="907"/>
      <c r="E403" s="907"/>
      <c r="F403" s="907"/>
      <c r="G403" s="907"/>
      <c r="H403" s="907"/>
      <c r="I403" s="907"/>
      <c r="J403" s="907"/>
      <c r="K403" s="907"/>
      <c r="L403" s="907"/>
      <c r="M403" s="907"/>
      <c r="N403" s="919"/>
      <c r="AF403" s="415"/>
      <c r="AG403" s="416"/>
      <c r="AH403" s="416"/>
      <c r="AM403" s="416"/>
      <c r="AO403" s="426" t="s">
        <v>1845</v>
      </c>
    </row>
    <row r="404" spans="1:42" customFormat="1" ht="14.4" x14ac:dyDescent="0.3">
      <c r="A404" s="444"/>
      <c r="B404" s="445"/>
      <c r="C404" s="916" t="s">
        <v>1715</v>
      </c>
      <c r="D404" s="916"/>
      <c r="E404" s="916"/>
      <c r="F404" s="419"/>
      <c r="G404" s="420"/>
      <c r="H404" s="420"/>
      <c r="I404" s="420"/>
      <c r="J404" s="422"/>
      <c r="K404" s="420"/>
      <c r="L404" s="449">
        <v>503.81</v>
      </c>
      <c r="M404" s="439"/>
      <c r="N404" s="447">
        <v>6670.44</v>
      </c>
      <c r="AF404" s="415"/>
      <c r="AG404" s="416"/>
      <c r="AH404" s="416"/>
      <c r="AM404" s="416" t="s">
        <v>1715</v>
      </c>
    </row>
    <row r="405" spans="1:42" customFormat="1" ht="21.6" x14ac:dyDescent="0.3">
      <c r="A405" s="417" t="s">
        <v>1846</v>
      </c>
      <c r="B405" s="418" t="s">
        <v>1751</v>
      </c>
      <c r="C405" s="916" t="s">
        <v>1752</v>
      </c>
      <c r="D405" s="916"/>
      <c r="E405" s="916"/>
      <c r="F405" s="419" t="s">
        <v>1723</v>
      </c>
      <c r="G405" s="420">
        <v>38.4</v>
      </c>
      <c r="H405" s="421">
        <v>1</v>
      </c>
      <c r="I405" s="456">
        <v>38.4</v>
      </c>
      <c r="J405" s="449">
        <v>42.98</v>
      </c>
      <c r="K405" s="448">
        <v>1.1499999999999999</v>
      </c>
      <c r="L405" s="446">
        <v>1898</v>
      </c>
      <c r="M405" s="448">
        <v>13.24</v>
      </c>
      <c r="N405" s="447">
        <v>25129.52</v>
      </c>
      <c r="AF405" s="415"/>
      <c r="AG405" s="416"/>
      <c r="AH405" s="416" t="s">
        <v>1752</v>
      </c>
      <c r="AM405" s="416"/>
    </row>
    <row r="406" spans="1:42" customFormat="1" ht="14.4" x14ac:dyDescent="0.3">
      <c r="A406" s="450"/>
      <c r="B406" s="451"/>
      <c r="C406" s="907" t="s">
        <v>1847</v>
      </c>
      <c r="D406" s="907"/>
      <c r="E406" s="907"/>
      <c r="F406" s="907"/>
      <c r="G406" s="907"/>
      <c r="H406" s="907"/>
      <c r="I406" s="907"/>
      <c r="J406" s="907"/>
      <c r="K406" s="907"/>
      <c r="L406" s="907"/>
      <c r="M406" s="907"/>
      <c r="N406" s="919"/>
      <c r="AF406" s="415"/>
      <c r="AG406" s="416"/>
      <c r="AH406" s="416"/>
      <c r="AM406" s="416"/>
      <c r="AO406" s="426" t="s">
        <v>1847</v>
      </c>
    </row>
    <row r="407" spans="1:42" customFormat="1" ht="52.2" x14ac:dyDescent="0.3">
      <c r="A407" s="424"/>
      <c r="B407" s="425" t="s">
        <v>1703</v>
      </c>
      <c r="C407" s="917" t="s">
        <v>1704</v>
      </c>
      <c r="D407" s="917"/>
      <c r="E407" s="917"/>
      <c r="F407" s="917"/>
      <c r="G407" s="917"/>
      <c r="H407" s="917"/>
      <c r="I407" s="917"/>
      <c r="J407" s="917"/>
      <c r="K407" s="917"/>
      <c r="L407" s="917"/>
      <c r="M407" s="917"/>
      <c r="N407" s="918"/>
      <c r="AF407" s="415"/>
      <c r="AG407" s="416"/>
      <c r="AH407" s="416"/>
      <c r="AI407" s="426" t="s">
        <v>1704</v>
      </c>
      <c r="AM407" s="416"/>
    </row>
    <row r="408" spans="1:42" customFormat="1" ht="14.4" x14ac:dyDescent="0.3">
      <c r="A408" s="444"/>
      <c r="B408" s="445"/>
      <c r="C408" s="916" t="s">
        <v>1715</v>
      </c>
      <c r="D408" s="916"/>
      <c r="E408" s="916"/>
      <c r="F408" s="419"/>
      <c r="G408" s="420"/>
      <c r="H408" s="420"/>
      <c r="I408" s="420"/>
      <c r="J408" s="422"/>
      <c r="K408" s="420"/>
      <c r="L408" s="446">
        <v>1898</v>
      </c>
      <c r="M408" s="439"/>
      <c r="N408" s="447">
        <v>25129.52</v>
      </c>
      <c r="AF408" s="415"/>
      <c r="AG408" s="416"/>
      <c r="AH408" s="416"/>
      <c r="AM408" s="416" t="s">
        <v>1715</v>
      </c>
    </row>
    <row r="409" spans="1:42" customFormat="1" ht="21.6" x14ac:dyDescent="0.3">
      <c r="A409" s="417" t="s">
        <v>1848</v>
      </c>
      <c r="B409" s="418" t="s">
        <v>1726</v>
      </c>
      <c r="C409" s="916" t="s">
        <v>1727</v>
      </c>
      <c r="D409" s="916"/>
      <c r="E409" s="916"/>
      <c r="F409" s="419" t="s">
        <v>193</v>
      </c>
      <c r="G409" s="420">
        <v>76.8</v>
      </c>
      <c r="H409" s="421">
        <v>1</v>
      </c>
      <c r="I409" s="456">
        <v>76.8</v>
      </c>
      <c r="J409" s="449">
        <v>162.38</v>
      </c>
      <c r="K409" s="420"/>
      <c r="L409" s="446">
        <v>12470.78</v>
      </c>
      <c r="M409" s="448">
        <v>8.16</v>
      </c>
      <c r="N409" s="447">
        <v>101761.56</v>
      </c>
      <c r="AF409" s="415"/>
      <c r="AG409" s="416"/>
      <c r="AH409" s="416" t="s">
        <v>1727</v>
      </c>
      <c r="AM409" s="416"/>
    </row>
    <row r="410" spans="1:42" customFormat="1" ht="14.4" x14ac:dyDescent="0.3">
      <c r="A410" s="444"/>
      <c r="B410" s="445"/>
      <c r="C410" s="907" t="s">
        <v>1728</v>
      </c>
      <c r="D410" s="907"/>
      <c r="E410" s="907"/>
      <c r="F410" s="907"/>
      <c r="G410" s="907"/>
      <c r="H410" s="907"/>
      <c r="I410" s="907"/>
      <c r="J410" s="907"/>
      <c r="K410" s="907"/>
      <c r="L410" s="907"/>
      <c r="M410" s="907"/>
      <c r="N410" s="919"/>
      <c r="AF410" s="415"/>
      <c r="AG410" s="416"/>
      <c r="AH410" s="416"/>
      <c r="AM410" s="416"/>
      <c r="AN410" s="426" t="s">
        <v>1728</v>
      </c>
    </row>
    <row r="411" spans="1:42" customFormat="1" ht="14.4" x14ac:dyDescent="0.3">
      <c r="A411" s="450"/>
      <c r="B411" s="451"/>
      <c r="C411" s="907" t="s">
        <v>1730</v>
      </c>
      <c r="D411" s="907"/>
      <c r="E411" s="907"/>
      <c r="F411" s="907"/>
      <c r="G411" s="907"/>
      <c r="H411" s="907"/>
      <c r="I411" s="907"/>
      <c r="J411" s="907"/>
      <c r="K411" s="907"/>
      <c r="L411" s="907"/>
      <c r="M411" s="907"/>
      <c r="N411" s="919"/>
      <c r="AF411" s="415"/>
      <c r="AG411" s="416"/>
      <c r="AH411" s="416"/>
      <c r="AM411" s="416"/>
      <c r="AP411" s="426" t="s">
        <v>1730</v>
      </c>
    </row>
    <row r="412" spans="1:42" customFormat="1" ht="14.4" x14ac:dyDescent="0.3">
      <c r="A412" s="444"/>
      <c r="B412" s="445"/>
      <c r="C412" s="916" t="s">
        <v>1715</v>
      </c>
      <c r="D412" s="916"/>
      <c r="E412" s="916"/>
      <c r="F412" s="419"/>
      <c r="G412" s="420"/>
      <c r="H412" s="420"/>
      <c r="I412" s="420"/>
      <c r="J412" s="422"/>
      <c r="K412" s="420"/>
      <c r="L412" s="446">
        <v>12470.78</v>
      </c>
      <c r="M412" s="439"/>
      <c r="N412" s="447">
        <v>101761.56</v>
      </c>
      <c r="AF412" s="415"/>
      <c r="AG412" s="416"/>
      <c r="AH412" s="416"/>
      <c r="AM412" s="416" t="s">
        <v>1715</v>
      </c>
    </row>
    <row r="413" spans="1:42" customFormat="1" ht="14.4" x14ac:dyDescent="0.3">
      <c r="A413" s="913" t="s">
        <v>1849</v>
      </c>
      <c r="B413" s="914"/>
      <c r="C413" s="914"/>
      <c r="D413" s="914"/>
      <c r="E413" s="914"/>
      <c r="F413" s="914"/>
      <c r="G413" s="914"/>
      <c r="H413" s="914"/>
      <c r="I413" s="914"/>
      <c r="J413" s="914"/>
      <c r="K413" s="914"/>
      <c r="L413" s="914"/>
      <c r="M413" s="914"/>
      <c r="N413" s="915"/>
      <c r="AF413" s="415"/>
      <c r="AG413" s="416" t="s">
        <v>1849</v>
      </c>
      <c r="AH413" s="416"/>
      <c r="AM413" s="416"/>
    </row>
    <row r="414" spans="1:42" customFormat="1" ht="42" x14ac:dyDescent="0.3">
      <c r="A414" s="417" t="s">
        <v>817</v>
      </c>
      <c r="B414" s="418" t="s">
        <v>1747</v>
      </c>
      <c r="C414" s="916" t="s">
        <v>1748</v>
      </c>
      <c r="D414" s="916"/>
      <c r="E414" s="916"/>
      <c r="F414" s="419" t="s">
        <v>1723</v>
      </c>
      <c r="G414" s="420">
        <v>1920</v>
      </c>
      <c r="H414" s="421">
        <v>1</v>
      </c>
      <c r="I414" s="421">
        <v>1920</v>
      </c>
      <c r="J414" s="449">
        <v>3.28</v>
      </c>
      <c r="K414" s="420"/>
      <c r="L414" s="446">
        <v>6297.6</v>
      </c>
      <c r="M414" s="448">
        <v>13.24</v>
      </c>
      <c r="N414" s="447">
        <v>83380.22</v>
      </c>
      <c r="AF414" s="415"/>
      <c r="AG414" s="416"/>
      <c r="AH414" s="416" t="s">
        <v>1748</v>
      </c>
      <c r="AM414" s="416"/>
    </row>
    <row r="415" spans="1:42" customFormat="1" ht="14.4" x14ac:dyDescent="0.3">
      <c r="A415" s="450"/>
      <c r="B415" s="451"/>
      <c r="C415" s="907" t="s">
        <v>1850</v>
      </c>
      <c r="D415" s="907"/>
      <c r="E415" s="907"/>
      <c r="F415" s="907"/>
      <c r="G415" s="907"/>
      <c r="H415" s="907"/>
      <c r="I415" s="907"/>
      <c r="J415" s="907"/>
      <c r="K415" s="907"/>
      <c r="L415" s="907"/>
      <c r="M415" s="907"/>
      <c r="N415" s="919"/>
      <c r="AF415" s="415"/>
      <c r="AG415" s="416"/>
      <c r="AH415" s="416"/>
      <c r="AM415" s="416"/>
      <c r="AO415" s="426" t="s">
        <v>1850</v>
      </c>
    </row>
    <row r="416" spans="1:42" customFormat="1" ht="14.4" x14ac:dyDescent="0.3">
      <c r="A416" s="444"/>
      <c r="B416" s="445"/>
      <c r="C416" s="916" t="s">
        <v>1715</v>
      </c>
      <c r="D416" s="916"/>
      <c r="E416" s="916"/>
      <c r="F416" s="419"/>
      <c r="G416" s="420"/>
      <c r="H416" s="420"/>
      <c r="I416" s="420"/>
      <c r="J416" s="422"/>
      <c r="K416" s="420"/>
      <c r="L416" s="446">
        <v>6297.6</v>
      </c>
      <c r="M416" s="439"/>
      <c r="N416" s="447">
        <v>83380.22</v>
      </c>
      <c r="AF416" s="415"/>
      <c r="AG416" s="416"/>
      <c r="AH416" s="416"/>
      <c r="AM416" s="416" t="s">
        <v>1715</v>
      </c>
    </row>
    <row r="417" spans="1:44" customFormat="1" ht="21.6" x14ac:dyDescent="0.3">
      <c r="A417" s="417" t="s">
        <v>1851</v>
      </c>
      <c r="B417" s="418" t="s">
        <v>1751</v>
      </c>
      <c r="C417" s="916" t="s">
        <v>1752</v>
      </c>
      <c r="D417" s="916"/>
      <c r="E417" s="916"/>
      <c r="F417" s="419" t="s">
        <v>1723</v>
      </c>
      <c r="G417" s="420">
        <v>480</v>
      </c>
      <c r="H417" s="421">
        <v>1</v>
      </c>
      <c r="I417" s="421">
        <v>480</v>
      </c>
      <c r="J417" s="449">
        <v>42.98</v>
      </c>
      <c r="K417" s="448">
        <v>1.1499999999999999</v>
      </c>
      <c r="L417" s="446">
        <v>23724.959999999999</v>
      </c>
      <c r="M417" s="448">
        <v>13.24</v>
      </c>
      <c r="N417" s="447">
        <v>314118.46999999997</v>
      </c>
      <c r="AF417" s="415"/>
      <c r="AG417" s="416"/>
      <c r="AH417" s="416" t="s">
        <v>1752</v>
      </c>
      <c r="AM417" s="416"/>
    </row>
    <row r="418" spans="1:44" customFormat="1" ht="14.4" x14ac:dyDescent="0.3">
      <c r="A418" s="450"/>
      <c r="B418" s="451"/>
      <c r="C418" s="907" t="s">
        <v>1852</v>
      </c>
      <c r="D418" s="907"/>
      <c r="E418" s="907"/>
      <c r="F418" s="907"/>
      <c r="G418" s="907"/>
      <c r="H418" s="907"/>
      <c r="I418" s="907"/>
      <c r="J418" s="907"/>
      <c r="K418" s="907"/>
      <c r="L418" s="907"/>
      <c r="M418" s="907"/>
      <c r="N418" s="919"/>
      <c r="AF418" s="415"/>
      <c r="AG418" s="416"/>
      <c r="AH418" s="416"/>
      <c r="AM418" s="416"/>
      <c r="AO418" s="426" t="s">
        <v>1852</v>
      </c>
    </row>
    <row r="419" spans="1:44" customFormat="1" ht="52.2" x14ac:dyDescent="0.3">
      <c r="A419" s="424"/>
      <c r="B419" s="425" t="s">
        <v>1703</v>
      </c>
      <c r="C419" s="917" t="s">
        <v>1704</v>
      </c>
      <c r="D419" s="917"/>
      <c r="E419" s="917"/>
      <c r="F419" s="917"/>
      <c r="G419" s="917"/>
      <c r="H419" s="917"/>
      <c r="I419" s="917"/>
      <c r="J419" s="917"/>
      <c r="K419" s="917"/>
      <c r="L419" s="917"/>
      <c r="M419" s="917"/>
      <c r="N419" s="918"/>
      <c r="AF419" s="415"/>
      <c r="AG419" s="416"/>
      <c r="AH419" s="416"/>
      <c r="AI419" s="426" t="s">
        <v>1704</v>
      </c>
      <c r="AM419" s="416"/>
    </row>
    <row r="420" spans="1:44" customFormat="1" ht="14.4" x14ac:dyDescent="0.3">
      <c r="A420" s="444"/>
      <c r="B420" s="445"/>
      <c r="C420" s="916" t="s">
        <v>1715</v>
      </c>
      <c r="D420" s="916"/>
      <c r="E420" s="916"/>
      <c r="F420" s="419"/>
      <c r="G420" s="420"/>
      <c r="H420" s="420"/>
      <c r="I420" s="420"/>
      <c r="J420" s="422"/>
      <c r="K420" s="420"/>
      <c r="L420" s="446">
        <v>23724.959999999999</v>
      </c>
      <c r="M420" s="439"/>
      <c r="N420" s="447">
        <v>314118.46999999997</v>
      </c>
      <c r="AF420" s="415"/>
      <c r="AG420" s="416"/>
      <c r="AH420" s="416"/>
      <c r="AM420" s="416" t="s">
        <v>1715</v>
      </c>
    </row>
    <row r="421" spans="1:44" customFormat="1" ht="21.6" x14ac:dyDescent="0.3">
      <c r="A421" s="498" t="s">
        <v>1853</v>
      </c>
      <c r="B421" s="499" t="s">
        <v>1726</v>
      </c>
      <c r="C421" s="920" t="s">
        <v>1727</v>
      </c>
      <c r="D421" s="920"/>
      <c r="E421" s="920"/>
      <c r="F421" s="500" t="s">
        <v>193</v>
      </c>
      <c r="G421" s="501">
        <v>1000</v>
      </c>
      <c r="H421" s="502">
        <v>1</v>
      </c>
      <c r="I421" s="502">
        <v>1000</v>
      </c>
      <c r="J421" s="503">
        <v>162.38</v>
      </c>
      <c r="K421" s="501"/>
      <c r="L421" s="504">
        <v>162380</v>
      </c>
      <c r="M421" s="505">
        <v>8.16</v>
      </c>
      <c r="N421" s="506">
        <v>1325020.8</v>
      </c>
      <c r="AF421" s="415"/>
      <c r="AG421" s="416"/>
      <c r="AH421" s="416" t="s">
        <v>1727</v>
      </c>
      <c r="AM421" s="416"/>
    </row>
    <row r="422" spans="1:44" customFormat="1" ht="14.4" x14ac:dyDescent="0.3">
      <c r="A422" s="444"/>
      <c r="B422" s="445"/>
      <c r="C422" s="907" t="s">
        <v>1728</v>
      </c>
      <c r="D422" s="907"/>
      <c r="E422" s="907"/>
      <c r="F422" s="907"/>
      <c r="G422" s="907"/>
      <c r="H422" s="907"/>
      <c r="I422" s="907"/>
      <c r="J422" s="907"/>
      <c r="K422" s="907"/>
      <c r="L422" s="907"/>
      <c r="M422" s="907"/>
      <c r="N422" s="919"/>
      <c r="AF422" s="415"/>
      <c r="AG422" s="416"/>
      <c r="AH422" s="416"/>
      <c r="AM422" s="416"/>
      <c r="AN422" s="426" t="s">
        <v>1728</v>
      </c>
    </row>
    <row r="423" spans="1:44" customFormat="1" ht="14.4" x14ac:dyDescent="0.3">
      <c r="A423" s="450"/>
      <c r="B423" s="451"/>
      <c r="C423" s="921" t="s">
        <v>1730</v>
      </c>
      <c r="D423" s="921"/>
      <c r="E423" s="921"/>
      <c r="F423" s="921"/>
      <c r="G423" s="921"/>
      <c r="H423" s="921"/>
      <c r="I423" s="921"/>
      <c r="J423" s="921"/>
      <c r="K423" s="921"/>
      <c r="L423" s="921"/>
      <c r="M423" s="921"/>
      <c r="N423" s="922"/>
      <c r="AF423" s="415"/>
      <c r="AG423" s="416"/>
      <c r="AH423" s="416"/>
      <c r="AM423" s="416"/>
      <c r="AP423" s="426" t="s">
        <v>1730</v>
      </c>
    </row>
    <row r="424" spans="1:44" customFormat="1" ht="14.4" x14ac:dyDescent="0.3">
      <c r="A424" s="444"/>
      <c r="B424" s="445"/>
      <c r="C424" s="916" t="s">
        <v>1715</v>
      </c>
      <c r="D424" s="916"/>
      <c r="E424" s="916"/>
      <c r="F424" s="419"/>
      <c r="G424" s="420"/>
      <c r="H424" s="420"/>
      <c r="I424" s="420"/>
      <c r="J424" s="422"/>
      <c r="K424" s="420"/>
      <c r="L424" s="446">
        <v>162380</v>
      </c>
      <c r="M424" s="439"/>
      <c r="N424" s="447">
        <v>1325020.8</v>
      </c>
      <c r="AF424" s="415"/>
      <c r="AG424" s="416"/>
      <c r="AH424" s="416"/>
      <c r="AM424" s="416" t="s">
        <v>1715</v>
      </c>
    </row>
    <row r="425" spans="1:44" customFormat="1" ht="0" hidden="1" customHeight="1" x14ac:dyDescent="0.3">
      <c r="A425" s="462"/>
      <c r="B425" s="463"/>
      <c r="C425" s="463"/>
      <c r="D425" s="463"/>
      <c r="E425" s="463"/>
      <c r="F425" s="464"/>
      <c r="G425" s="464"/>
      <c r="H425" s="464"/>
      <c r="I425" s="464"/>
      <c r="J425" s="465"/>
      <c r="K425" s="464"/>
      <c r="L425" s="465"/>
      <c r="M425" s="429"/>
      <c r="N425" s="465"/>
      <c r="AF425" s="415"/>
      <c r="AG425" s="416"/>
      <c r="AH425" s="416"/>
      <c r="AM425" s="416"/>
    </row>
    <row r="426" spans="1:44" customFormat="1" ht="11.25" hidden="1" customHeight="1" x14ac:dyDescent="0.3"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7"/>
      <c r="M426" s="467"/>
      <c r="N426" s="467"/>
      <c r="R426" s="468"/>
    </row>
    <row r="427" spans="1:44" customFormat="1" ht="14.4" x14ac:dyDescent="0.3">
      <c r="A427" s="469"/>
      <c r="B427" s="470"/>
      <c r="C427" s="916" t="s">
        <v>1854</v>
      </c>
      <c r="D427" s="916"/>
      <c r="E427" s="916"/>
      <c r="F427" s="916"/>
      <c r="G427" s="916"/>
      <c r="H427" s="916"/>
      <c r="I427" s="916"/>
      <c r="J427" s="916"/>
      <c r="K427" s="916"/>
      <c r="L427" s="471"/>
      <c r="M427" s="472"/>
      <c r="N427" s="473"/>
      <c r="AQ427" s="416" t="s">
        <v>1854</v>
      </c>
    </row>
    <row r="428" spans="1:44" customFormat="1" ht="14.4" x14ac:dyDescent="0.3">
      <c r="A428" s="474"/>
      <c r="B428" s="425"/>
      <c r="C428" s="907" t="s">
        <v>1855</v>
      </c>
      <c r="D428" s="907"/>
      <c r="E428" s="907"/>
      <c r="F428" s="907"/>
      <c r="G428" s="907"/>
      <c r="H428" s="907"/>
      <c r="I428" s="907"/>
      <c r="J428" s="907"/>
      <c r="K428" s="907"/>
      <c r="L428" s="475">
        <v>2131898.5299999998</v>
      </c>
      <c r="M428" s="476"/>
      <c r="N428" s="477">
        <v>30355010.550000001</v>
      </c>
      <c r="AQ428" s="416"/>
      <c r="AR428" s="426" t="s">
        <v>1855</v>
      </c>
    </row>
    <row r="429" spans="1:44" customFormat="1" ht="14.4" x14ac:dyDescent="0.3">
      <c r="A429" s="474"/>
      <c r="B429" s="425"/>
      <c r="C429" s="907" t="s">
        <v>1856</v>
      </c>
      <c r="D429" s="907"/>
      <c r="E429" s="907"/>
      <c r="F429" s="907"/>
      <c r="G429" s="907"/>
      <c r="H429" s="907"/>
      <c r="I429" s="907"/>
      <c r="J429" s="907"/>
      <c r="K429" s="907"/>
      <c r="L429" s="478"/>
      <c r="M429" s="476"/>
      <c r="N429" s="479"/>
      <c r="AQ429" s="416"/>
      <c r="AR429" s="426" t="s">
        <v>1856</v>
      </c>
    </row>
    <row r="430" spans="1:44" customFormat="1" ht="14.4" x14ac:dyDescent="0.3">
      <c r="A430" s="474"/>
      <c r="B430" s="425"/>
      <c r="C430" s="907" t="s">
        <v>1857</v>
      </c>
      <c r="D430" s="907"/>
      <c r="E430" s="907"/>
      <c r="F430" s="907"/>
      <c r="G430" s="907"/>
      <c r="H430" s="907"/>
      <c r="I430" s="907"/>
      <c r="J430" s="907"/>
      <c r="K430" s="907"/>
      <c r="L430" s="475">
        <v>211664.94</v>
      </c>
      <c r="M430" s="476"/>
      <c r="N430" s="477">
        <v>9476239.3900000006</v>
      </c>
      <c r="AQ430" s="416"/>
      <c r="AR430" s="426" t="s">
        <v>1857</v>
      </c>
    </row>
    <row r="431" spans="1:44" customFormat="1" ht="14.4" x14ac:dyDescent="0.3">
      <c r="A431" s="474"/>
      <c r="B431" s="425"/>
      <c r="C431" s="907" t="s">
        <v>1858</v>
      </c>
      <c r="D431" s="907"/>
      <c r="E431" s="907"/>
      <c r="F431" s="907"/>
      <c r="G431" s="907"/>
      <c r="H431" s="907"/>
      <c r="I431" s="907"/>
      <c r="J431" s="907"/>
      <c r="K431" s="907"/>
      <c r="L431" s="475">
        <v>1022513.23</v>
      </c>
      <c r="M431" s="476"/>
      <c r="N431" s="477">
        <v>13538075.16</v>
      </c>
      <c r="AQ431" s="416"/>
      <c r="AR431" s="426" t="s">
        <v>1858</v>
      </c>
    </row>
    <row r="432" spans="1:44" customFormat="1" ht="14.4" x14ac:dyDescent="0.3">
      <c r="A432" s="474"/>
      <c r="B432" s="425"/>
      <c r="C432" s="907" t="s">
        <v>1859</v>
      </c>
      <c r="D432" s="907"/>
      <c r="E432" s="907"/>
      <c r="F432" s="907"/>
      <c r="G432" s="907"/>
      <c r="H432" s="907"/>
      <c r="I432" s="907"/>
      <c r="J432" s="907"/>
      <c r="K432" s="907"/>
      <c r="L432" s="475">
        <v>68836.89</v>
      </c>
      <c r="M432" s="476"/>
      <c r="N432" s="477">
        <v>3081827.55</v>
      </c>
      <c r="AQ432" s="416"/>
      <c r="AR432" s="426" t="s">
        <v>1859</v>
      </c>
    </row>
    <row r="433" spans="1:45" customFormat="1" ht="14.4" x14ac:dyDescent="0.3">
      <c r="A433" s="474"/>
      <c r="B433" s="425"/>
      <c r="C433" s="907" t="s">
        <v>1860</v>
      </c>
      <c r="D433" s="907"/>
      <c r="E433" s="907"/>
      <c r="F433" s="907"/>
      <c r="G433" s="907"/>
      <c r="H433" s="907"/>
      <c r="I433" s="907"/>
      <c r="J433" s="907"/>
      <c r="K433" s="907"/>
      <c r="L433" s="475">
        <v>897720.36</v>
      </c>
      <c r="M433" s="476"/>
      <c r="N433" s="477">
        <v>7340696</v>
      </c>
      <c r="AQ433" s="416"/>
      <c r="AR433" s="426" t="s">
        <v>1860</v>
      </c>
    </row>
    <row r="434" spans="1:45" customFormat="1" ht="14.4" x14ac:dyDescent="0.3">
      <c r="A434" s="474"/>
      <c r="B434" s="425"/>
      <c r="C434" s="907" t="s">
        <v>1861</v>
      </c>
      <c r="D434" s="907"/>
      <c r="E434" s="907"/>
      <c r="F434" s="907"/>
      <c r="G434" s="907"/>
      <c r="H434" s="907"/>
      <c r="I434" s="907"/>
      <c r="J434" s="907"/>
      <c r="K434" s="907"/>
      <c r="L434" s="475">
        <v>2535008.7599999998</v>
      </c>
      <c r="M434" s="476"/>
      <c r="N434" s="477">
        <v>48402255.409999996</v>
      </c>
      <c r="AQ434" s="416"/>
      <c r="AR434" s="426" t="s">
        <v>1861</v>
      </c>
    </row>
    <row r="435" spans="1:45" customFormat="1" ht="14.4" x14ac:dyDescent="0.3">
      <c r="A435" s="474"/>
      <c r="B435" s="425"/>
      <c r="C435" s="907" t="s">
        <v>1862</v>
      </c>
      <c r="D435" s="907"/>
      <c r="E435" s="907"/>
      <c r="F435" s="907"/>
      <c r="G435" s="907"/>
      <c r="H435" s="907"/>
      <c r="I435" s="907"/>
      <c r="J435" s="907"/>
      <c r="K435" s="907"/>
      <c r="L435" s="475">
        <v>2417034.98</v>
      </c>
      <c r="M435" s="476"/>
      <c r="N435" s="477">
        <v>46840282.57</v>
      </c>
      <c r="AQ435" s="416"/>
      <c r="AR435" s="426" t="s">
        <v>1862</v>
      </c>
    </row>
    <row r="436" spans="1:45" customFormat="1" ht="14.4" x14ac:dyDescent="0.3">
      <c r="A436" s="474"/>
      <c r="B436" s="425"/>
      <c r="C436" s="907" t="s">
        <v>1863</v>
      </c>
      <c r="D436" s="907"/>
      <c r="E436" s="907"/>
      <c r="F436" s="907"/>
      <c r="G436" s="907"/>
      <c r="H436" s="907"/>
      <c r="I436" s="907"/>
      <c r="J436" s="907"/>
      <c r="K436" s="907"/>
      <c r="L436" s="478"/>
      <c r="M436" s="476"/>
      <c r="N436" s="479"/>
      <c r="AQ436" s="416"/>
      <c r="AR436" s="426" t="s">
        <v>1863</v>
      </c>
    </row>
    <row r="437" spans="1:45" customFormat="1" ht="14.4" x14ac:dyDescent="0.3">
      <c r="A437" s="474"/>
      <c r="B437" s="425"/>
      <c r="C437" s="907" t="s">
        <v>1864</v>
      </c>
      <c r="D437" s="907"/>
      <c r="E437" s="907"/>
      <c r="F437" s="907"/>
      <c r="G437" s="907"/>
      <c r="H437" s="907"/>
      <c r="I437" s="907"/>
      <c r="J437" s="907"/>
      <c r="K437" s="907"/>
      <c r="L437" s="475">
        <v>211664.94</v>
      </c>
      <c r="M437" s="476"/>
      <c r="N437" s="477">
        <v>9476239.3900000006</v>
      </c>
      <c r="AQ437" s="416"/>
      <c r="AR437" s="426" t="s">
        <v>1864</v>
      </c>
    </row>
    <row r="438" spans="1:45" customFormat="1" ht="14.4" x14ac:dyDescent="0.3">
      <c r="A438" s="474"/>
      <c r="B438" s="425"/>
      <c r="C438" s="907" t="s">
        <v>1865</v>
      </c>
      <c r="D438" s="907"/>
      <c r="E438" s="907"/>
      <c r="F438" s="907"/>
      <c r="G438" s="907"/>
      <c r="H438" s="907"/>
      <c r="I438" s="907"/>
      <c r="J438" s="907"/>
      <c r="K438" s="907"/>
      <c r="L438" s="475">
        <v>904539.45</v>
      </c>
      <c r="M438" s="476"/>
      <c r="N438" s="477">
        <v>11976102.32</v>
      </c>
      <c r="AQ438" s="416"/>
      <c r="AR438" s="426" t="s">
        <v>1865</v>
      </c>
    </row>
    <row r="439" spans="1:45" customFormat="1" ht="14.4" x14ac:dyDescent="0.3">
      <c r="A439" s="474"/>
      <c r="B439" s="425"/>
      <c r="C439" s="907" t="s">
        <v>1866</v>
      </c>
      <c r="D439" s="907"/>
      <c r="E439" s="907"/>
      <c r="F439" s="907"/>
      <c r="G439" s="907"/>
      <c r="H439" s="907"/>
      <c r="I439" s="907"/>
      <c r="J439" s="907"/>
      <c r="K439" s="907"/>
      <c r="L439" s="475">
        <v>68836.89</v>
      </c>
      <c r="M439" s="476"/>
      <c r="N439" s="477">
        <v>3081827.55</v>
      </c>
      <c r="AQ439" s="416"/>
      <c r="AR439" s="426" t="s">
        <v>1866</v>
      </c>
    </row>
    <row r="440" spans="1:45" customFormat="1" ht="14.4" x14ac:dyDescent="0.3">
      <c r="A440" s="474"/>
      <c r="B440" s="425"/>
      <c r="C440" s="907" t="s">
        <v>1867</v>
      </c>
      <c r="D440" s="907"/>
      <c r="E440" s="907"/>
      <c r="F440" s="907"/>
      <c r="G440" s="907"/>
      <c r="H440" s="907"/>
      <c r="I440" s="907"/>
      <c r="J440" s="907"/>
      <c r="K440" s="907"/>
      <c r="L440" s="475">
        <v>897720.36</v>
      </c>
      <c r="M440" s="476"/>
      <c r="N440" s="477">
        <v>7340696</v>
      </c>
      <c r="AQ440" s="416"/>
      <c r="AR440" s="426" t="s">
        <v>1867</v>
      </c>
    </row>
    <row r="441" spans="1:45" customFormat="1" ht="14.4" x14ac:dyDescent="0.3">
      <c r="A441" s="474"/>
      <c r="B441" s="425"/>
      <c r="C441" s="907" t="s">
        <v>1868</v>
      </c>
      <c r="D441" s="907"/>
      <c r="E441" s="907"/>
      <c r="F441" s="907"/>
      <c r="G441" s="907"/>
      <c r="H441" s="907"/>
      <c r="I441" s="907"/>
      <c r="J441" s="907"/>
      <c r="K441" s="907"/>
      <c r="L441" s="475">
        <v>256664.29</v>
      </c>
      <c r="M441" s="476"/>
      <c r="N441" s="477">
        <v>11490859.800000001</v>
      </c>
      <c r="AQ441" s="416"/>
      <c r="AR441" s="426" t="s">
        <v>1868</v>
      </c>
    </row>
    <row r="442" spans="1:45" customFormat="1" ht="14.4" x14ac:dyDescent="0.3">
      <c r="A442" s="474"/>
      <c r="B442" s="425"/>
      <c r="C442" s="907" t="s">
        <v>1869</v>
      </c>
      <c r="D442" s="907"/>
      <c r="E442" s="907"/>
      <c r="F442" s="907"/>
      <c r="G442" s="907"/>
      <c r="H442" s="907"/>
      <c r="I442" s="907"/>
      <c r="J442" s="907"/>
      <c r="K442" s="907"/>
      <c r="L442" s="475">
        <v>146445.94</v>
      </c>
      <c r="M442" s="476"/>
      <c r="N442" s="477">
        <v>6556385.0599999996</v>
      </c>
      <c r="AQ442" s="416"/>
      <c r="AR442" s="426" t="s">
        <v>1869</v>
      </c>
    </row>
    <row r="443" spans="1:45" customFormat="1" ht="14.4" x14ac:dyDescent="0.3">
      <c r="A443" s="474"/>
      <c r="B443" s="425"/>
      <c r="C443" s="907" t="s">
        <v>1870</v>
      </c>
      <c r="D443" s="907"/>
      <c r="E443" s="907"/>
      <c r="F443" s="907"/>
      <c r="G443" s="907"/>
      <c r="H443" s="907"/>
      <c r="I443" s="907"/>
      <c r="J443" s="907"/>
      <c r="K443" s="907"/>
      <c r="L443" s="475">
        <v>117973.78</v>
      </c>
      <c r="M443" s="476"/>
      <c r="N443" s="477">
        <v>1561972.84</v>
      </c>
      <c r="AQ443" s="416"/>
      <c r="AR443" s="426" t="s">
        <v>1870</v>
      </c>
    </row>
    <row r="444" spans="1:45" customFormat="1" ht="14.4" x14ac:dyDescent="0.3">
      <c r="A444" s="474"/>
      <c r="B444" s="425"/>
      <c r="C444" s="907" t="s">
        <v>1871</v>
      </c>
      <c r="D444" s="907"/>
      <c r="E444" s="907"/>
      <c r="F444" s="907"/>
      <c r="G444" s="907"/>
      <c r="H444" s="907"/>
      <c r="I444" s="907"/>
      <c r="J444" s="907"/>
      <c r="K444" s="907"/>
      <c r="L444" s="475">
        <v>280501.83</v>
      </c>
      <c r="M444" s="476"/>
      <c r="N444" s="477">
        <v>12558066.939999999</v>
      </c>
      <c r="AQ444" s="416"/>
      <c r="AR444" s="426" t="s">
        <v>1871</v>
      </c>
    </row>
    <row r="445" spans="1:45" customFormat="1" ht="14.4" x14ac:dyDescent="0.3">
      <c r="A445" s="474"/>
      <c r="B445" s="425"/>
      <c r="C445" s="907" t="s">
        <v>1872</v>
      </c>
      <c r="D445" s="907"/>
      <c r="E445" s="907"/>
      <c r="F445" s="907"/>
      <c r="G445" s="907"/>
      <c r="H445" s="907"/>
      <c r="I445" s="907"/>
      <c r="J445" s="907"/>
      <c r="K445" s="907"/>
      <c r="L445" s="475">
        <v>256664.29</v>
      </c>
      <c r="M445" s="476"/>
      <c r="N445" s="477">
        <v>11490859.800000001</v>
      </c>
      <c r="AQ445" s="416"/>
      <c r="AR445" s="426" t="s">
        <v>1872</v>
      </c>
    </row>
    <row r="446" spans="1:45" customFormat="1" ht="14.4" x14ac:dyDescent="0.3">
      <c r="A446" s="474"/>
      <c r="B446" s="425"/>
      <c r="C446" s="907" t="s">
        <v>1873</v>
      </c>
      <c r="D446" s="907"/>
      <c r="E446" s="907"/>
      <c r="F446" s="907"/>
      <c r="G446" s="907"/>
      <c r="H446" s="907"/>
      <c r="I446" s="907"/>
      <c r="J446" s="907"/>
      <c r="K446" s="907"/>
      <c r="L446" s="475">
        <v>146445.94</v>
      </c>
      <c r="M446" s="476"/>
      <c r="N446" s="477">
        <v>6556385.0599999996</v>
      </c>
      <c r="AQ446" s="416"/>
      <c r="AR446" s="426" t="s">
        <v>1873</v>
      </c>
    </row>
    <row r="447" spans="1:45" customFormat="1" ht="14.4" x14ac:dyDescent="0.3">
      <c r="A447" s="474"/>
      <c r="B447" s="480"/>
      <c r="C447" s="924" t="s">
        <v>1874</v>
      </c>
      <c r="D447" s="924"/>
      <c r="E447" s="924"/>
      <c r="F447" s="924"/>
      <c r="G447" s="924"/>
      <c r="H447" s="924"/>
      <c r="I447" s="924"/>
      <c r="J447" s="924"/>
      <c r="K447" s="924"/>
      <c r="L447" s="481">
        <v>2535008.7599999998</v>
      </c>
      <c r="M447" s="482"/>
      <c r="N447" s="483">
        <v>48402255.409999996</v>
      </c>
      <c r="AQ447" s="416"/>
      <c r="AS447" s="416" t="s">
        <v>1874</v>
      </c>
    </row>
    <row r="448" spans="1:45" customFormat="1" ht="13.5" hidden="1" customHeight="1" x14ac:dyDescent="0.3">
      <c r="B448" s="465"/>
      <c r="C448" s="463"/>
      <c r="D448" s="463"/>
      <c r="E448" s="463"/>
      <c r="F448" s="463"/>
      <c r="G448" s="463"/>
      <c r="H448" s="463"/>
      <c r="I448" s="463"/>
      <c r="J448" s="463"/>
      <c r="K448" s="463"/>
      <c r="L448" s="481"/>
      <c r="M448" s="484"/>
      <c r="N448" s="485"/>
    </row>
    <row r="449" spans="1:49" customFormat="1" ht="26.25" customHeight="1" x14ac:dyDescent="0.3">
      <c r="A449" s="486"/>
      <c r="B449" s="487"/>
      <c r="C449" s="487"/>
      <c r="D449" s="487"/>
      <c r="E449" s="487"/>
      <c r="F449" s="487"/>
      <c r="G449" s="487"/>
      <c r="H449" s="487"/>
      <c r="I449" s="487"/>
      <c r="J449" s="487"/>
      <c r="K449" s="487"/>
      <c r="L449" s="487"/>
      <c r="M449" s="487"/>
      <c r="N449" s="487"/>
    </row>
    <row r="450" spans="1:49" s="383" customFormat="1" ht="14.4" x14ac:dyDescent="0.3">
      <c r="A450" s="381"/>
      <c r="B450" s="488" t="s">
        <v>1875</v>
      </c>
      <c r="C450" s="925"/>
      <c r="D450" s="925"/>
      <c r="E450" s="925"/>
      <c r="F450" s="925"/>
      <c r="G450" s="925"/>
      <c r="H450" s="926"/>
      <c r="I450" s="926"/>
      <c r="J450" s="926"/>
      <c r="K450" s="926"/>
      <c r="L450" s="926"/>
      <c r="M450"/>
      <c r="N450"/>
      <c r="O450"/>
      <c r="P450"/>
      <c r="Q450"/>
      <c r="R450"/>
      <c r="S450"/>
      <c r="T450"/>
      <c r="U450"/>
      <c r="V450" s="387"/>
      <c r="W450" s="387"/>
      <c r="X450" s="387"/>
      <c r="Y450" s="387"/>
      <c r="Z450" s="387"/>
      <c r="AA450" s="387"/>
      <c r="AB450" s="387"/>
      <c r="AC450" s="387"/>
      <c r="AD450" s="387"/>
      <c r="AE450" s="387"/>
      <c r="AF450" s="387"/>
      <c r="AG450" s="387"/>
      <c r="AH450" s="387"/>
      <c r="AI450" s="387"/>
      <c r="AJ450" s="387"/>
      <c r="AK450" s="387"/>
      <c r="AL450" s="387"/>
      <c r="AM450" s="387"/>
      <c r="AN450" s="387"/>
      <c r="AO450" s="387"/>
      <c r="AP450" s="387"/>
      <c r="AQ450" s="387"/>
      <c r="AR450" s="387"/>
      <c r="AS450" s="387"/>
      <c r="AT450" s="387" t="s">
        <v>1659</v>
      </c>
      <c r="AU450" s="387" t="s">
        <v>1659</v>
      </c>
      <c r="AV450" s="387"/>
      <c r="AW450" s="387"/>
    </row>
    <row r="451" spans="1:49" s="489" customFormat="1" ht="16.5" customHeight="1" x14ac:dyDescent="0.3">
      <c r="A451" s="385"/>
      <c r="B451" s="488"/>
      <c r="C451" s="923" t="s">
        <v>1876</v>
      </c>
      <c r="D451" s="923"/>
      <c r="E451" s="923"/>
      <c r="F451" s="923"/>
      <c r="G451" s="923"/>
      <c r="H451" s="923"/>
      <c r="I451" s="923"/>
      <c r="J451" s="923"/>
      <c r="K451" s="923"/>
      <c r="L451" s="923"/>
      <c r="V451" s="490"/>
      <c r="W451" s="490"/>
      <c r="X451" s="490"/>
      <c r="Y451" s="490"/>
      <c r="Z451" s="490"/>
      <c r="AA451" s="490"/>
      <c r="AB451" s="490"/>
      <c r="AC451" s="490"/>
      <c r="AD451" s="490"/>
      <c r="AE451" s="490"/>
      <c r="AF451" s="490"/>
      <c r="AG451" s="490"/>
      <c r="AH451" s="490"/>
      <c r="AI451" s="490"/>
      <c r="AJ451" s="490"/>
      <c r="AK451" s="490"/>
      <c r="AL451" s="490"/>
      <c r="AM451" s="490"/>
      <c r="AN451" s="490"/>
      <c r="AO451" s="490"/>
      <c r="AP451" s="490"/>
      <c r="AQ451" s="490"/>
      <c r="AR451" s="490"/>
      <c r="AS451" s="490"/>
      <c r="AT451" s="490"/>
      <c r="AU451" s="490"/>
      <c r="AV451" s="490"/>
      <c r="AW451" s="490"/>
    </row>
    <row r="452" spans="1:49" s="383" customFormat="1" ht="14.4" x14ac:dyDescent="0.3">
      <c r="A452" s="381"/>
      <c r="B452" s="488" t="s">
        <v>1877</v>
      </c>
      <c r="C452" s="925"/>
      <c r="D452" s="925"/>
      <c r="E452" s="925"/>
      <c r="F452" s="925"/>
      <c r="G452" s="925"/>
      <c r="H452" s="926"/>
      <c r="I452" s="926"/>
      <c r="J452" s="926"/>
      <c r="K452" s="926"/>
      <c r="L452" s="926"/>
      <c r="M452"/>
      <c r="N452"/>
      <c r="O452"/>
      <c r="P452"/>
      <c r="Q452"/>
      <c r="R452"/>
      <c r="S452"/>
      <c r="T452"/>
      <c r="U452"/>
      <c r="V452" s="387"/>
      <c r="W452" s="387"/>
      <c r="X452" s="387"/>
      <c r="Y452" s="387"/>
      <c r="Z452" s="387"/>
      <c r="AA452" s="387"/>
      <c r="AB452" s="387"/>
      <c r="AC452" s="387"/>
      <c r="AD452" s="387"/>
      <c r="AE452" s="387"/>
      <c r="AF452" s="387"/>
      <c r="AG452" s="387"/>
      <c r="AH452" s="387"/>
      <c r="AI452" s="387"/>
      <c r="AJ452" s="387"/>
      <c r="AK452" s="387"/>
      <c r="AL452" s="387"/>
      <c r="AM452" s="387"/>
      <c r="AN452" s="387"/>
      <c r="AO452" s="387"/>
      <c r="AP452" s="387"/>
      <c r="AQ452" s="387"/>
      <c r="AR452" s="387"/>
      <c r="AS452" s="387"/>
      <c r="AT452" s="387"/>
      <c r="AU452" s="387"/>
      <c r="AV452" s="387" t="s">
        <v>1659</v>
      </c>
      <c r="AW452" s="387" t="s">
        <v>1659</v>
      </c>
    </row>
    <row r="453" spans="1:49" s="489" customFormat="1" ht="16.5" customHeight="1" x14ac:dyDescent="0.3">
      <c r="A453" s="385"/>
      <c r="C453" s="923" t="s">
        <v>1876</v>
      </c>
      <c r="D453" s="923"/>
      <c r="E453" s="923"/>
      <c r="F453" s="923"/>
      <c r="G453" s="923"/>
      <c r="H453" s="923"/>
      <c r="I453" s="923"/>
      <c r="J453" s="923"/>
      <c r="K453" s="923"/>
      <c r="L453" s="923"/>
      <c r="V453" s="490"/>
      <c r="W453" s="490"/>
      <c r="X453" s="490"/>
      <c r="Y453" s="490"/>
      <c r="Z453" s="490"/>
      <c r="AA453" s="490"/>
      <c r="AB453" s="490"/>
      <c r="AC453" s="490"/>
      <c r="AD453" s="490"/>
      <c r="AE453" s="490"/>
      <c r="AF453" s="490"/>
      <c r="AG453" s="490"/>
      <c r="AH453" s="490"/>
      <c r="AI453" s="490"/>
      <c r="AJ453" s="490"/>
      <c r="AK453" s="490"/>
      <c r="AL453" s="490"/>
      <c r="AM453" s="490"/>
      <c r="AN453" s="490"/>
      <c r="AO453" s="490"/>
      <c r="AP453" s="490"/>
      <c r="AQ453" s="490"/>
      <c r="AR453" s="490"/>
      <c r="AS453" s="490"/>
      <c r="AT453" s="490"/>
      <c r="AU453" s="490"/>
      <c r="AV453" s="490"/>
      <c r="AW453" s="490"/>
    </row>
    <row r="454" spans="1:49" s="383" customFormat="1" ht="19.5" customHeight="1" x14ac:dyDescent="0.2">
      <c r="A454" s="381"/>
      <c r="C454" s="491"/>
      <c r="D454" s="491"/>
      <c r="E454" s="491"/>
      <c r="F454" s="491"/>
      <c r="G454" s="491"/>
      <c r="H454" s="491"/>
      <c r="I454" s="491"/>
      <c r="J454" s="491"/>
      <c r="K454" s="491"/>
      <c r="L454" s="491"/>
      <c r="V454" s="387"/>
      <c r="W454" s="387"/>
      <c r="X454" s="387"/>
      <c r="Y454" s="387"/>
      <c r="Z454" s="387"/>
      <c r="AA454" s="387"/>
      <c r="AB454" s="387"/>
      <c r="AC454" s="387"/>
      <c r="AD454" s="387"/>
      <c r="AE454" s="387"/>
      <c r="AF454" s="387"/>
      <c r="AG454" s="387"/>
      <c r="AH454" s="387"/>
      <c r="AI454" s="387"/>
      <c r="AJ454" s="387"/>
      <c r="AK454" s="387"/>
      <c r="AL454" s="387"/>
      <c r="AM454" s="387"/>
      <c r="AN454" s="387"/>
      <c r="AO454" s="387"/>
      <c r="AP454" s="387"/>
      <c r="AQ454" s="387"/>
      <c r="AR454" s="387"/>
      <c r="AS454" s="387"/>
      <c r="AT454" s="387"/>
      <c r="AU454" s="387"/>
      <c r="AV454" s="387"/>
      <c r="AW454" s="387"/>
    </row>
    <row r="455" spans="1:49" customFormat="1" ht="22.5" customHeight="1" x14ac:dyDescent="0.3">
      <c r="A455" s="917" t="s">
        <v>1878</v>
      </c>
      <c r="B455" s="917"/>
      <c r="C455" s="917"/>
      <c r="D455" s="917"/>
      <c r="E455" s="917"/>
      <c r="F455" s="917"/>
      <c r="G455" s="917"/>
      <c r="H455" s="917"/>
      <c r="I455" s="917"/>
      <c r="J455" s="917"/>
      <c r="K455" s="917"/>
      <c r="L455" s="917"/>
      <c r="M455" s="917"/>
      <c r="N455" s="917"/>
      <c r="O455" s="466"/>
      <c r="P455" s="466"/>
    </row>
    <row r="456" spans="1:49" customFormat="1" ht="12.75" customHeight="1" x14ac:dyDescent="0.3">
      <c r="A456" s="917" t="s">
        <v>1879</v>
      </c>
      <c r="B456" s="917"/>
      <c r="C456" s="917"/>
      <c r="D456" s="917"/>
      <c r="E456" s="917"/>
      <c r="F456" s="917"/>
      <c r="G456" s="917"/>
      <c r="H456" s="917"/>
      <c r="I456" s="917"/>
      <c r="J456" s="917"/>
      <c r="K456" s="917"/>
      <c r="L456" s="917"/>
      <c r="M456" s="917"/>
      <c r="N456" s="917"/>
      <c r="O456" s="466"/>
      <c r="P456" s="466"/>
    </row>
    <row r="457" spans="1:49" customFormat="1" ht="12.75" customHeight="1" x14ac:dyDescent="0.3">
      <c r="A457" s="917" t="s">
        <v>1880</v>
      </c>
      <c r="B457" s="917"/>
      <c r="C457" s="917"/>
      <c r="D457" s="917"/>
      <c r="E457" s="917"/>
      <c r="F457" s="917"/>
      <c r="G457" s="917"/>
      <c r="H457" s="917"/>
      <c r="I457" s="917"/>
      <c r="J457" s="917"/>
      <c r="K457" s="917"/>
      <c r="L457" s="917"/>
      <c r="M457" s="917"/>
      <c r="N457" s="917"/>
      <c r="O457" s="466"/>
      <c r="P457" s="466"/>
    </row>
    <row r="458" spans="1:49" customFormat="1" ht="19.5" customHeight="1" x14ac:dyDescent="0.3"/>
    <row r="459" spans="1:49" customFormat="1" ht="14.4" x14ac:dyDescent="0.3">
      <c r="B459" s="492"/>
      <c r="D459" s="492"/>
      <c r="F459" s="492"/>
    </row>
  </sheetData>
  <mergeCells count="450">
    <mergeCell ref="C453:L453"/>
    <mergeCell ref="A455:N455"/>
    <mergeCell ref="A456:N456"/>
    <mergeCell ref="A457:N457"/>
    <mergeCell ref="C447:K447"/>
    <mergeCell ref="C450:G450"/>
    <mergeCell ref="H450:L450"/>
    <mergeCell ref="C451:L451"/>
    <mergeCell ref="C452:G452"/>
    <mergeCell ref="H452:L452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21:E421"/>
    <mergeCell ref="C422:N422"/>
    <mergeCell ref="C423:N423"/>
    <mergeCell ref="C424:E424"/>
    <mergeCell ref="C427:K427"/>
    <mergeCell ref="C428:K428"/>
    <mergeCell ref="C415:N415"/>
    <mergeCell ref="C416:E416"/>
    <mergeCell ref="C417:E417"/>
    <mergeCell ref="C418:N418"/>
    <mergeCell ref="C419:N419"/>
    <mergeCell ref="C420:E420"/>
    <mergeCell ref="C409:E409"/>
    <mergeCell ref="C410:N410"/>
    <mergeCell ref="C411:N411"/>
    <mergeCell ref="C412:E412"/>
    <mergeCell ref="A413:N413"/>
    <mergeCell ref="C414:E414"/>
    <mergeCell ref="C403:N403"/>
    <mergeCell ref="C404:E404"/>
    <mergeCell ref="C405:E405"/>
    <mergeCell ref="C406:N406"/>
    <mergeCell ref="C407:N407"/>
    <mergeCell ref="C408:E408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N385"/>
    <mergeCell ref="C386:N386"/>
    <mergeCell ref="C387:E387"/>
    <mergeCell ref="C388:E388"/>
    <mergeCell ref="C389:N389"/>
    <mergeCell ref="C390:N390"/>
    <mergeCell ref="C379:E379"/>
    <mergeCell ref="C380:E380"/>
    <mergeCell ref="C381:E381"/>
    <mergeCell ref="C382:E382"/>
    <mergeCell ref="C383:E383"/>
    <mergeCell ref="C384:N384"/>
    <mergeCell ref="C373:N373"/>
    <mergeCell ref="C374:N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N359"/>
    <mergeCell ref="C360:N360"/>
    <mergeCell ref="C349:E349"/>
    <mergeCell ref="C350:N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N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A334:N334"/>
    <mergeCell ref="C335:E335"/>
    <mergeCell ref="C336:N336"/>
    <mergeCell ref="C325:E325"/>
    <mergeCell ref="C326:N326"/>
    <mergeCell ref="C327:N327"/>
    <mergeCell ref="C328:E328"/>
    <mergeCell ref="C329:E329"/>
    <mergeCell ref="C330:N330"/>
    <mergeCell ref="C319:N319"/>
    <mergeCell ref="C320:N320"/>
    <mergeCell ref="C321:E321"/>
    <mergeCell ref="C322:E322"/>
    <mergeCell ref="C323:N323"/>
    <mergeCell ref="C324:E324"/>
    <mergeCell ref="C313:E313"/>
    <mergeCell ref="C314:E314"/>
    <mergeCell ref="C315:E315"/>
    <mergeCell ref="C316:E316"/>
    <mergeCell ref="C317:E317"/>
    <mergeCell ref="C318:N318"/>
    <mergeCell ref="C307:N307"/>
    <mergeCell ref="C308:N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E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N283"/>
    <mergeCell ref="C284:N284"/>
    <mergeCell ref="C285:E285"/>
    <mergeCell ref="C286:E286"/>
    <mergeCell ref="C287:E287"/>
    <mergeCell ref="C288:E288"/>
    <mergeCell ref="C277:N277"/>
    <mergeCell ref="C278:N278"/>
    <mergeCell ref="C279:N279"/>
    <mergeCell ref="C280:E280"/>
    <mergeCell ref="A281:N281"/>
    <mergeCell ref="C282:E282"/>
    <mergeCell ref="C271:E271"/>
    <mergeCell ref="C272:E272"/>
    <mergeCell ref="C273:N273"/>
    <mergeCell ref="C274:N274"/>
    <mergeCell ref="C275:E275"/>
    <mergeCell ref="C276:E276"/>
    <mergeCell ref="C265:N265"/>
    <mergeCell ref="C266:N266"/>
    <mergeCell ref="C267:N267"/>
    <mergeCell ref="C268:E268"/>
    <mergeCell ref="C269:E269"/>
    <mergeCell ref="C270:N270"/>
    <mergeCell ref="C259:E259"/>
    <mergeCell ref="C260:E260"/>
    <mergeCell ref="C261:E261"/>
    <mergeCell ref="C262:E262"/>
    <mergeCell ref="C263:E263"/>
    <mergeCell ref="C264:E264"/>
    <mergeCell ref="C253:E253"/>
    <mergeCell ref="C254:N254"/>
    <mergeCell ref="C255:N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N230"/>
    <mergeCell ref="C231:N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A228:N228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N205"/>
    <mergeCell ref="C206:N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A190:N190"/>
    <mergeCell ref="C191:E191"/>
    <mergeCell ref="C192:N192"/>
    <mergeCell ref="C181:E181"/>
    <mergeCell ref="C182:E182"/>
    <mergeCell ref="C183:E183"/>
    <mergeCell ref="C184:E184"/>
    <mergeCell ref="C185:E185"/>
    <mergeCell ref="C186:E186"/>
    <mergeCell ref="C175:E175"/>
    <mergeCell ref="A176:N176"/>
    <mergeCell ref="C177:E177"/>
    <mergeCell ref="C178:N178"/>
    <mergeCell ref="C179:N179"/>
    <mergeCell ref="C180:E180"/>
    <mergeCell ref="C169:N169"/>
    <mergeCell ref="C170:N170"/>
    <mergeCell ref="C171:E171"/>
    <mergeCell ref="C172:E172"/>
    <mergeCell ref="C173:N173"/>
    <mergeCell ref="C174:N174"/>
    <mergeCell ref="C163:E163"/>
    <mergeCell ref="C164:E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B4B0-BB24-46E0-87C2-7BB6AE6D2914}">
  <dimension ref="A1:BD132"/>
  <sheetViews>
    <sheetView topLeftCell="B115" zoomScale="130" zoomScaleNormal="130" workbookViewId="0">
      <selection activeCell="B126" sqref="B126"/>
    </sheetView>
  </sheetViews>
  <sheetFormatPr defaultColWidth="9.109375" defaultRowHeight="13.2" x14ac:dyDescent="0.3"/>
  <cols>
    <col min="1" max="1" width="9.109375" style="775"/>
    <col min="2" max="2" width="52.21875" style="776" customWidth="1"/>
    <col min="3" max="3" width="8.5546875" style="776" hidden="1" customWidth="1"/>
    <col min="4" max="4" width="10.5546875" style="776" hidden="1" customWidth="1"/>
    <col min="5" max="5" width="8.44140625" style="776" hidden="1" customWidth="1"/>
    <col min="6" max="6" width="13" style="776" hidden="1" customWidth="1"/>
    <col min="7" max="7" width="12.44140625" style="776" hidden="1" customWidth="1"/>
    <col min="8" max="8" width="8.5546875" style="776" hidden="1" customWidth="1"/>
    <col min="9" max="9" width="12.88671875" style="776" hidden="1" customWidth="1"/>
    <col min="10" max="10" width="7.44140625" style="776" hidden="1" customWidth="1"/>
    <col min="11" max="11" width="14.5546875" style="776" hidden="1" customWidth="1"/>
    <col min="12" max="12" width="78.33203125" style="776" hidden="1" customWidth="1"/>
    <col min="13" max="13" width="15.6640625" style="776" hidden="1" customWidth="1"/>
    <col min="14" max="14" width="9.109375" style="776"/>
    <col min="15" max="15" width="9.21875" style="776" bestFit="1" customWidth="1"/>
    <col min="16" max="16" width="11" style="777" customWidth="1"/>
    <col min="17" max="17" width="13.44140625" style="776" customWidth="1"/>
    <col min="18" max="18" width="13.88671875" style="777" bestFit="1" customWidth="1"/>
    <col min="19" max="24" width="86.6640625" style="726" hidden="1" customWidth="1"/>
    <col min="25" max="27" width="164.109375" style="726" hidden="1" customWidth="1"/>
    <col min="28" max="28" width="34.6640625" style="726" hidden="1" customWidth="1"/>
    <col min="29" max="30" width="164.109375" style="726" hidden="1" customWidth="1"/>
    <col min="31" max="31" width="39.5546875" style="726" hidden="1" customWidth="1"/>
    <col min="32" max="32" width="134.88671875" style="726" hidden="1" customWidth="1"/>
    <col min="33" max="36" width="39.5546875" style="726" hidden="1" customWidth="1"/>
    <col min="37" max="39" width="134.88671875" style="726" hidden="1" customWidth="1"/>
    <col min="40" max="45" width="101.109375" style="726" hidden="1" customWidth="1"/>
    <col min="46" max="46" width="58.6640625" style="726" hidden="1" customWidth="1"/>
    <col min="47" max="47" width="55.33203125" style="726" hidden="1" customWidth="1"/>
    <col min="48" max="48" width="58.6640625" style="726" hidden="1" customWidth="1"/>
    <col min="49" max="49" width="55.33203125" style="726" hidden="1" customWidth="1"/>
    <col min="50" max="50" width="10.44140625" style="776" bestFit="1" customWidth="1"/>
    <col min="51" max="52" width="14.109375" style="776" bestFit="1" customWidth="1"/>
    <col min="53" max="55" width="9.109375" style="776"/>
    <col min="56" max="56" width="9.21875" style="776" bestFit="1" customWidth="1"/>
    <col min="57" max="16384" width="9.109375" style="776"/>
  </cols>
  <sheetData>
    <row r="1" spans="1:36" s="711" customFormat="1" ht="39.6" x14ac:dyDescent="0.3">
      <c r="B1" s="712" t="s">
        <v>2173</v>
      </c>
      <c r="C1" s="712"/>
      <c r="D1" s="712"/>
      <c r="E1" s="712"/>
      <c r="F1" s="712"/>
      <c r="G1" s="712"/>
      <c r="H1" s="712"/>
      <c r="I1" s="712"/>
      <c r="J1" s="712"/>
      <c r="K1" s="713"/>
      <c r="L1" s="713"/>
      <c r="M1" s="713"/>
      <c r="N1" s="713" t="s">
        <v>2152</v>
      </c>
      <c r="O1" s="713" t="s">
        <v>2154</v>
      </c>
      <c r="P1" s="714" t="s">
        <v>2106</v>
      </c>
      <c r="Q1" s="715" t="s">
        <v>2153</v>
      </c>
      <c r="R1" s="714" t="s">
        <v>2155</v>
      </c>
      <c r="AC1" s="716" t="s">
        <v>1886</v>
      </c>
    </row>
    <row r="2" spans="1:36" s="711" customFormat="1" x14ac:dyDescent="0.3">
      <c r="A2" s="927" t="s">
        <v>1887</v>
      </c>
      <c r="B2" s="927"/>
      <c r="C2" s="712"/>
      <c r="D2" s="712"/>
      <c r="E2" s="712"/>
      <c r="F2" s="712"/>
      <c r="G2" s="712"/>
      <c r="H2" s="712"/>
      <c r="I2" s="712"/>
      <c r="J2" s="712"/>
      <c r="K2" s="713"/>
      <c r="L2" s="713"/>
      <c r="M2" s="713"/>
      <c r="N2" s="713"/>
      <c r="O2" s="713"/>
      <c r="P2" s="717"/>
      <c r="Q2" s="712"/>
      <c r="R2" s="717"/>
      <c r="AC2" s="716"/>
      <c r="AD2" s="716" t="s">
        <v>1887</v>
      </c>
    </row>
    <row r="3" spans="1:36" s="725" customFormat="1" ht="26.4" x14ac:dyDescent="0.3">
      <c r="A3" s="718" t="s">
        <v>758</v>
      </c>
      <c r="B3" s="718" t="s">
        <v>1889</v>
      </c>
      <c r="C3" s="718" t="s">
        <v>1890</v>
      </c>
      <c r="D3" s="719">
        <v>15.4872</v>
      </c>
      <c r="E3" s="720">
        <v>1</v>
      </c>
      <c r="F3" s="721">
        <v>15.4872</v>
      </c>
      <c r="G3" s="719"/>
      <c r="H3" s="719"/>
      <c r="I3" s="719"/>
      <c r="J3" s="719"/>
      <c r="K3" s="722"/>
      <c r="L3" s="722"/>
      <c r="M3" s="722"/>
      <c r="N3" s="722" t="s">
        <v>431</v>
      </c>
      <c r="O3" s="722">
        <f>D3*100</f>
        <v>1548.72</v>
      </c>
      <c r="P3" s="723">
        <v>127.5</v>
      </c>
      <c r="Q3" s="724">
        <f>O3*P3</f>
        <v>197461.80000000002</v>
      </c>
      <c r="R3" s="723">
        <f>Q3*1.2</f>
        <v>236954.16</v>
      </c>
      <c r="AC3" s="726"/>
      <c r="AD3" s="726"/>
      <c r="AE3" s="726" t="s">
        <v>1889</v>
      </c>
    </row>
    <row r="4" spans="1:36" s="725" customFormat="1" hidden="1" x14ac:dyDescent="0.3">
      <c r="A4" s="718"/>
      <c r="B4" s="718" t="s">
        <v>1891</v>
      </c>
      <c r="C4" s="718"/>
      <c r="D4" s="718"/>
      <c r="E4" s="718"/>
      <c r="F4" s="718"/>
      <c r="G4" s="718"/>
      <c r="H4" s="718"/>
      <c r="I4" s="718"/>
      <c r="J4" s="718"/>
      <c r="K4" s="722"/>
      <c r="L4" s="722"/>
      <c r="M4" s="722"/>
      <c r="N4" s="722"/>
      <c r="O4" s="722"/>
      <c r="P4" s="723"/>
      <c r="Q4" s="718"/>
      <c r="R4" s="723"/>
      <c r="AC4" s="726"/>
      <c r="AD4" s="726"/>
      <c r="AE4" s="726"/>
      <c r="AF4" s="726" t="s">
        <v>1891</v>
      </c>
    </row>
    <row r="5" spans="1:36" s="725" customFormat="1" ht="52.8" x14ac:dyDescent="0.3">
      <c r="A5" s="727" t="s">
        <v>761</v>
      </c>
      <c r="B5" s="727" t="s">
        <v>1893</v>
      </c>
      <c r="C5" s="727" t="s">
        <v>1723</v>
      </c>
      <c r="D5" s="728">
        <v>16.850000000000001</v>
      </c>
      <c r="E5" s="729">
        <v>1</v>
      </c>
      <c r="F5" s="730">
        <v>16.850000000000001</v>
      </c>
      <c r="G5" s="730">
        <v>21.74</v>
      </c>
      <c r="H5" s="728"/>
      <c r="I5" s="730">
        <v>366.32</v>
      </c>
      <c r="J5" s="730">
        <v>13.24</v>
      </c>
      <c r="K5" s="731"/>
      <c r="L5" s="731"/>
      <c r="M5" s="731"/>
      <c r="N5" s="731" t="s">
        <v>239</v>
      </c>
      <c r="O5" s="731">
        <f>D5</f>
        <v>16.850000000000001</v>
      </c>
      <c r="P5" s="731">
        <v>464.83</v>
      </c>
      <c r="Q5" s="732">
        <f t="shared" ref="Q5:Q67" si="0">O5*P5</f>
        <v>7832.3855000000003</v>
      </c>
      <c r="R5" s="733">
        <f>Q5*1.2</f>
        <v>9398.8626000000004</v>
      </c>
      <c r="AC5" s="726"/>
      <c r="AD5" s="726"/>
      <c r="AE5" s="726" t="s">
        <v>1893</v>
      </c>
      <c r="AJ5" s="726"/>
    </row>
    <row r="6" spans="1:36" s="725" customFormat="1" hidden="1" x14ac:dyDescent="0.3">
      <c r="A6" s="718"/>
      <c r="B6" s="718" t="s">
        <v>1894</v>
      </c>
      <c r="C6" s="718"/>
      <c r="D6" s="718"/>
      <c r="E6" s="718"/>
      <c r="F6" s="718"/>
      <c r="G6" s="718"/>
      <c r="H6" s="718"/>
      <c r="I6" s="718"/>
      <c r="J6" s="718"/>
      <c r="K6" s="722"/>
      <c r="L6" s="722"/>
      <c r="M6" s="722"/>
      <c r="N6" s="722"/>
      <c r="O6" s="722"/>
      <c r="P6" s="723"/>
      <c r="Q6" s="724">
        <f t="shared" si="0"/>
        <v>0</v>
      </c>
      <c r="R6" s="723"/>
      <c r="AC6" s="726"/>
      <c r="AD6" s="726"/>
      <c r="AE6" s="726"/>
      <c r="AF6" s="726" t="s">
        <v>1894</v>
      </c>
      <c r="AJ6" s="726"/>
    </row>
    <row r="7" spans="1:36" s="725" customFormat="1" ht="26.4" x14ac:dyDescent="0.3">
      <c r="A7" s="727" t="s">
        <v>1144</v>
      </c>
      <c r="B7" s="727" t="s">
        <v>1752</v>
      </c>
      <c r="C7" s="727" t="s">
        <v>1723</v>
      </c>
      <c r="D7" s="728">
        <v>4.21</v>
      </c>
      <c r="E7" s="729">
        <v>1</v>
      </c>
      <c r="F7" s="730">
        <v>4.21</v>
      </c>
      <c r="G7" s="730">
        <v>42.98</v>
      </c>
      <c r="H7" s="728"/>
      <c r="I7" s="730">
        <v>180.95</v>
      </c>
      <c r="J7" s="730">
        <v>13.24</v>
      </c>
      <c r="K7" s="731"/>
      <c r="L7" s="731"/>
      <c r="M7" s="731"/>
      <c r="N7" s="731" t="s">
        <v>239</v>
      </c>
      <c r="O7" s="731">
        <f>D7</f>
        <v>4.21</v>
      </c>
      <c r="P7" s="731">
        <v>654.41</v>
      </c>
      <c r="Q7" s="732">
        <f t="shared" si="0"/>
        <v>2755.0661</v>
      </c>
      <c r="R7" s="733">
        <f>Q7*1.2</f>
        <v>3306.0793199999998</v>
      </c>
      <c r="AC7" s="726"/>
      <c r="AD7" s="726"/>
      <c r="AE7" s="726" t="s">
        <v>1752</v>
      </c>
      <c r="AJ7" s="726"/>
    </row>
    <row r="8" spans="1:36" s="725" customFormat="1" hidden="1" x14ac:dyDescent="0.3">
      <c r="A8" s="718"/>
      <c r="B8" s="718" t="s">
        <v>1895</v>
      </c>
      <c r="C8" s="718"/>
      <c r="D8" s="718"/>
      <c r="E8" s="718"/>
      <c r="F8" s="718"/>
      <c r="G8" s="718"/>
      <c r="H8" s="718"/>
      <c r="I8" s="718"/>
      <c r="J8" s="718"/>
      <c r="K8" s="722"/>
      <c r="L8" s="722"/>
      <c r="M8" s="722"/>
      <c r="N8" s="722"/>
      <c r="O8" s="722"/>
      <c r="P8" s="723"/>
      <c r="Q8" s="724">
        <f t="shared" si="0"/>
        <v>0</v>
      </c>
      <c r="R8" s="723"/>
      <c r="AC8" s="726"/>
      <c r="AD8" s="726"/>
      <c r="AE8" s="726"/>
      <c r="AF8" s="726" t="s">
        <v>1895</v>
      </c>
      <c r="AJ8" s="726"/>
    </row>
    <row r="9" spans="1:36" s="725" customFormat="1" ht="26.4" x14ac:dyDescent="0.3">
      <c r="A9" s="727" t="s">
        <v>586</v>
      </c>
      <c r="B9" s="727" t="s">
        <v>1897</v>
      </c>
      <c r="C9" s="727" t="s">
        <v>1890</v>
      </c>
      <c r="D9" s="728">
        <v>15.4872</v>
      </c>
      <c r="E9" s="729">
        <v>1</v>
      </c>
      <c r="F9" s="734">
        <v>15.4872</v>
      </c>
      <c r="G9" s="728"/>
      <c r="H9" s="728"/>
      <c r="I9" s="728"/>
      <c r="J9" s="728"/>
      <c r="K9" s="731"/>
      <c r="L9" s="731"/>
      <c r="M9" s="731"/>
      <c r="N9" s="731" t="s">
        <v>431</v>
      </c>
      <c r="O9" s="731">
        <f>D9*100</f>
        <v>1548.72</v>
      </c>
      <c r="P9" s="733">
        <v>538.16999999999996</v>
      </c>
      <c r="Q9" s="732">
        <f t="shared" si="0"/>
        <v>833474.6423999999</v>
      </c>
      <c r="R9" s="733">
        <f>Q9*1.2</f>
        <v>1000169.5708799998</v>
      </c>
      <c r="AC9" s="726"/>
      <c r="AD9" s="726"/>
      <c r="AE9" s="726" t="s">
        <v>1897</v>
      </c>
      <c r="AJ9" s="726"/>
    </row>
    <row r="10" spans="1:36" s="725" customFormat="1" hidden="1" x14ac:dyDescent="0.3">
      <c r="A10" s="718"/>
      <c r="B10" s="718" t="s">
        <v>1891</v>
      </c>
      <c r="C10" s="718"/>
      <c r="D10" s="718"/>
      <c r="E10" s="718"/>
      <c r="F10" s="718"/>
      <c r="G10" s="718"/>
      <c r="H10" s="718"/>
      <c r="I10" s="718"/>
      <c r="J10" s="718"/>
      <c r="K10" s="722"/>
      <c r="L10" s="722"/>
      <c r="M10" s="722"/>
      <c r="N10" s="722"/>
      <c r="O10" s="722"/>
      <c r="P10" s="723"/>
      <c r="Q10" s="724">
        <f t="shared" si="0"/>
        <v>0</v>
      </c>
      <c r="R10" s="723"/>
      <c r="AC10" s="726"/>
      <c r="AD10" s="726"/>
      <c r="AE10" s="726"/>
      <c r="AF10" s="726" t="s">
        <v>1891</v>
      </c>
      <c r="AJ10" s="726"/>
    </row>
    <row r="11" spans="1:36" s="725" customFormat="1" hidden="1" x14ac:dyDescent="0.3">
      <c r="A11" s="718"/>
      <c r="B11" s="718" t="s">
        <v>1891</v>
      </c>
      <c r="C11" s="718"/>
      <c r="D11" s="718"/>
      <c r="E11" s="718"/>
      <c r="F11" s="718"/>
      <c r="G11" s="718"/>
      <c r="H11" s="718"/>
      <c r="I11" s="718"/>
      <c r="J11" s="718"/>
      <c r="K11" s="722"/>
      <c r="L11" s="722"/>
      <c r="M11" s="722"/>
      <c r="N11" s="722"/>
      <c r="O11" s="722"/>
      <c r="P11" s="723"/>
      <c r="Q11" s="724">
        <f t="shared" si="0"/>
        <v>0</v>
      </c>
      <c r="R11" s="723"/>
      <c r="AC11" s="726"/>
      <c r="AD11" s="726"/>
      <c r="AE11" s="726"/>
      <c r="AF11" s="726" t="s">
        <v>1891</v>
      </c>
      <c r="AJ11" s="726"/>
    </row>
    <row r="12" spans="1:36" s="725" customFormat="1" ht="52.8" x14ac:dyDescent="0.3">
      <c r="A12" s="727" t="s">
        <v>777</v>
      </c>
      <c r="B12" s="727" t="s">
        <v>1748</v>
      </c>
      <c r="C12" s="727" t="s">
        <v>1723</v>
      </c>
      <c r="D12" s="728">
        <v>111.5</v>
      </c>
      <c r="E12" s="729">
        <v>1</v>
      </c>
      <c r="F12" s="735">
        <v>111.5</v>
      </c>
      <c r="G12" s="730">
        <v>3.28</v>
      </c>
      <c r="H12" s="728"/>
      <c r="I12" s="730">
        <v>365.72</v>
      </c>
      <c r="J12" s="730">
        <v>13.24</v>
      </c>
      <c r="K12" s="731"/>
      <c r="L12" s="731"/>
      <c r="M12" s="731"/>
      <c r="N12" s="731" t="s">
        <v>239</v>
      </c>
      <c r="O12" s="731">
        <f>D12</f>
        <v>111.5</v>
      </c>
      <c r="P12" s="778">
        <v>464.83</v>
      </c>
      <c r="Q12" s="732">
        <f t="shared" si="0"/>
        <v>51828.544999999998</v>
      </c>
      <c r="R12" s="733">
        <f>Q12*1.2</f>
        <v>62194.253999999994</v>
      </c>
      <c r="AC12" s="726"/>
      <c r="AD12" s="726"/>
      <c r="AE12" s="726" t="s">
        <v>1748</v>
      </c>
      <c r="AJ12" s="726"/>
    </row>
    <row r="13" spans="1:36" s="725" customFormat="1" hidden="1" x14ac:dyDescent="0.3">
      <c r="A13" s="727"/>
      <c r="B13" s="727" t="s">
        <v>1905</v>
      </c>
      <c r="C13" s="727"/>
      <c r="D13" s="727"/>
      <c r="E13" s="727"/>
      <c r="F13" s="727"/>
      <c r="G13" s="727"/>
      <c r="H13" s="727"/>
      <c r="I13" s="727"/>
      <c r="J13" s="727"/>
      <c r="K13" s="731"/>
      <c r="L13" s="731"/>
      <c r="M13" s="731"/>
      <c r="N13" s="731"/>
      <c r="O13" s="731"/>
      <c r="P13" s="733"/>
      <c r="Q13" s="732">
        <f t="shared" si="0"/>
        <v>0</v>
      </c>
      <c r="R13" s="733"/>
      <c r="AC13" s="726"/>
      <c r="AD13" s="726"/>
      <c r="AE13" s="726"/>
      <c r="AF13" s="726" t="s">
        <v>1905</v>
      </c>
      <c r="AJ13" s="726"/>
    </row>
    <row r="14" spans="1:36" s="725" customFormat="1" ht="26.4" x14ac:dyDescent="0.3">
      <c r="A14" s="727" t="s">
        <v>609</v>
      </c>
      <c r="B14" s="727" t="s">
        <v>1752</v>
      </c>
      <c r="C14" s="727" t="s">
        <v>1723</v>
      </c>
      <c r="D14" s="728">
        <v>27.88</v>
      </c>
      <c r="E14" s="729">
        <v>1</v>
      </c>
      <c r="F14" s="730">
        <v>27.88</v>
      </c>
      <c r="G14" s="730">
        <v>42.98</v>
      </c>
      <c r="H14" s="728"/>
      <c r="I14" s="732">
        <v>1198.28</v>
      </c>
      <c r="J14" s="730">
        <v>13.24</v>
      </c>
      <c r="K14" s="731"/>
      <c r="L14" s="731"/>
      <c r="M14" s="731"/>
      <c r="N14" s="731" t="s">
        <v>239</v>
      </c>
      <c r="O14" s="731">
        <f>D14</f>
        <v>27.88</v>
      </c>
      <c r="P14" s="778">
        <v>654.41</v>
      </c>
      <c r="Q14" s="732">
        <f t="shared" si="0"/>
        <v>18244.950799999999</v>
      </c>
      <c r="R14" s="733">
        <f>Q14*1.2</f>
        <v>21893.940959999996</v>
      </c>
      <c r="AC14" s="726"/>
      <c r="AD14" s="726"/>
      <c r="AE14" s="726" t="s">
        <v>1752</v>
      </c>
      <c r="AJ14" s="726"/>
    </row>
    <row r="15" spans="1:36" s="725" customFormat="1" hidden="1" x14ac:dyDescent="0.3">
      <c r="A15" s="718"/>
      <c r="B15" s="718" t="s">
        <v>1906</v>
      </c>
      <c r="C15" s="718"/>
      <c r="D15" s="718"/>
      <c r="E15" s="718"/>
      <c r="F15" s="718"/>
      <c r="G15" s="718"/>
      <c r="H15" s="718"/>
      <c r="I15" s="718"/>
      <c r="J15" s="718"/>
      <c r="K15" s="722"/>
      <c r="L15" s="722"/>
      <c r="M15" s="722"/>
      <c r="N15" s="722"/>
      <c r="O15" s="722"/>
      <c r="P15" s="723"/>
      <c r="Q15" s="724">
        <f t="shared" si="0"/>
        <v>0</v>
      </c>
      <c r="R15" s="723"/>
      <c r="AC15" s="726"/>
      <c r="AD15" s="726"/>
      <c r="AE15" s="726"/>
      <c r="AF15" s="726" t="s">
        <v>1906</v>
      </c>
      <c r="AJ15" s="726"/>
    </row>
    <row r="16" spans="1:36" s="725" customFormat="1" x14ac:dyDescent="0.3">
      <c r="A16" s="718" t="s">
        <v>1750</v>
      </c>
      <c r="B16" s="718" t="s">
        <v>1908</v>
      </c>
      <c r="C16" s="718" t="s">
        <v>193</v>
      </c>
      <c r="D16" s="719">
        <v>154.87</v>
      </c>
      <c r="E16" s="720">
        <v>1</v>
      </c>
      <c r="F16" s="736">
        <v>154.87</v>
      </c>
      <c r="G16" s="719"/>
      <c r="H16" s="719"/>
      <c r="I16" s="719"/>
      <c r="J16" s="719"/>
      <c r="K16" s="722"/>
      <c r="L16" s="722"/>
      <c r="M16" s="722"/>
      <c r="N16" s="722" t="s">
        <v>193</v>
      </c>
      <c r="O16" s="722">
        <f>D16</f>
        <v>154.87</v>
      </c>
      <c r="P16" s="723">
        <v>2561.29</v>
      </c>
      <c r="Q16" s="724">
        <f t="shared" si="0"/>
        <v>396666.98230000003</v>
      </c>
      <c r="R16" s="723">
        <f>Q16*1.2</f>
        <v>476000.37875999999</v>
      </c>
      <c r="AC16" s="726"/>
      <c r="AD16" s="726"/>
      <c r="AE16" s="726" t="s">
        <v>1908</v>
      </c>
      <c r="AJ16" s="726"/>
    </row>
    <row r="17" spans="1:36" s="725" customFormat="1" ht="52.8" x14ac:dyDescent="0.3">
      <c r="A17" s="727" t="s">
        <v>1754</v>
      </c>
      <c r="B17" s="727" t="s">
        <v>1910</v>
      </c>
      <c r="C17" s="727" t="s">
        <v>1723</v>
      </c>
      <c r="D17" s="728">
        <v>61.95</v>
      </c>
      <c r="E17" s="729">
        <v>1</v>
      </c>
      <c r="F17" s="730">
        <v>61.95</v>
      </c>
      <c r="G17" s="730">
        <v>6.43</v>
      </c>
      <c r="H17" s="728"/>
      <c r="I17" s="730">
        <v>398.34</v>
      </c>
      <c r="J17" s="730">
        <v>13.24</v>
      </c>
      <c r="K17" s="731"/>
      <c r="L17" s="731"/>
      <c r="M17" s="731"/>
      <c r="N17" s="731" t="s">
        <v>239</v>
      </c>
      <c r="O17" s="731">
        <f>D17</f>
        <v>61.95</v>
      </c>
      <c r="P17" s="778">
        <v>464.83</v>
      </c>
      <c r="Q17" s="732">
        <f t="shared" si="0"/>
        <v>28796.218499999999</v>
      </c>
      <c r="R17" s="733">
        <f>Q17*1.2</f>
        <v>34555.462199999994</v>
      </c>
      <c r="AC17" s="726"/>
      <c r="AD17" s="726"/>
      <c r="AE17" s="726" t="s">
        <v>1910</v>
      </c>
      <c r="AJ17" s="726"/>
    </row>
    <row r="18" spans="1:36" s="725" customFormat="1" ht="26.4" x14ac:dyDescent="0.3">
      <c r="A18" s="737" t="s">
        <v>600</v>
      </c>
      <c r="B18" s="737" t="s">
        <v>1727</v>
      </c>
      <c r="C18" s="737" t="s">
        <v>193</v>
      </c>
      <c r="D18" s="738">
        <v>294.26</v>
      </c>
      <c r="E18" s="739">
        <v>1</v>
      </c>
      <c r="F18" s="740">
        <v>294.26</v>
      </c>
      <c r="G18" s="740">
        <v>162.38</v>
      </c>
      <c r="H18" s="738"/>
      <c r="I18" s="741">
        <v>47781.94</v>
      </c>
      <c r="J18" s="740">
        <v>8.16</v>
      </c>
      <c r="K18" s="742"/>
      <c r="L18" s="742"/>
      <c r="M18" s="742"/>
      <c r="N18" s="742" t="s">
        <v>193</v>
      </c>
      <c r="O18" s="742">
        <f>D18</f>
        <v>294.26</v>
      </c>
      <c r="P18" s="743">
        <v>1350</v>
      </c>
      <c r="Q18" s="743">
        <f t="shared" si="0"/>
        <v>397251</v>
      </c>
      <c r="R18" s="743">
        <f>Q18*1.2</f>
        <v>476701.19999999995</v>
      </c>
      <c r="AC18" s="726"/>
      <c r="AD18" s="726"/>
      <c r="AE18" s="726" t="s">
        <v>1727</v>
      </c>
      <c r="AJ18" s="726"/>
    </row>
    <row r="19" spans="1:36" s="725" customFormat="1" hidden="1" x14ac:dyDescent="0.3">
      <c r="A19" s="718"/>
      <c r="B19" s="718" t="s">
        <v>1912</v>
      </c>
      <c r="C19" s="718"/>
      <c r="D19" s="718"/>
      <c r="E19" s="718"/>
      <c r="F19" s="718"/>
      <c r="G19" s="718"/>
      <c r="H19" s="718"/>
      <c r="I19" s="718"/>
      <c r="J19" s="718"/>
      <c r="K19" s="722"/>
      <c r="L19" s="722"/>
      <c r="M19" s="722"/>
      <c r="N19" s="722"/>
      <c r="O19" s="722"/>
      <c r="P19" s="723"/>
      <c r="Q19" s="724">
        <f t="shared" si="0"/>
        <v>0</v>
      </c>
      <c r="R19" s="723"/>
      <c r="AC19" s="726"/>
      <c r="AD19" s="726"/>
      <c r="AE19" s="726"/>
      <c r="AF19" s="726" t="s">
        <v>1912</v>
      </c>
      <c r="AJ19" s="726"/>
    </row>
    <row r="20" spans="1:36" s="711" customFormat="1" x14ac:dyDescent="0.3">
      <c r="A20" s="927" t="s">
        <v>1913</v>
      </c>
      <c r="B20" s="927"/>
      <c r="C20" s="712"/>
      <c r="D20" s="712"/>
      <c r="E20" s="712"/>
      <c r="F20" s="712"/>
      <c r="G20" s="712"/>
      <c r="H20" s="712"/>
      <c r="I20" s="712"/>
      <c r="J20" s="712"/>
      <c r="K20" s="713"/>
      <c r="L20" s="713"/>
      <c r="M20" s="713"/>
      <c r="N20" s="713"/>
      <c r="O20" s="713"/>
      <c r="P20" s="717"/>
      <c r="Q20" s="724">
        <f t="shared" si="0"/>
        <v>0</v>
      </c>
      <c r="R20" s="717"/>
      <c r="AC20" s="716"/>
      <c r="AD20" s="716" t="s">
        <v>1913</v>
      </c>
      <c r="AE20" s="716"/>
      <c r="AJ20" s="716"/>
    </row>
    <row r="21" spans="1:36" s="725" customFormat="1" ht="26.4" x14ac:dyDescent="0.3">
      <c r="A21" s="718" t="s">
        <v>1765</v>
      </c>
      <c r="B21" s="718" t="s">
        <v>2157</v>
      </c>
      <c r="C21" s="718" t="s">
        <v>1916</v>
      </c>
      <c r="D21" s="719">
        <v>1.68</v>
      </c>
      <c r="E21" s="720">
        <v>1</v>
      </c>
      <c r="F21" s="736">
        <v>1.68</v>
      </c>
      <c r="G21" s="719"/>
      <c r="H21" s="719"/>
      <c r="I21" s="719"/>
      <c r="J21" s="719"/>
      <c r="K21" s="722"/>
      <c r="L21" s="722"/>
      <c r="M21" s="722"/>
      <c r="N21" s="722" t="s">
        <v>178</v>
      </c>
      <c r="O21" s="722">
        <f>D21*100</f>
        <v>168</v>
      </c>
      <c r="P21" s="723">
        <v>1885.72</v>
      </c>
      <c r="Q21" s="724">
        <f t="shared" si="0"/>
        <v>316800.96000000002</v>
      </c>
      <c r="R21" s="723">
        <f>Q21*1.2</f>
        <v>380161.152</v>
      </c>
      <c r="AC21" s="726"/>
      <c r="AD21" s="726"/>
      <c r="AE21" s="726" t="s">
        <v>1915</v>
      </c>
      <c r="AJ21" s="726"/>
    </row>
    <row r="22" spans="1:36" s="725" customFormat="1" hidden="1" x14ac:dyDescent="0.3">
      <c r="A22" s="718"/>
      <c r="B22" s="718" t="s">
        <v>1917</v>
      </c>
      <c r="C22" s="718"/>
      <c r="D22" s="718"/>
      <c r="E22" s="718"/>
      <c r="F22" s="718"/>
      <c r="G22" s="718"/>
      <c r="H22" s="718"/>
      <c r="I22" s="718"/>
      <c r="J22" s="718"/>
      <c r="K22" s="722"/>
      <c r="L22" s="722"/>
      <c r="M22" s="722"/>
      <c r="N22" s="722"/>
      <c r="O22" s="722"/>
      <c r="P22" s="723"/>
      <c r="Q22" s="724">
        <f t="shared" si="0"/>
        <v>0</v>
      </c>
      <c r="R22" s="723"/>
      <c r="AC22" s="726"/>
      <c r="AD22" s="726"/>
      <c r="AE22" s="726"/>
      <c r="AF22" s="726" t="s">
        <v>1917</v>
      </c>
      <c r="AJ22" s="726"/>
    </row>
    <row r="23" spans="1:36" s="725" customFormat="1" ht="39.6" x14ac:dyDescent="0.3">
      <c r="A23" s="727" t="s">
        <v>792</v>
      </c>
      <c r="B23" s="727" t="s">
        <v>1744</v>
      </c>
      <c r="C23" s="727" t="s">
        <v>1723</v>
      </c>
      <c r="D23" s="728">
        <v>252</v>
      </c>
      <c r="E23" s="729">
        <v>1</v>
      </c>
      <c r="F23" s="729">
        <v>252</v>
      </c>
      <c r="G23" s="730">
        <v>10.71</v>
      </c>
      <c r="H23" s="728"/>
      <c r="I23" s="732">
        <v>2698.92</v>
      </c>
      <c r="J23" s="730">
        <v>13.24</v>
      </c>
      <c r="K23" s="731"/>
      <c r="L23" s="731"/>
      <c r="M23" s="731"/>
      <c r="N23" s="731" t="s">
        <v>239</v>
      </c>
      <c r="O23" s="731">
        <f>D23</f>
        <v>252</v>
      </c>
      <c r="P23" s="778">
        <v>464.83</v>
      </c>
      <c r="Q23" s="732">
        <f t="shared" si="0"/>
        <v>117137.15999999999</v>
      </c>
      <c r="R23" s="733">
        <f>Q23*1.2</f>
        <v>140564.59199999998</v>
      </c>
      <c r="AC23" s="726"/>
      <c r="AD23" s="726"/>
      <c r="AE23" s="726" t="s">
        <v>1744</v>
      </c>
      <c r="AJ23" s="726"/>
    </row>
    <row r="24" spans="1:36" s="725" customFormat="1" hidden="1" x14ac:dyDescent="0.3">
      <c r="A24" s="718"/>
      <c r="B24" s="718" t="s">
        <v>1922</v>
      </c>
      <c r="C24" s="718"/>
      <c r="D24" s="718"/>
      <c r="E24" s="718"/>
      <c r="F24" s="718"/>
      <c r="G24" s="718"/>
      <c r="H24" s="718"/>
      <c r="I24" s="718"/>
      <c r="J24" s="718"/>
      <c r="K24" s="722"/>
      <c r="L24" s="722"/>
      <c r="M24" s="722"/>
      <c r="N24" s="722"/>
      <c r="O24" s="722"/>
      <c r="P24" s="723"/>
      <c r="Q24" s="724">
        <f t="shared" si="0"/>
        <v>0</v>
      </c>
      <c r="R24" s="723"/>
      <c r="AC24" s="726"/>
      <c r="AD24" s="726"/>
      <c r="AE24" s="726"/>
      <c r="AF24" s="726" t="s">
        <v>1922</v>
      </c>
      <c r="AJ24" s="726"/>
    </row>
    <row r="25" spans="1:36" s="725" customFormat="1" ht="39.6" x14ac:dyDescent="0.3">
      <c r="A25" s="727" t="s">
        <v>1770</v>
      </c>
      <c r="B25" s="727" t="s">
        <v>1924</v>
      </c>
      <c r="C25" s="727" t="s">
        <v>1723</v>
      </c>
      <c r="D25" s="728">
        <v>252</v>
      </c>
      <c r="E25" s="729">
        <v>1</v>
      </c>
      <c r="F25" s="729">
        <v>252</v>
      </c>
      <c r="G25" s="730">
        <v>8.7899999999999991</v>
      </c>
      <c r="H25" s="728"/>
      <c r="I25" s="732">
        <v>2215.08</v>
      </c>
      <c r="J25" s="730">
        <v>13.62</v>
      </c>
      <c r="K25" s="731"/>
      <c r="L25" s="731"/>
      <c r="M25" s="731"/>
      <c r="N25" s="731" t="s">
        <v>239</v>
      </c>
      <c r="O25" s="731">
        <f>D25</f>
        <v>252</v>
      </c>
      <c r="P25" s="733">
        <v>262.73</v>
      </c>
      <c r="Q25" s="732">
        <f t="shared" si="0"/>
        <v>66207.960000000006</v>
      </c>
      <c r="R25" s="733">
        <f>Q25*1.2</f>
        <v>79449.552000000011</v>
      </c>
      <c r="AC25" s="726"/>
      <c r="AD25" s="726"/>
      <c r="AE25" s="726" t="s">
        <v>1924</v>
      </c>
      <c r="AJ25" s="726"/>
    </row>
    <row r="26" spans="1:36" s="725" customFormat="1" ht="39.6" x14ac:dyDescent="0.3">
      <c r="A26" s="727" t="s">
        <v>612</v>
      </c>
      <c r="B26" s="727" t="s">
        <v>1927</v>
      </c>
      <c r="C26" s="727" t="s">
        <v>1723</v>
      </c>
      <c r="D26" s="728">
        <v>252</v>
      </c>
      <c r="E26" s="729">
        <v>1</v>
      </c>
      <c r="F26" s="729">
        <v>252</v>
      </c>
      <c r="G26" s="730">
        <v>10.71</v>
      </c>
      <c r="H26" s="728"/>
      <c r="I26" s="732">
        <v>2698.92</v>
      </c>
      <c r="J26" s="730">
        <v>13.24</v>
      </c>
      <c r="K26" s="731"/>
      <c r="L26" s="731"/>
      <c r="M26" s="731"/>
      <c r="N26" s="731" t="s">
        <v>239</v>
      </c>
      <c r="O26" s="731">
        <f>D26</f>
        <v>252</v>
      </c>
      <c r="P26" s="778">
        <v>464.83</v>
      </c>
      <c r="Q26" s="732">
        <f t="shared" si="0"/>
        <v>117137.15999999999</v>
      </c>
      <c r="R26" s="733">
        <f>Q26*1.2</f>
        <v>140564.59199999998</v>
      </c>
      <c r="AC26" s="726"/>
      <c r="AD26" s="726"/>
      <c r="AE26" s="726" t="s">
        <v>1927</v>
      </c>
      <c r="AJ26" s="726"/>
    </row>
    <row r="27" spans="1:36" s="725" customFormat="1" hidden="1" x14ac:dyDescent="0.3">
      <c r="A27" s="718"/>
      <c r="B27" s="718" t="s">
        <v>1922</v>
      </c>
      <c r="C27" s="718"/>
      <c r="D27" s="718"/>
      <c r="E27" s="718"/>
      <c r="F27" s="718"/>
      <c r="G27" s="718"/>
      <c r="H27" s="718"/>
      <c r="I27" s="718"/>
      <c r="J27" s="718"/>
      <c r="K27" s="722"/>
      <c r="L27" s="722"/>
      <c r="M27" s="722"/>
      <c r="N27" s="722"/>
      <c r="O27" s="722"/>
      <c r="P27" s="723"/>
      <c r="Q27" s="724">
        <f t="shared" si="0"/>
        <v>0</v>
      </c>
      <c r="R27" s="723"/>
      <c r="AC27" s="726"/>
      <c r="AD27" s="726"/>
      <c r="AE27" s="726"/>
      <c r="AF27" s="726" t="s">
        <v>1922</v>
      </c>
      <c r="AJ27" s="726"/>
    </row>
    <row r="28" spans="1:36" s="725" customFormat="1" ht="26.4" x14ac:dyDescent="0.3">
      <c r="A28" s="718" t="s">
        <v>834</v>
      </c>
      <c r="B28" s="718" t="s">
        <v>1929</v>
      </c>
      <c r="C28" s="718" t="s">
        <v>1916</v>
      </c>
      <c r="D28" s="719">
        <v>0.16</v>
      </c>
      <c r="E28" s="720">
        <v>1</v>
      </c>
      <c r="F28" s="736">
        <v>0.16</v>
      </c>
      <c r="G28" s="719"/>
      <c r="H28" s="719"/>
      <c r="I28" s="719"/>
      <c r="J28" s="719"/>
      <c r="K28" s="722"/>
      <c r="L28" s="722"/>
      <c r="M28" s="722"/>
      <c r="N28" s="722" t="s">
        <v>178</v>
      </c>
      <c r="O28" s="722">
        <f>D28*100</f>
        <v>16</v>
      </c>
      <c r="P28" s="723">
        <v>2325.9</v>
      </c>
      <c r="Q28" s="724">
        <f t="shared" si="0"/>
        <v>37214.400000000001</v>
      </c>
      <c r="R28" s="723">
        <f>Q28*1.2</f>
        <v>44657.279999999999</v>
      </c>
      <c r="AC28" s="726"/>
      <c r="AD28" s="726"/>
      <c r="AE28" s="726" t="s">
        <v>1929</v>
      </c>
      <c r="AJ28" s="726"/>
    </row>
    <row r="29" spans="1:36" s="725" customFormat="1" hidden="1" x14ac:dyDescent="0.3">
      <c r="A29" s="718"/>
      <c r="B29" s="718" t="s">
        <v>1930</v>
      </c>
      <c r="C29" s="718"/>
      <c r="D29" s="718"/>
      <c r="E29" s="718"/>
      <c r="F29" s="718"/>
      <c r="G29" s="718"/>
      <c r="H29" s="718"/>
      <c r="I29" s="718"/>
      <c r="J29" s="718"/>
      <c r="K29" s="722"/>
      <c r="L29" s="722"/>
      <c r="M29" s="722"/>
      <c r="N29" s="722"/>
      <c r="O29" s="722"/>
      <c r="P29" s="723"/>
      <c r="Q29" s="724">
        <f t="shared" si="0"/>
        <v>0</v>
      </c>
      <c r="R29" s="723"/>
      <c r="AC29" s="726"/>
      <c r="AD29" s="726"/>
      <c r="AE29" s="726"/>
      <c r="AF29" s="726" t="s">
        <v>1930</v>
      </c>
      <c r="AJ29" s="726"/>
    </row>
    <row r="30" spans="1:36" s="725" customFormat="1" ht="39.6" x14ac:dyDescent="0.3">
      <c r="A30" s="727" t="s">
        <v>1774</v>
      </c>
      <c r="B30" s="727" t="s">
        <v>1744</v>
      </c>
      <c r="C30" s="727" t="s">
        <v>1723</v>
      </c>
      <c r="D30" s="728">
        <v>20.6</v>
      </c>
      <c r="E30" s="729">
        <v>1</v>
      </c>
      <c r="F30" s="735">
        <v>20.6</v>
      </c>
      <c r="G30" s="730">
        <v>10.71</v>
      </c>
      <c r="H30" s="728"/>
      <c r="I30" s="730">
        <v>220.63</v>
      </c>
      <c r="J30" s="730">
        <v>13.24</v>
      </c>
      <c r="K30" s="731"/>
      <c r="L30" s="731"/>
      <c r="M30" s="731"/>
      <c r="N30" s="731" t="s">
        <v>239</v>
      </c>
      <c r="O30" s="731">
        <f>D30</f>
        <v>20.6</v>
      </c>
      <c r="P30" s="778">
        <v>464.83</v>
      </c>
      <c r="Q30" s="732">
        <f t="shared" si="0"/>
        <v>9575.4979999999996</v>
      </c>
      <c r="R30" s="733">
        <f>Q30*1.2</f>
        <v>11490.597599999999</v>
      </c>
      <c r="AC30" s="726"/>
      <c r="AD30" s="726"/>
      <c r="AE30" s="726" t="s">
        <v>1744</v>
      </c>
      <c r="AJ30" s="726"/>
    </row>
    <row r="31" spans="1:36" s="725" customFormat="1" hidden="1" x14ac:dyDescent="0.3">
      <c r="A31" s="718"/>
      <c r="B31" s="718" t="s">
        <v>1931</v>
      </c>
      <c r="C31" s="718"/>
      <c r="D31" s="718"/>
      <c r="E31" s="718"/>
      <c r="F31" s="718"/>
      <c r="G31" s="718"/>
      <c r="H31" s="718"/>
      <c r="I31" s="718"/>
      <c r="J31" s="718"/>
      <c r="K31" s="722"/>
      <c r="L31" s="722"/>
      <c r="M31" s="722"/>
      <c r="N31" s="722"/>
      <c r="O31" s="722"/>
      <c r="P31" s="723"/>
      <c r="Q31" s="724">
        <f t="shared" si="0"/>
        <v>0</v>
      </c>
      <c r="R31" s="723"/>
      <c r="AC31" s="726"/>
      <c r="AD31" s="726"/>
      <c r="AE31" s="726"/>
      <c r="AF31" s="726" t="s">
        <v>1931</v>
      </c>
      <c r="AJ31" s="726"/>
    </row>
    <row r="32" spans="1:36" s="725" customFormat="1" ht="39.6" x14ac:dyDescent="0.3">
      <c r="A32" s="727" t="s">
        <v>1775</v>
      </c>
      <c r="B32" s="727" t="s">
        <v>1924</v>
      </c>
      <c r="C32" s="727" t="s">
        <v>1723</v>
      </c>
      <c r="D32" s="728">
        <v>20.6</v>
      </c>
      <c r="E32" s="729">
        <v>1</v>
      </c>
      <c r="F32" s="735">
        <v>20.6</v>
      </c>
      <c r="G32" s="730">
        <v>8.7899999999999991</v>
      </c>
      <c r="H32" s="728"/>
      <c r="I32" s="730">
        <v>181.07</v>
      </c>
      <c r="J32" s="730">
        <v>13.62</v>
      </c>
      <c r="K32" s="731"/>
      <c r="L32" s="731"/>
      <c r="M32" s="731"/>
      <c r="N32" s="731" t="s">
        <v>239</v>
      </c>
      <c r="O32" s="731">
        <f>D32</f>
        <v>20.6</v>
      </c>
      <c r="P32" s="733">
        <v>262.73</v>
      </c>
      <c r="Q32" s="732">
        <f t="shared" si="0"/>
        <v>5412.2380000000012</v>
      </c>
      <c r="R32" s="733">
        <f>Q32*1.2</f>
        <v>6494.6856000000016</v>
      </c>
      <c r="AC32" s="726"/>
      <c r="AD32" s="726"/>
      <c r="AE32" s="726" t="s">
        <v>1924</v>
      </c>
      <c r="AJ32" s="726"/>
    </row>
    <row r="33" spans="1:36" s="725" customFormat="1" ht="39.6" x14ac:dyDescent="0.3">
      <c r="A33" s="727" t="s">
        <v>1777</v>
      </c>
      <c r="B33" s="727" t="s">
        <v>1927</v>
      </c>
      <c r="C33" s="727" t="s">
        <v>1723</v>
      </c>
      <c r="D33" s="728">
        <v>20.6</v>
      </c>
      <c r="E33" s="729">
        <v>1</v>
      </c>
      <c r="F33" s="735">
        <v>20.6</v>
      </c>
      <c r="G33" s="730">
        <v>10.71</v>
      </c>
      <c r="H33" s="728"/>
      <c r="I33" s="730">
        <v>220.63</v>
      </c>
      <c r="J33" s="730">
        <v>13.24</v>
      </c>
      <c r="K33" s="731"/>
      <c r="L33" s="731"/>
      <c r="M33" s="731"/>
      <c r="N33" s="731" t="s">
        <v>239</v>
      </c>
      <c r="O33" s="731">
        <f>D33</f>
        <v>20.6</v>
      </c>
      <c r="P33" s="778">
        <v>464.83</v>
      </c>
      <c r="Q33" s="732">
        <f t="shared" si="0"/>
        <v>9575.4979999999996</v>
      </c>
      <c r="R33" s="733">
        <f>Q33*1.2</f>
        <v>11490.597599999999</v>
      </c>
      <c r="AC33" s="726"/>
      <c r="AD33" s="726"/>
      <c r="AE33" s="726" t="s">
        <v>1927</v>
      </c>
      <c r="AJ33" s="726"/>
    </row>
    <row r="34" spans="1:36" s="725" customFormat="1" ht="39.6" x14ac:dyDescent="0.3">
      <c r="A34" s="727" t="s">
        <v>1132</v>
      </c>
      <c r="B34" s="727" t="s">
        <v>1744</v>
      </c>
      <c r="C34" s="727" t="s">
        <v>1723</v>
      </c>
      <c r="D34" s="728">
        <v>272.60000000000002</v>
      </c>
      <c r="E34" s="729">
        <v>1</v>
      </c>
      <c r="F34" s="735">
        <v>272.60000000000002</v>
      </c>
      <c r="G34" s="730">
        <v>10.71</v>
      </c>
      <c r="H34" s="728"/>
      <c r="I34" s="732">
        <v>2919.55</v>
      </c>
      <c r="J34" s="730">
        <v>13.24</v>
      </c>
      <c r="K34" s="731"/>
      <c r="L34" s="731"/>
      <c r="M34" s="731"/>
      <c r="N34" s="731" t="s">
        <v>239</v>
      </c>
      <c r="O34" s="731">
        <f>D34</f>
        <v>272.60000000000002</v>
      </c>
      <c r="P34" s="778">
        <v>464.83</v>
      </c>
      <c r="Q34" s="732">
        <f t="shared" si="0"/>
        <v>126712.65800000001</v>
      </c>
      <c r="R34" s="733">
        <f>Q34*1.2</f>
        <v>152055.18960000001</v>
      </c>
      <c r="AC34" s="726"/>
      <c r="AD34" s="726"/>
      <c r="AE34" s="726" t="s">
        <v>1744</v>
      </c>
      <c r="AJ34" s="726"/>
    </row>
    <row r="35" spans="1:36" s="725" customFormat="1" hidden="1" x14ac:dyDescent="0.3">
      <c r="A35" s="718"/>
      <c r="B35" s="718" t="s">
        <v>1932</v>
      </c>
      <c r="C35" s="718"/>
      <c r="D35" s="718"/>
      <c r="E35" s="718"/>
      <c r="F35" s="718"/>
      <c r="G35" s="718"/>
      <c r="H35" s="718"/>
      <c r="I35" s="718"/>
      <c r="J35" s="718"/>
      <c r="K35" s="722"/>
      <c r="L35" s="722"/>
      <c r="M35" s="722"/>
      <c r="N35" s="722"/>
      <c r="O35" s="722"/>
      <c r="P35" s="723"/>
      <c r="Q35" s="724">
        <f t="shared" si="0"/>
        <v>0</v>
      </c>
      <c r="R35" s="723"/>
      <c r="AC35" s="726"/>
      <c r="AD35" s="726"/>
      <c r="AE35" s="726"/>
      <c r="AF35" s="726" t="s">
        <v>1932</v>
      </c>
      <c r="AJ35" s="726"/>
    </row>
    <row r="36" spans="1:36" s="725" customFormat="1" ht="26.4" x14ac:dyDescent="0.3">
      <c r="A36" s="737" t="s">
        <v>1780</v>
      </c>
      <c r="B36" s="737" t="s">
        <v>1727</v>
      </c>
      <c r="C36" s="737" t="s">
        <v>193</v>
      </c>
      <c r="D36" s="738">
        <v>112.49</v>
      </c>
      <c r="E36" s="739">
        <v>1</v>
      </c>
      <c r="F36" s="740">
        <v>112.49</v>
      </c>
      <c r="G36" s="740">
        <v>162.38</v>
      </c>
      <c r="H36" s="738"/>
      <c r="I36" s="741">
        <v>18266.13</v>
      </c>
      <c r="J36" s="740">
        <v>8.16</v>
      </c>
      <c r="K36" s="742"/>
      <c r="L36" s="742"/>
      <c r="M36" s="742"/>
      <c r="N36" s="742" t="s">
        <v>193</v>
      </c>
      <c r="O36" s="742">
        <f>D36</f>
        <v>112.49</v>
      </c>
      <c r="P36" s="743">
        <v>1350</v>
      </c>
      <c r="Q36" s="743">
        <f t="shared" si="0"/>
        <v>151861.5</v>
      </c>
      <c r="R36" s="743">
        <f>Q36*1.2</f>
        <v>182233.8</v>
      </c>
      <c r="AC36" s="726"/>
      <c r="AD36" s="726"/>
      <c r="AE36" s="726" t="s">
        <v>1727</v>
      </c>
      <c r="AJ36" s="726"/>
    </row>
    <row r="37" spans="1:36" s="725" customFormat="1" hidden="1" x14ac:dyDescent="0.3">
      <c r="A37" s="718"/>
      <c r="B37" s="718" t="s">
        <v>1933</v>
      </c>
      <c r="C37" s="718"/>
      <c r="D37" s="718"/>
      <c r="E37" s="718"/>
      <c r="F37" s="718"/>
      <c r="G37" s="718"/>
      <c r="H37" s="718"/>
      <c r="I37" s="718"/>
      <c r="J37" s="718"/>
      <c r="K37" s="722"/>
      <c r="L37" s="722"/>
      <c r="M37" s="722"/>
      <c r="N37" s="722"/>
      <c r="O37" s="722"/>
      <c r="P37" s="723"/>
      <c r="Q37" s="724">
        <f t="shared" si="0"/>
        <v>0</v>
      </c>
      <c r="R37" s="723"/>
      <c r="AC37" s="726"/>
      <c r="AD37" s="726"/>
      <c r="AE37" s="726"/>
      <c r="AF37" s="726" t="s">
        <v>1933</v>
      </c>
      <c r="AJ37" s="726"/>
    </row>
    <row r="38" spans="1:36" s="711" customFormat="1" x14ac:dyDescent="0.3">
      <c r="A38" s="927" t="s">
        <v>1934</v>
      </c>
      <c r="B38" s="927"/>
      <c r="C38" s="712"/>
      <c r="D38" s="712"/>
      <c r="E38" s="712"/>
      <c r="F38" s="712"/>
      <c r="G38" s="712"/>
      <c r="H38" s="712"/>
      <c r="I38" s="712"/>
      <c r="J38" s="712"/>
      <c r="K38" s="713"/>
      <c r="L38" s="713"/>
      <c r="M38" s="713"/>
      <c r="N38" s="713"/>
      <c r="O38" s="713"/>
      <c r="P38" s="717"/>
      <c r="Q38" s="724">
        <f t="shared" si="0"/>
        <v>0</v>
      </c>
      <c r="R38" s="717"/>
      <c r="AC38" s="716"/>
      <c r="AD38" s="716" t="s">
        <v>1934</v>
      </c>
      <c r="AE38" s="716"/>
      <c r="AJ38" s="716"/>
    </row>
    <row r="39" spans="1:36" s="725" customFormat="1" ht="52.8" x14ac:dyDescent="0.3">
      <c r="A39" s="718" t="s">
        <v>816</v>
      </c>
      <c r="B39" s="718" t="s">
        <v>2158</v>
      </c>
      <c r="C39" s="718" t="s">
        <v>1916</v>
      </c>
      <c r="D39" s="719">
        <v>0.13</v>
      </c>
      <c r="E39" s="720">
        <v>1</v>
      </c>
      <c r="F39" s="736">
        <v>0.13</v>
      </c>
      <c r="G39" s="719"/>
      <c r="H39" s="719"/>
      <c r="I39" s="719"/>
      <c r="J39" s="719"/>
      <c r="K39" s="722"/>
      <c r="L39" s="722"/>
      <c r="M39" s="722"/>
      <c r="N39" s="722" t="s">
        <v>178</v>
      </c>
      <c r="O39" s="722">
        <f>D39*100</f>
        <v>13</v>
      </c>
      <c r="P39" s="723">
        <v>23745.65</v>
      </c>
      <c r="Q39" s="724">
        <f t="shared" si="0"/>
        <v>308693.45</v>
      </c>
      <c r="R39" s="723">
        <f>Q39*1.2</f>
        <v>370432.14</v>
      </c>
      <c r="AC39" s="726"/>
      <c r="AD39" s="726"/>
      <c r="AE39" s="726" t="s">
        <v>1936</v>
      </c>
      <c r="AJ39" s="726"/>
    </row>
    <row r="40" spans="1:36" s="725" customFormat="1" hidden="1" x14ac:dyDescent="0.3">
      <c r="A40" s="718"/>
      <c r="B40" s="718" t="s">
        <v>1937</v>
      </c>
      <c r="C40" s="718"/>
      <c r="D40" s="718"/>
      <c r="E40" s="718"/>
      <c r="F40" s="718"/>
      <c r="G40" s="718"/>
      <c r="H40" s="718"/>
      <c r="I40" s="718"/>
      <c r="J40" s="718"/>
      <c r="K40" s="722"/>
      <c r="L40" s="722"/>
      <c r="M40" s="722"/>
      <c r="N40" s="722"/>
      <c r="O40" s="722"/>
      <c r="P40" s="723"/>
      <c r="Q40" s="724">
        <f t="shared" si="0"/>
        <v>0</v>
      </c>
      <c r="R40" s="723"/>
      <c r="AC40" s="726"/>
      <c r="AD40" s="726"/>
      <c r="AE40" s="726"/>
      <c r="AF40" s="726" t="s">
        <v>1937</v>
      </c>
      <c r="AJ40" s="726"/>
    </row>
    <row r="41" spans="1:36" s="725" customFormat="1" ht="52.8" x14ac:dyDescent="0.3">
      <c r="A41" s="718" t="s">
        <v>1786</v>
      </c>
      <c r="B41" s="718" t="s">
        <v>2159</v>
      </c>
      <c r="C41" s="718" t="s">
        <v>1916</v>
      </c>
      <c r="D41" s="719">
        <v>0.22</v>
      </c>
      <c r="E41" s="720">
        <v>1</v>
      </c>
      <c r="F41" s="736">
        <v>0.22</v>
      </c>
      <c r="G41" s="719"/>
      <c r="H41" s="719"/>
      <c r="I41" s="719"/>
      <c r="J41" s="719"/>
      <c r="K41" s="722"/>
      <c r="L41" s="722"/>
      <c r="M41" s="722"/>
      <c r="N41" s="722" t="s">
        <v>178</v>
      </c>
      <c r="O41" s="722">
        <f>D41*100</f>
        <v>22</v>
      </c>
      <c r="P41" s="723">
        <v>14420.98</v>
      </c>
      <c r="Q41" s="724">
        <f t="shared" si="0"/>
        <v>317261.56</v>
      </c>
      <c r="R41" s="723">
        <f>Q41*1.2</f>
        <v>380713.87199999997</v>
      </c>
      <c r="AC41" s="726"/>
      <c r="AD41" s="726"/>
      <c r="AE41" s="726" t="s">
        <v>1939</v>
      </c>
      <c r="AJ41" s="726"/>
    </row>
    <row r="42" spans="1:36" s="725" customFormat="1" hidden="1" x14ac:dyDescent="0.3">
      <c r="A42" s="718"/>
      <c r="B42" s="718" t="s">
        <v>1940</v>
      </c>
      <c r="C42" s="718"/>
      <c r="D42" s="718"/>
      <c r="E42" s="718"/>
      <c r="F42" s="718"/>
      <c r="G42" s="718"/>
      <c r="H42" s="718"/>
      <c r="I42" s="718"/>
      <c r="J42" s="718"/>
      <c r="K42" s="722"/>
      <c r="L42" s="722"/>
      <c r="M42" s="722"/>
      <c r="N42" s="722"/>
      <c r="O42" s="722"/>
      <c r="P42" s="723"/>
      <c r="Q42" s="724">
        <f t="shared" si="0"/>
        <v>0</v>
      </c>
      <c r="R42" s="723"/>
      <c r="AC42" s="726"/>
      <c r="AD42" s="726"/>
      <c r="AE42" s="726"/>
      <c r="AF42" s="726" t="s">
        <v>1940</v>
      </c>
      <c r="AJ42" s="726"/>
    </row>
    <row r="43" spans="1:36" s="725" customFormat="1" ht="39.6" x14ac:dyDescent="0.3">
      <c r="A43" s="727" t="s">
        <v>766</v>
      </c>
      <c r="B43" s="727" t="s">
        <v>1942</v>
      </c>
      <c r="C43" s="727" t="s">
        <v>1723</v>
      </c>
      <c r="D43" s="728">
        <v>204.36</v>
      </c>
      <c r="E43" s="729">
        <v>1</v>
      </c>
      <c r="F43" s="730">
        <v>204.36</v>
      </c>
      <c r="G43" s="730">
        <v>10.15</v>
      </c>
      <c r="H43" s="728"/>
      <c r="I43" s="732">
        <v>2074.25</v>
      </c>
      <c r="J43" s="730">
        <v>13.24</v>
      </c>
      <c r="K43" s="731"/>
      <c r="L43" s="731"/>
      <c r="M43" s="731"/>
      <c r="N43" s="731" t="s">
        <v>239</v>
      </c>
      <c r="O43" s="731">
        <f>D43</f>
        <v>204.36</v>
      </c>
      <c r="P43" s="778">
        <v>464.83</v>
      </c>
      <c r="Q43" s="732">
        <f t="shared" si="0"/>
        <v>94992.658800000005</v>
      </c>
      <c r="R43" s="733">
        <f>Q43*1.2</f>
        <v>113991.19056</v>
      </c>
      <c r="AC43" s="726"/>
      <c r="AD43" s="726"/>
      <c r="AE43" s="726" t="s">
        <v>1942</v>
      </c>
      <c r="AJ43" s="726"/>
    </row>
    <row r="44" spans="1:36" s="725" customFormat="1" hidden="1" x14ac:dyDescent="0.3">
      <c r="A44" s="718"/>
      <c r="B44" s="718" t="s">
        <v>1943</v>
      </c>
      <c r="C44" s="718"/>
      <c r="D44" s="718"/>
      <c r="E44" s="718"/>
      <c r="F44" s="718"/>
      <c r="G44" s="718"/>
      <c r="H44" s="718"/>
      <c r="I44" s="718"/>
      <c r="J44" s="718"/>
      <c r="K44" s="722"/>
      <c r="L44" s="722"/>
      <c r="M44" s="722"/>
      <c r="N44" s="722"/>
      <c r="O44" s="722"/>
      <c r="P44" s="723"/>
      <c r="Q44" s="724">
        <f t="shared" si="0"/>
        <v>0</v>
      </c>
      <c r="R44" s="723"/>
      <c r="AC44" s="726"/>
      <c r="AD44" s="726"/>
      <c r="AE44" s="726"/>
      <c r="AF44" s="726" t="s">
        <v>1943</v>
      </c>
      <c r="AJ44" s="726"/>
    </row>
    <row r="45" spans="1:36" s="725" customFormat="1" ht="39.6" x14ac:dyDescent="0.3">
      <c r="A45" s="727" t="s">
        <v>1789</v>
      </c>
      <c r="B45" s="727" t="s">
        <v>1924</v>
      </c>
      <c r="C45" s="727" t="s">
        <v>1723</v>
      </c>
      <c r="D45" s="728">
        <v>204.36</v>
      </c>
      <c r="E45" s="729">
        <v>1</v>
      </c>
      <c r="F45" s="730">
        <v>204.36</v>
      </c>
      <c r="G45" s="730">
        <v>8.7899999999999991</v>
      </c>
      <c r="H45" s="728"/>
      <c r="I45" s="732">
        <v>1796.32</v>
      </c>
      <c r="J45" s="730">
        <v>13.62</v>
      </c>
      <c r="K45" s="731"/>
      <c r="L45" s="731"/>
      <c r="M45" s="731"/>
      <c r="N45" s="731" t="s">
        <v>239</v>
      </c>
      <c r="O45" s="731">
        <f>D45</f>
        <v>204.36</v>
      </c>
      <c r="P45" s="733">
        <v>262.73</v>
      </c>
      <c r="Q45" s="732">
        <f t="shared" si="0"/>
        <v>53691.502800000009</v>
      </c>
      <c r="R45" s="733">
        <f>Q45*1.2</f>
        <v>64429.803360000005</v>
      </c>
      <c r="AC45" s="726"/>
      <c r="AD45" s="726"/>
      <c r="AE45" s="726" t="s">
        <v>1924</v>
      </c>
      <c r="AJ45" s="726"/>
    </row>
    <row r="46" spans="1:36" s="725" customFormat="1" ht="39.6" x14ac:dyDescent="0.3">
      <c r="A46" s="727" t="s">
        <v>1791</v>
      </c>
      <c r="B46" s="727" t="s">
        <v>1945</v>
      </c>
      <c r="C46" s="727" t="s">
        <v>1723</v>
      </c>
      <c r="D46" s="728">
        <v>204.36</v>
      </c>
      <c r="E46" s="729">
        <v>1</v>
      </c>
      <c r="F46" s="730">
        <v>204.36</v>
      </c>
      <c r="G46" s="730">
        <v>10.15</v>
      </c>
      <c r="H46" s="728"/>
      <c r="I46" s="732">
        <v>2074.25</v>
      </c>
      <c r="J46" s="730">
        <v>13.24</v>
      </c>
      <c r="K46" s="731"/>
      <c r="L46" s="731"/>
      <c r="M46" s="731"/>
      <c r="N46" s="731" t="s">
        <v>239</v>
      </c>
      <c r="O46" s="731">
        <f>D46</f>
        <v>204.36</v>
      </c>
      <c r="P46" s="778">
        <v>464.83</v>
      </c>
      <c r="Q46" s="732">
        <f t="shared" si="0"/>
        <v>94992.658800000005</v>
      </c>
      <c r="R46" s="733">
        <f>Q46*1.2</f>
        <v>113991.19056</v>
      </c>
      <c r="AC46" s="726"/>
      <c r="AD46" s="726"/>
      <c r="AE46" s="726" t="s">
        <v>1945</v>
      </c>
      <c r="AJ46" s="726"/>
    </row>
    <row r="47" spans="1:36" s="725" customFormat="1" ht="39.6" x14ac:dyDescent="0.3">
      <c r="A47" s="727" t="s">
        <v>1794</v>
      </c>
      <c r="B47" s="727" t="s">
        <v>1942</v>
      </c>
      <c r="C47" s="727" t="s">
        <v>1723</v>
      </c>
      <c r="D47" s="728">
        <v>204.36</v>
      </c>
      <c r="E47" s="729">
        <v>1</v>
      </c>
      <c r="F47" s="730">
        <v>204.36</v>
      </c>
      <c r="G47" s="730">
        <v>10.15</v>
      </c>
      <c r="H47" s="728"/>
      <c r="I47" s="732">
        <v>2074.25</v>
      </c>
      <c r="J47" s="730">
        <v>13.24</v>
      </c>
      <c r="K47" s="731"/>
      <c r="L47" s="731"/>
      <c r="M47" s="731"/>
      <c r="N47" s="731" t="s">
        <v>239</v>
      </c>
      <c r="O47" s="731">
        <f>D47</f>
        <v>204.36</v>
      </c>
      <c r="P47" s="778">
        <v>464.83</v>
      </c>
      <c r="Q47" s="732">
        <f t="shared" si="0"/>
        <v>94992.658800000005</v>
      </c>
      <c r="R47" s="733">
        <f>Q47*1.2</f>
        <v>113991.19056</v>
      </c>
      <c r="AC47" s="726"/>
      <c r="AD47" s="726"/>
      <c r="AE47" s="726" t="s">
        <v>1942</v>
      </c>
      <c r="AJ47" s="726"/>
    </row>
    <row r="48" spans="1:36" s="725" customFormat="1" ht="26.4" x14ac:dyDescent="0.3">
      <c r="A48" s="737" t="s">
        <v>1796</v>
      </c>
      <c r="B48" s="737" t="s">
        <v>1727</v>
      </c>
      <c r="C48" s="737" t="s">
        <v>193</v>
      </c>
      <c r="D48" s="738">
        <v>44.72</v>
      </c>
      <c r="E48" s="739">
        <v>1</v>
      </c>
      <c r="F48" s="740">
        <v>44.72</v>
      </c>
      <c r="G48" s="740">
        <v>162.38</v>
      </c>
      <c r="H48" s="738"/>
      <c r="I48" s="741">
        <v>7261.63</v>
      </c>
      <c r="J48" s="740">
        <v>8.16</v>
      </c>
      <c r="K48" s="742"/>
      <c r="L48" s="742"/>
      <c r="M48" s="742"/>
      <c r="N48" s="742" t="s">
        <v>193</v>
      </c>
      <c r="O48" s="742">
        <f>D48</f>
        <v>44.72</v>
      </c>
      <c r="P48" s="743">
        <v>1350</v>
      </c>
      <c r="Q48" s="743">
        <f t="shared" si="0"/>
        <v>60372</v>
      </c>
      <c r="R48" s="743">
        <f>Q48*1.2</f>
        <v>72446.399999999994</v>
      </c>
      <c r="AC48" s="726"/>
      <c r="AD48" s="726"/>
      <c r="AE48" s="726" t="s">
        <v>1727</v>
      </c>
      <c r="AJ48" s="726"/>
    </row>
    <row r="49" spans="1:36" s="711" customFormat="1" x14ac:dyDescent="0.3">
      <c r="A49" s="927" t="s">
        <v>1947</v>
      </c>
      <c r="B49" s="927"/>
      <c r="C49" s="712"/>
      <c r="D49" s="712"/>
      <c r="E49" s="712"/>
      <c r="F49" s="712"/>
      <c r="G49" s="712"/>
      <c r="H49" s="712"/>
      <c r="I49" s="712"/>
      <c r="J49" s="712"/>
      <c r="K49" s="713"/>
      <c r="L49" s="713"/>
      <c r="M49" s="713"/>
      <c r="N49" s="713"/>
      <c r="O49" s="713"/>
      <c r="P49" s="717"/>
      <c r="Q49" s="724">
        <f t="shared" si="0"/>
        <v>0</v>
      </c>
      <c r="R49" s="717"/>
      <c r="AC49" s="716"/>
      <c r="AD49" s="716" t="s">
        <v>1947</v>
      </c>
      <c r="AE49" s="716"/>
      <c r="AJ49" s="716"/>
    </row>
    <row r="50" spans="1:36" s="725" customFormat="1" ht="79.2" x14ac:dyDescent="0.3">
      <c r="A50" s="718" t="s">
        <v>1797</v>
      </c>
      <c r="B50" s="718" t="s">
        <v>2160</v>
      </c>
      <c r="C50" s="718" t="s">
        <v>239</v>
      </c>
      <c r="D50" s="719">
        <v>11.999000000000001</v>
      </c>
      <c r="E50" s="720">
        <v>1</v>
      </c>
      <c r="F50" s="744">
        <v>11.999000000000001</v>
      </c>
      <c r="G50" s="719"/>
      <c r="H50" s="719"/>
      <c r="I50" s="719"/>
      <c r="J50" s="719"/>
      <c r="K50" s="722"/>
      <c r="L50" s="722"/>
      <c r="M50" s="722"/>
      <c r="N50" s="722" t="s">
        <v>239</v>
      </c>
      <c r="O50" s="722">
        <f>D50</f>
        <v>11.999000000000001</v>
      </c>
      <c r="P50" s="723">
        <v>24240.41</v>
      </c>
      <c r="Q50" s="724">
        <f t="shared" si="0"/>
        <v>290860.67959000001</v>
      </c>
      <c r="R50" s="723">
        <f>Q50*1.2</f>
        <v>349032.81550800003</v>
      </c>
      <c r="AC50" s="726"/>
      <c r="AD50" s="726"/>
      <c r="AE50" s="726" t="s">
        <v>1949</v>
      </c>
      <c r="AJ50" s="726"/>
    </row>
    <row r="51" spans="1:36" s="725" customFormat="1" hidden="1" x14ac:dyDescent="0.3">
      <c r="A51" s="718"/>
      <c r="B51" s="718" t="s">
        <v>1950</v>
      </c>
      <c r="C51" s="718"/>
      <c r="D51" s="718"/>
      <c r="E51" s="718"/>
      <c r="F51" s="718"/>
      <c r="G51" s="718"/>
      <c r="H51" s="718"/>
      <c r="I51" s="718"/>
      <c r="J51" s="718"/>
      <c r="K51" s="722"/>
      <c r="L51" s="722"/>
      <c r="M51" s="722"/>
      <c r="N51" s="722"/>
      <c r="O51" s="722"/>
      <c r="P51" s="723"/>
      <c r="Q51" s="724">
        <f t="shared" si="0"/>
        <v>0</v>
      </c>
      <c r="R51" s="723"/>
      <c r="AC51" s="726"/>
      <c r="AD51" s="726"/>
      <c r="AE51" s="726"/>
      <c r="AF51" s="726" t="s">
        <v>1950</v>
      </c>
      <c r="AJ51" s="726"/>
    </row>
    <row r="52" spans="1:36" s="725" customFormat="1" ht="26.4" x14ac:dyDescent="0.3">
      <c r="A52" s="718" t="s">
        <v>1806</v>
      </c>
      <c r="B52" s="718" t="s">
        <v>1958</v>
      </c>
      <c r="C52" s="718" t="s">
        <v>239</v>
      </c>
      <c r="D52" s="719">
        <v>1.9</v>
      </c>
      <c r="E52" s="720">
        <v>1</v>
      </c>
      <c r="F52" s="745">
        <v>1.9</v>
      </c>
      <c r="G52" s="719"/>
      <c r="H52" s="719"/>
      <c r="I52" s="719"/>
      <c r="J52" s="719"/>
      <c r="K52" s="722"/>
      <c r="L52" s="722"/>
      <c r="M52" s="722"/>
      <c r="N52" s="722" t="s">
        <v>239</v>
      </c>
      <c r="O52" s="722">
        <f>D52</f>
        <v>1.9</v>
      </c>
      <c r="P52" s="723">
        <v>36505.15</v>
      </c>
      <c r="Q52" s="724">
        <f t="shared" si="0"/>
        <v>69359.785000000003</v>
      </c>
      <c r="R52" s="723">
        <f>Q52*1.2</f>
        <v>83231.741999999998</v>
      </c>
      <c r="AC52" s="726"/>
      <c r="AD52" s="726"/>
      <c r="AE52" s="726" t="s">
        <v>1958</v>
      </c>
      <c r="AJ52" s="726"/>
    </row>
    <row r="53" spans="1:36" s="725" customFormat="1" ht="39.6" x14ac:dyDescent="0.3">
      <c r="A53" s="727" t="s">
        <v>1811</v>
      </c>
      <c r="B53" s="727" t="s">
        <v>1960</v>
      </c>
      <c r="C53" s="727" t="s">
        <v>1723</v>
      </c>
      <c r="D53" s="728">
        <v>10.913</v>
      </c>
      <c r="E53" s="729">
        <v>1</v>
      </c>
      <c r="F53" s="746">
        <v>10.913</v>
      </c>
      <c r="G53" s="730">
        <v>22.33</v>
      </c>
      <c r="H53" s="728"/>
      <c r="I53" s="730">
        <v>243.69</v>
      </c>
      <c r="J53" s="730">
        <v>13.24</v>
      </c>
      <c r="K53" s="731"/>
      <c r="L53" s="731"/>
      <c r="M53" s="731"/>
      <c r="N53" s="731" t="s">
        <v>239</v>
      </c>
      <c r="O53" s="731">
        <f>D53</f>
        <v>10.913</v>
      </c>
      <c r="P53" s="778">
        <v>464.83</v>
      </c>
      <c r="Q53" s="732">
        <f t="shared" si="0"/>
        <v>5072.6897900000004</v>
      </c>
      <c r="R53" s="733">
        <f>Q53*1.2</f>
        <v>6087.2277480000002</v>
      </c>
      <c r="AC53" s="726"/>
      <c r="AD53" s="726"/>
      <c r="AE53" s="726" t="s">
        <v>1960</v>
      </c>
      <c r="AJ53" s="726"/>
    </row>
    <row r="54" spans="1:36" s="725" customFormat="1" hidden="1" x14ac:dyDescent="0.3">
      <c r="A54" s="727"/>
      <c r="B54" s="727" t="s">
        <v>1961</v>
      </c>
      <c r="C54" s="727"/>
      <c r="D54" s="727"/>
      <c r="E54" s="727"/>
      <c r="F54" s="727"/>
      <c r="G54" s="727"/>
      <c r="H54" s="727"/>
      <c r="I54" s="727"/>
      <c r="J54" s="727"/>
      <c r="K54" s="731"/>
      <c r="L54" s="731"/>
      <c r="M54" s="731"/>
      <c r="N54" s="731"/>
      <c r="O54" s="731"/>
      <c r="P54" s="733"/>
      <c r="Q54" s="732">
        <f t="shared" si="0"/>
        <v>0</v>
      </c>
      <c r="R54" s="733"/>
      <c r="AC54" s="726"/>
      <c r="AD54" s="726"/>
      <c r="AE54" s="726"/>
      <c r="AF54" s="726" t="s">
        <v>1961</v>
      </c>
      <c r="AJ54" s="726"/>
    </row>
    <row r="55" spans="1:36" s="725" customFormat="1" ht="26.4" x14ac:dyDescent="0.3">
      <c r="A55" s="727" t="s">
        <v>808</v>
      </c>
      <c r="B55" s="727" t="s">
        <v>1963</v>
      </c>
      <c r="C55" s="727" t="s">
        <v>1723</v>
      </c>
      <c r="D55" s="728">
        <v>2.7669999999999999</v>
      </c>
      <c r="E55" s="729">
        <v>1</v>
      </c>
      <c r="F55" s="746">
        <v>2.7669999999999999</v>
      </c>
      <c r="G55" s="730">
        <v>10.45</v>
      </c>
      <c r="H55" s="728"/>
      <c r="I55" s="730">
        <v>28.92</v>
      </c>
      <c r="J55" s="730">
        <v>13.24</v>
      </c>
      <c r="K55" s="731"/>
      <c r="L55" s="731"/>
      <c r="M55" s="731"/>
      <c r="N55" s="731" t="s">
        <v>239</v>
      </c>
      <c r="O55" s="731">
        <f>D55</f>
        <v>2.7669999999999999</v>
      </c>
      <c r="P55" s="778">
        <v>464.83</v>
      </c>
      <c r="Q55" s="732">
        <f t="shared" si="0"/>
        <v>1286.18461</v>
      </c>
      <c r="R55" s="733">
        <f>Q55*1.2</f>
        <v>1543.4215320000001</v>
      </c>
      <c r="AC55" s="726"/>
      <c r="AD55" s="726"/>
      <c r="AE55" s="726" t="s">
        <v>1963</v>
      </c>
      <c r="AJ55" s="726"/>
    </row>
    <row r="56" spans="1:36" s="725" customFormat="1" hidden="1" x14ac:dyDescent="0.3">
      <c r="A56" s="718"/>
      <c r="B56" s="718" t="s">
        <v>1964</v>
      </c>
      <c r="C56" s="718"/>
      <c r="D56" s="718"/>
      <c r="E56" s="718"/>
      <c r="F56" s="718"/>
      <c r="G56" s="718"/>
      <c r="H56" s="718"/>
      <c r="I56" s="718"/>
      <c r="J56" s="718"/>
      <c r="K56" s="722"/>
      <c r="L56" s="722"/>
      <c r="M56" s="722"/>
      <c r="N56" s="722"/>
      <c r="O56" s="722"/>
      <c r="P56" s="723"/>
      <c r="Q56" s="724">
        <f t="shared" si="0"/>
        <v>0</v>
      </c>
      <c r="R56" s="723"/>
      <c r="AC56" s="726"/>
      <c r="AD56" s="726"/>
      <c r="AE56" s="726"/>
      <c r="AF56" s="726" t="s">
        <v>1964</v>
      </c>
      <c r="AJ56" s="726"/>
    </row>
    <row r="57" spans="1:36" s="725" customFormat="1" ht="39.6" x14ac:dyDescent="0.3">
      <c r="A57" s="727" t="s">
        <v>1814</v>
      </c>
      <c r="B57" s="727" t="s">
        <v>1924</v>
      </c>
      <c r="C57" s="727" t="s">
        <v>1723</v>
      </c>
      <c r="D57" s="728">
        <v>13.898999999999999</v>
      </c>
      <c r="E57" s="729">
        <v>1</v>
      </c>
      <c r="F57" s="746">
        <v>13.898999999999999</v>
      </c>
      <c r="G57" s="730">
        <v>8.7899999999999991</v>
      </c>
      <c r="H57" s="728"/>
      <c r="I57" s="730">
        <v>122.17</v>
      </c>
      <c r="J57" s="730">
        <v>13.62</v>
      </c>
      <c r="K57" s="731"/>
      <c r="L57" s="731"/>
      <c r="M57" s="731"/>
      <c r="N57" s="731" t="s">
        <v>239</v>
      </c>
      <c r="O57" s="731">
        <f>D57</f>
        <v>13.898999999999999</v>
      </c>
      <c r="P57" s="733">
        <v>262.73</v>
      </c>
      <c r="Q57" s="732">
        <f>O57*P57</f>
        <v>3651.6842700000002</v>
      </c>
      <c r="R57" s="733">
        <f>Q57*1.2</f>
        <v>4382.0211239999999</v>
      </c>
      <c r="AC57" s="726"/>
      <c r="AD57" s="726"/>
      <c r="AE57" s="726" t="s">
        <v>1924</v>
      </c>
      <c r="AJ57" s="726"/>
    </row>
    <row r="58" spans="1:36" s="725" customFormat="1" hidden="1" x14ac:dyDescent="0.3">
      <c r="A58" s="718"/>
      <c r="B58" s="718" t="s">
        <v>1965</v>
      </c>
      <c r="C58" s="718"/>
      <c r="D58" s="718"/>
      <c r="E58" s="718"/>
      <c r="F58" s="718"/>
      <c r="G58" s="718"/>
      <c r="H58" s="718"/>
      <c r="I58" s="718"/>
      <c r="J58" s="718"/>
      <c r="K58" s="722"/>
      <c r="L58" s="722"/>
      <c r="M58" s="722"/>
      <c r="N58" s="722"/>
      <c r="O58" s="722"/>
      <c r="P58" s="723"/>
      <c r="Q58" s="724">
        <f t="shared" si="0"/>
        <v>0</v>
      </c>
      <c r="R58" s="723"/>
      <c r="AC58" s="726"/>
      <c r="AD58" s="726"/>
      <c r="AE58" s="726"/>
      <c r="AF58" s="726" t="s">
        <v>1965</v>
      </c>
      <c r="AJ58" s="726"/>
    </row>
    <row r="59" spans="1:36" s="725" customFormat="1" ht="26.4" x14ac:dyDescent="0.3">
      <c r="A59" s="727" t="s">
        <v>1817</v>
      </c>
      <c r="B59" s="727" t="s">
        <v>1967</v>
      </c>
      <c r="C59" s="727" t="s">
        <v>1723</v>
      </c>
      <c r="D59" s="728">
        <v>10.913</v>
      </c>
      <c r="E59" s="729">
        <v>1</v>
      </c>
      <c r="F59" s="746">
        <v>10.913</v>
      </c>
      <c r="G59" s="730">
        <v>22.33</v>
      </c>
      <c r="H59" s="728"/>
      <c r="I59" s="730">
        <v>243.69</v>
      </c>
      <c r="J59" s="730">
        <v>13.24</v>
      </c>
      <c r="K59" s="731"/>
      <c r="L59" s="731"/>
      <c r="M59" s="731"/>
      <c r="N59" s="731" t="s">
        <v>239</v>
      </c>
      <c r="O59" s="731">
        <f>D59</f>
        <v>10.913</v>
      </c>
      <c r="P59" s="778">
        <v>464.83</v>
      </c>
      <c r="Q59" s="732">
        <f t="shared" si="0"/>
        <v>5072.6897900000004</v>
      </c>
      <c r="R59" s="733">
        <f>Q59*1.2</f>
        <v>6087.2277480000002</v>
      </c>
      <c r="AC59" s="726"/>
      <c r="AD59" s="726"/>
      <c r="AE59" s="726" t="s">
        <v>1967</v>
      </c>
      <c r="AJ59" s="726"/>
    </row>
    <row r="60" spans="1:36" s="725" customFormat="1" ht="26.4" x14ac:dyDescent="0.3">
      <c r="A60" s="727" t="s">
        <v>771</v>
      </c>
      <c r="B60" s="727" t="s">
        <v>1969</v>
      </c>
      <c r="C60" s="727" t="s">
        <v>1723</v>
      </c>
      <c r="D60" s="728">
        <v>2.7669999999999999</v>
      </c>
      <c r="E60" s="729">
        <v>1</v>
      </c>
      <c r="F60" s="746">
        <v>2.7669999999999999</v>
      </c>
      <c r="G60" s="730">
        <v>10.45</v>
      </c>
      <c r="H60" s="728"/>
      <c r="I60" s="730">
        <v>28.92</v>
      </c>
      <c r="J60" s="730">
        <v>13.24</v>
      </c>
      <c r="K60" s="731"/>
      <c r="L60" s="731"/>
      <c r="M60" s="731"/>
      <c r="N60" s="731" t="s">
        <v>239</v>
      </c>
      <c r="O60" s="731">
        <f>D60</f>
        <v>2.7669999999999999</v>
      </c>
      <c r="P60" s="778">
        <v>464.83</v>
      </c>
      <c r="Q60" s="732">
        <f t="shared" si="0"/>
        <v>1286.18461</v>
      </c>
      <c r="R60" s="733">
        <f>Q60*1.2</f>
        <v>1543.4215320000001</v>
      </c>
      <c r="AC60" s="726"/>
      <c r="AD60" s="726"/>
      <c r="AE60" s="726" t="s">
        <v>1969</v>
      </c>
      <c r="AJ60" s="726"/>
    </row>
    <row r="61" spans="1:36" s="711" customFormat="1" x14ac:dyDescent="0.3">
      <c r="A61" s="927" t="s">
        <v>1970</v>
      </c>
      <c r="B61" s="927"/>
      <c r="C61" s="712"/>
      <c r="D61" s="712"/>
      <c r="E61" s="712"/>
      <c r="F61" s="712"/>
      <c r="G61" s="712"/>
      <c r="H61" s="712"/>
      <c r="I61" s="712"/>
      <c r="J61" s="712"/>
      <c r="K61" s="713"/>
      <c r="L61" s="713"/>
      <c r="M61" s="713"/>
      <c r="N61" s="713"/>
      <c r="O61" s="713"/>
      <c r="P61" s="717"/>
      <c r="Q61" s="724">
        <f t="shared" si="0"/>
        <v>0</v>
      </c>
      <c r="R61" s="717"/>
      <c r="AC61" s="716"/>
      <c r="AD61" s="716" t="s">
        <v>1970</v>
      </c>
      <c r="AE61" s="716"/>
      <c r="AJ61" s="716"/>
    </row>
    <row r="62" spans="1:36" s="725" customFormat="1" ht="26.4" x14ac:dyDescent="0.3">
      <c r="A62" s="718" t="s">
        <v>1819</v>
      </c>
      <c r="B62" s="718" t="s">
        <v>1972</v>
      </c>
      <c r="C62" s="718" t="s">
        <v>193</v>
      </c>
      <c r="D62" s="719">
        <v>21.06</v>
      </c>
      <c r="E62" s="720">
        <v>1</v>
      </c>
      <c r="F62" s="736">
        <v>21.06</v>
      </c>
      <c r="G62" s="719"/>
      <c r="H62" s="719"/>
      <c r="I62" s="719"/>
      <c r="J62" s="719"/>
      <c r="K62" s="722"/>
      <c r="L62" s="722"/>
      <c r="M62" s="722"/>
      <c r="N62" s="722" t="s">
        <v>193</v>
      </c>
      <c r="O62" s="722">
        <f>D62</f>
        <v>21.06</v>
      </c>
      <c r="P62" s="723">
        <v>13810.85</v>
      </c>
      <c r="Q62" s="724">
        <f t="shared" si="0"/>
        <v>290856.50099999999</v>
      </c>
      <c r="R62" s="723">
        <f>Q62*1.2</f>
        <v>349027.80119999999</v>
      </c>
      <c r="AC62" s="726"/>
      <c r="AD62" s="726"/>
      <c r="AE62" s="726" t="s">
        <v>1972</v>
      </c>
      <c r="AJ62" s="726"/>
    </row>
    <row r="63" spans="1:36" s="725" customFormat="1" hidden="1" x14ac:dyDescent="0.3">
      <c r="A63" s="718"/>
      <c r="B63" s="718" t="s">
        <v>1973</v>
      </c>
      <c r="C63" s="718"/>
      <c r="D63" s="718"/>
      <c r="E63" s="718"/>
      <c r="F63" s="718"/>
      <c r="G63" s="718"/>
      <c r="H63" s="718"/>
      <c r="I63" s="718"/>
      <c r="J63" s="718"/>
      <c r="K63" s="722"/>
      <c r="L63" s="722"/>
      <c r="M63" s="722"/>
      <c r="N63" s="722"/>
      <c r="O63" s="722"/>
      <c r="P63" s="723"/>
      <c r="Q63" s="724">
        <f t="shared" si="0"/>
        <v>0</v>
      </c>
      <c r="R63" s="723"/>
      <c r="AC63" s="726"/>
      <c r="AD63" s="726"/>
      <c r="AE63" s="726"/>
      <c r="AF63" s="726" t="s">
        <v>1973</v>
      </c>
      <c r="AJ63" s="726"/>
    </row>
    <row r="64" spans="1:36" s="725" customFormat="1" ht="26.4" x14ac:dyDescent="0.3">
      <c r="A64" s="727" t="s">
        <v>1821</v>
      </c>
      <c r="B64" s="727" t="s">
        <v>1752</v>
      </c>
      <c r="C64" s="727" t="s">
        <v>1723</v>
      </c>
      <c r="D64" s="728">
        <v>10.884</v>
      </c>
      <c r="E64" s="729">
        <v>1</v>
      </c>
      <c r="F64" s="746">
        <v>10.884</v>
      </c>
      <c r="G64" s="730">
        <v>42.98</v>
      </c>
      <c r="H64" s="728"/>
      <c r="I64" s="730">
        <v>467.79</v>
      </c>
      <c r="J64" s="730">
        <v>13.24</v>
      </c>
      <c r="K64" s="731"/>
      <c r="L64" s="731"/>
      <c r="M64" s="731"/>
      <c r="N64" s="731" t="s">
        <v>239</v>
      </c>
      <c r="O64" s="731">
        <f>D64</f>
        <v>10.884</v>
      </c>
      <c r="P64" s="778">
        <v>654.41</v>
      </c>
      <c r="Q64" s="732">
        <f t="shared" si="0"/>
        <v>7122.5984399999998</v>
      </c>
      <c r="R64" s="733">
        <f>Q64*1.2</f>
        <v>8547.1181280000001</v>
      </c>
      <c r="AC64" s="726"/>
      <c r="AD64" s="726"/>
      <c r="AE64" s="726" t="s">
        <v>1752</v>
      </c>
      <c r="AJ64" s="726"/>
    </row>
    <row r="65" spans="1:36" s="725" customFormat="1" hidden="1" x14ac:dyDescent="0.3">
      <c r="A65" s="718"/>
      <c r="B65" s="718" t="s">
        <v>1974</v>
      </c>
      <c r="C65" s="718"/>
      <c r="D65" s="718"/>
      <c r="E65" s="718"/>
      <c r="F65" s="718"/>
      <c r="G65" s="718"/>
      <c r="H65" s="718"/>
      <c r="I65" s="718"/>
      <c r="J65" s="718"/>
      <c r="K65" s="722"/>
      <c r="L65" s="722"/>
      <c r="M65" s="722"/>
      <c r="N65" s="722"/>
      <c r="O65" s="722"/>
      <c r="P65" s="723"/>
      <c r="Q65" s="724">
        <f t="shared" si="0"/>
        <v>0</v>
      </c>
      <c r="R65" s="723"/>
      <c r="AC65" s="726"/>
      <c r="AD65" s="726"/>
      <c r="AE65" s="726"/>
      <c r="AF65" s="726" t="s">
        <v>1974</v>
      </c>
      <c r="AJ65" s="726"/>
    </row>
    <row r="66" spans="1:36" s="725" customFormat="1" ht="39.6" x14ac:dyDescent="0.3">
      <c r="A66" s="727" t="s">
        <v>1822</v>
      </c>
      <c r="B66" s="727" t="s">
        <v>1976</v>
      </c>
      <c r="C66" s="727" t="s">
        <v>1723</v>
      </c>
      <c r="D66" s="728">
        <v>54.42</v>
      </c>
      <c r="E66" s="729">
        <v>1</v>
      </c>
      <c r="F66" s="730">
        <v>54.42</v>
      </c>
      <c r="G66" s="730">
        <v>19.29</v>
      </c>
      <c r="H66" s="728"/>
      <c r="I66" s="732">
        <v>1049.76</v>
      </c>
      <c r="J66" s="730">
        <v>13.62</v>
      </c>
      <c r="K66" s="731"/>
      <c r="L66" s="731"/>
      <c r="M66" s="731"/>
      <c r="N66" s="731" t="s">
        <v>239</v>
      </c>
      <c r="O66" s="731">
        <f>D66</f>
        <v>54.42</v>
      </c>
      <c r="P66" s="733">
        <v>262.73</v>
      </c>
      <c r="Q66" s="732">
        <f>O66*P66</f>
        <v>14297.766600000001</v>
      </c>
      <c r="R66" s="733">
        <f>Q66*1.2</f>
        <v>17157.319920000002</v>
      </c>
      <c r="AC66" s="726"/>
      <c r="AD66" s="726"/>
      <c r="AE66" s="726" t="s">
        <v>1976</v>
      </c>
      <c r="AJ66" s="726"/>
    </row>
    <row r="67" spans="1:36" s="725" customFormat="1" hidden="1" x14ac:dyDescent="0.3">
      <c r="A67" s="718"/>
      <c r="B67" s="718" t="s">
        <v>1977</v>
      </c>
      <c r="C67" s="718"/>
      <c r="D67" s="718"/>
      <c r="E67" s="718"/>
      <c r="F67" s="718"/>
      <c r="G67" s="718"/>
      <c r="H67" s="718"/>
      <c r="I67" s="718"/>
      <c r="J67" s="718"/>
      <c r="K67" s="722"/>
      <c r="L67" s="722"/>
      <c r="M67" s="722"/>
      <c r="N67" s="722"/>
      <c r="O67" s="722"/>
      <c r="P67" s="723"/>
      <c r="Q67" s="724">
        <f t="shared" si="0"/>
        <v>0</v>
      </c>
      <c r="R67" s="723"/>
      <c r="AC67" s="726"/>
      <c r="AD67" s="726"/>
      <c r="AE67" s="726"/>
      <c r="AF67" s="726" t="s">
        <v>1977</v>
      </c>
      <c r="AJ67" s="726"/>
    </row>
    <row r="68" spans="1:36" s="725" customFormat="1" ht="26.4" x14ac:dyDescent="0.3">
      <c r="A68" s="737" t="s">
        <v>1824</v>
      </c>
      <c r="B68" s="737" t="s">
        <v>1727</v>
      </c>
      <c r="C68" s="737" t="s">
        <v>193</v>
      </c>
      <c r="D68" s="738">
        <v>21.06</v>
      </c>
      <c r="E68" s="739">
        <v>1</v>
      </c>
      <c r="F68" s="740">
        <v>21.06</v>
      </c>
      <c r="G68" s="740">
        <v>162.38</v>
      </c>
      <c r="H68" s="738"/>
      <c r="I68" s="741">
        <v>3419.72</v>
      </c>
      <c r="J68" s="740">
        <v>8.16</v>
      </c>
      <c r="K68" s="722"/>
      <c r="L68" s="722"/>
      <c r="M68" s="722"/>
      <c r="N68" s="742" t="s">
        <v>193</v>
      </c>
      <c r="O68" s="742">
        <f>D68</f>
        <v>21.06</v>
      </c>
      <c r="P68" s="743">
        <v>1350</v>
      </c>
      <c r="Q68" s="743">
        <f t="shared" ref="Q68:Q128" si="1">O68*P68</f>
        <v>28431</v>
      </c>
      <c r="R68" s="743">
        <f>Q68*1.2</f>
        <v>34117.199999999997</v>
      </c>
      <c r="AC68" s="726"/>
      <c r="AD68" s="726"/>
      <c r="AE68" s="726" t="s">
        <v>1727</v>
      </c>
      <c r="AJ68" s="726"/>
    </row>
    <row r="69" spans="1:36" s="711" customFormat="1" x14ac:dyDescent="0.3">
      <c r="A69" s="927" t="s">
        <v>1979</v>
      </c>
      <c r="B69" s="927"/>
      <c r="C69" s="712"/>
      <c r="D69" s="712"/>
      <c r="E69" s="712"/>
      <c r="F69" s="712"/>
      <c r="G69" s="712"/>
      <c r="H69" s="712"/>
      <c r="I69" s="712"/>
      <c r="J69" s="712"/>
      <c r="K69" s="713"/>
      <c r="L69" s="713"/>
      <c r="M69" s="713"/>
      <c r="N69" s="713"/>
      <c r="O69" s="713"/>
      <c r="P69" s="717"/>
      <c r="Q69" s="724">
        <f t="shared" si="1"/>
        <v>0</v>
      </c>
      <c r="R69" s="717"/>
      <c r="AC69" s="716"/>
      <c r="AD69" s="716" t="s">
        <v>1979</v>
      </c>
      <c r="AE69" s="716"/>
      <c r="AJ69" s="716"/>
    </row>
    <row r="70" spans="1:36" s="725" customFormat="1" ht="52.8" x14ac:dyDescent="0.3">
      <c r="A70" s="718" t="s">
        <v>1138</v>
      </c>
      <c r="B70" s="718" t="s">
        <v>2175</v>
      </c>
      <c r="C70" s="718" t="s">
        <v>1916</v>
      </c>
      <c r="D70" s="719">
        <v>0.26</v>
      </c>
      <c r="E70" s="720">
        <v>1</v>
      </c>
      <c r="F70" s="736">
        <v>0.26</v>
      </c>
      <c r="G70" s="719"/>
      <c r="H70" s="719"/>
      <c r="I70" s="719"/>
      <c r="J70" s="719"/>
      <c r="K70" s="722"/>
      <c r="L70" s="722"/>
      <c r="M70" s="722"/>
      <c r="N70" s="722" t="s">
        <v>178</v>
      </c>
      <c r="O70" s="722">
        <f>D70*100</f>
        <v>26</v>
      </c>
      <c r="P70" s="723">
        <v>15109.75</v>
      </c>
      <c r="Q70" s="724">
        <f t="shared" si="1"/>
        <v>392853.5</v>
      </c>
      <c r="R70" s="723">
        <f>Q70*1.2</f>
        <v>471424.2</v>
      </c>
      <c r="AC70" s="726"/>
      <c r="AD70" s="726"/>
      <c r="AE70" s="726" t="s">
        <v>1981</v>
      </c>
      <c r="AJ70" s="726"/>
    </row>
    <row r="71" spans="1:36" s="725" customFormat="1" hidden="1" x14ac:dyDescent="0.3">
      <c r="A71" s="718"/>
      <c r="B71" s="718" t="s">
        <v>1982</v>
      </c>
      <c r="C71" s="718"/>
      <c r="D71" s="718"/>
      <c r="E71" s="718"/>
      <c r="F71" s="718"/>
      <c r="G71" s="718"/>
      <c r="H71" s="718"/>
      <c r="I71" s="718"/>
      <c r="J71" s="718"/>
      <c r="K71" s="722"/>
      <c r="L71" s="722"/>
      <c r="M71" s="722"/>
      <c r="N71" s="722"/>
      <c r="O71" s="722"/>
      <c r="P71" s="723"/>
      <c r="Q71" s="724">
        <f t="shared" si="1"/>
        <v>0</v>
      </c>
      <c r="R71" s="723"/>
      <c r="AC71" s="726"/>
      <c r="AD71" s="726"/>
      <c r="AE71" s="726"/>
      <c r="AF71" s="726" t="s">
        <v>1982</v>
      </c>
      <c r="AJ71" s="726"/>
    </row>
    <row r="72" spans="1:36" s="725" customFormat="1" ht="52.8" x14ac:dyDescent="0.3">
      <c r="A72" s="718" t="s">
        <v>819</v>
      </c>
      <c r="B72" s="718" t="s">
        <v>2176</v>
      </c>
      <c r="C72" s="718" t="s">
        <v>1916</v>
      </c>
      <c r="D72" s="719">
        <v>0.02</v>
      </c>
      <c r="E72" s="720">
        <v>1</v>
      </c>
      <c r="F72" s="736">
        <v>0.02</v>
      </c>
      <c r="G72" s="719"/>
      <c r="H72" s="719"/>
      <c r="I72" s="719"/>
      <c r="J72" s="719"/>
      <c r="K72" s="722"/>
      <c r="L72" s="722"/>
      <c r="M72" s="722"/>
      <c r="N72" s="722" t="s">
        <v>178</v>
      </c>
      <c r="O72" s="722">
        <f>D72*100</f>
        <v>2</v>
      </c>
      <c r="P72" s="723">
        <v>13144.52</v>
      </c>
      <c r="Q72" s="724">
        <f t="shared" si="1"/>
        <v>26289.040000000001</v>
      </c>
      <c r="R72" s="723">
        <f>Q72*1.2</f>
        <v>31546.847999999998</v>
      </c>
      <c r="AC72" s="726"/>
      <c r="AD72" s="726"/>
      <c r="AE72" s="726" t="s">
        <v>1984</v>
      </c>
      <c r="AJ72" s="726"/>
    </row>
    <row r="73" spans="1:36" s="725" customFormat="1" hidden="1" x14ac:dyDescent="0.3">
      <c r="A73" s="718"/>
      <c r="B73" s="718" t="s">
        <v>1985</v>
      </c>
      <c r="C73" s="718"/>
      <c r="D73" s="718"/>
      <c r="E73" s="718"/>
      <c r="F73" s="718"/>
      <c r="G73" s="718"/>
      <c r="H73" s="718"/>
      <c r="I73" s="718"/>
      <c r="J73" s="718"/>
      <c r="K73" s="722"/>
      <c r="L73" s="722"/>
      <c r="M73" s="722"/>
      <c r="N73" s="722"/>
      <c r="O73" s="722"/>
      <c r="P73" s="723"/>
      <c r="Q73" s="724">
        <f t="shared" si="1"/>
        <v>0</v>
      </c>
      <c r="R73" s="723"/>
      <c r="AC73" s="726"/>
      <c r="AD73" s="726"/>
      <c r="AE73" s="726"/>
      <c r="AF73" s="726" t="s">
        <v>1985</v>
      </c>
      <c r="AJ73" s="726"/>
    </row>
    <row r="74" spans="1:36" s="725" customFormat="1" ht="39.6" x14ac:dyDescent="0.3">
      <c r="A74" s="718" t="s">
        <v>790</v>
      </c>
      <c r="B74" s="718" t="s">
        <v>1987</v>
      </c>
      <c r="C74" s="718" t="s">
        <v>1988</v>
      </c>
      <c r="D74" s="719">
        <v>8.8000000000000007</v>
      </c>
      <c r="E74" s="720">
        <v>1</v>
      </c>
      <c r="F74" s="745">
        <v>8.8000000000000007</v>
      </c>
      <c r="G74" s="719"/>
      <c r="H74" s="719"/>
      <c r="I74" s="719"/>
      <c r="J74" s="719"/>
      <c r="K74" s="722"/>
      <c r="L74" s="722"/>
      <c r="M74" s="722"/>
      <c r="N74" s="722" t="s">
        <v>431</v>
      </c>
      <c r="O74" s="722">
        <f>D74</f>
        <v>8.8000000000000007</v>
      </c>
      <c r="P74" s="723">
        <v>17306.34</v>
      </c>
      <c r="Q74" s="724">
        <f t="shared" si="1"/>
        <v>152295.79200000002</v>
      </c>
      <c r="R74" s="723">
        <f>Q74*1.2</f>
        <v>182754.9504</v>
      </c>
      <c r="AC74" s="726"/>
      <c r="AD74" s="726"/>
      <c r="AE74" s="726" t="s">
        <v>1987</v>
      </c>
      <c r="AJ74" s="726"/>
    </row>
    <row r="75" spans="1:36" s="725" customFormat="1" hidden="1" x14ac:dyDescent="0.3">
      <c r="A75" s="718"/>
      <c r="B75" s="718" t="s">
        <v>1989</v>
      </c>
      <c r="C75" s="718"/>
      <c r="D75" s="718"/>
      <c r="E75" s="718"/>
      <c r="F75" s="718"/>
      <c r="G75" s="718"/>
      <c r="H75" s="718"/>
      <c r="I75" s="718"/>
      <c r="J75" s="718"/>
      <c r="K75" s="722"/>
      <c r="L75" s="722"/>
      <c r="M75" s="722"/>
      <c r="N75" s="722"/>
      <c r="O75" s="722"/>
      <c r="P75" s="723"/>
      <c r="Q75" s="724">
        <f t="shared" si="1"/>
        <v>0</v>
      </c>
      <c r="R75" s="723"/>
      <c r="AC75" s="726"/>
      <c r="AD75" s="726"/>
      <c r="AE75" s="726"/>
      <c r="AF75" s="726" t="s">
        <v>1989</v>
      </c>
      <c r="AJ75" s="726"/>
    </row>
    <row r="76" spans="1:36" s="725" customFormat="1" ht="26.4" x14ac:dyDescent="0.3">
      <c r="A76" s="718" t="s">
        <v>801</v>
      </c>
      <c r="B76" s="718" t="s">
        <v>1995</v>
      </c>
      <c r="C76" s="718" t="s">
        <v>194</v>
      </c>
      <c r="D76" s="719">
        <v>8.8000000000000007</v>
      </c>
      <c r="E76" s="720">
        <v>1</v>
      </c>
      <c r="F76" s="745">
        <v>8.8000000000000007</v>
      </c>
      <c r="G76" s="724">
        <v>1094.48</v>
      </c>
      <c r="H76" s="719"/>
      <c r="I76" s="724">
        <v>9631.42</v>
      </c>
      <c r="J76" s="736">
        <v>8.16</v>
      </c>
      <c r="K76" s="722"/>
      <c r="L76" s="722"/>
      <c r="M76" s="722"/>
      <c r="N76" s="722" t="s">
        <v>194</v>
      </c>
      <c r="O76" s="722">
        <f>D76</f>
        <v>8.8000000000000007</v>
      </c>
      <c r="P76" s="723">
        <v>8930.9500000000007</v>
      </c>
      <c r="Q76" s="724">
        <f t="shared" si="1"/>
        <v>78592.360000000015</v>
      </c>
      <c r="R76" s="723">
        <f>Q76*1.2</f>
        <v>94310.832000000009</v>
      </c>
      <c r="AC76" s="726"/>
      <c r="AD76" s="726"/>
      <c r="AE76" s="726" t="s">
        <v>1995</v>
      </c>
      <c r="AJ76" s="726"/>
    </row>
    <row r="77" spans="1:36" s="725" customFormat="1" ht="39.6" x14ac:dyDescent="0.3">
      <c r="A77" s="727" t="s">
        <v>1839</v>
      </c>
      <c r="B77" s="727" t="s">
        <v>1942</v>
      </c>
      <c r="C77" s="727" t="s">
        <v>1723</v>
      </c>
      <c r="D77" s="728">
        <v>204</v>
      </c>
      <c r="E77" s="729">
        <v>1</v>
      </c>
      <c r="F77" s="729">
        <v>204</v>
      </c>
      <c r="G77" s="730">
        <v>10.15</v>
      </c>
      <c r="H77" s="728"/>
      <c r="I77" s="732">
        <v>2070.6</v>
      </c>
      <c r="J77" s="730">
        <v>13.24</v>
      </c>
      <c r="K77" s="731"/>
      <c r="L77" s="731"/>
      <c r="M77" s="731"/>
      <c r="N77" s="731" t="s">
        <v>239</v>
      </c>
      <c r="O77" s="731">
        <f>D77</f>
        <v>204</v>
      </c>
      <c r="P77" s="778">
        <v>464.83</v>
      </c>
      <c r="Q77" s="732">
        <f t="shared" si="1"/>
        <v>94825.319999999992</v>
      </c>
      <c r="R77" s="733">
        <f>Q77*1.2</f>
        <v>113790.38399999999</v>
      </c>
      <c r="AC77" s="726"/>
      <c r="AD77" s="726"/>
      <c r="AE77" s="726" t="s">
        <v>1942</v>
      </c>
      <c r="AJ77" s="726"/>
    </row>
    <row r="78" spans="1:36" s="725" customFormat="1" hidden="1" x14ac:dyDescent="0.3">
      <c r="A78" s="718"/>
      <c r="B78" s="718" t="s">
        <v>1997</v>
      </c>
      <c r="C78" s="718"/>
      <c r="D78" s="718"/>
      <c r="E78" s="718"/>
      <c r="F78" s="718"/>
      <c r="G78" s="718"/>
      <c r="H78" s="718"/>
      <c r="I78" s="718"/>
      <c r="J78" s="718"/>
      <c r="K78" s="722"/>
      <c r="L78" s="722"/>
      <c r="M78" s="722"/>
      <c r="N78" s="722"/>
      <c r="O78" s="722"/>
      <c r="P78" s="723"/>
      <c r="Q78" s="724">
        <f t="shared" si="1"/>
        <v>0</v>
      </c>
      <c r="R78" s="723"/>
      <c r="AC78" s="726"/>
      <c r="AD78" s="726"/>
      <c r="AE78" s="726"/>
      <c r="AF78" s="726" t="s">
        <v>1997</v>
      </c>
      <c r="AJ78" s="726"/>
    </row>
    <row r="79" spans="1:36" s="725" customFormat="1" ht="39.6" x14ac:dyDescent="0.3">
      <c r="A79" s="727" t="s">
        <v>1841</v>
      </c>
      <c r="B79" s="727" t="s">
        <v>1924</v>
      </c>
      <c r="C79" s="727" t="s">
        <v>1723</v>
      </c>
      <c r="D79" s="728">
        <v>204</v>
      </c>
      <c r="E79" s="729">
        <v>1</v>
      </c>
      <c r="F79" s="729">
        <v>204</v>
      </c>
      <c r="G79" s="730">
        <v>8.7899999999999991</v>
      </c>
      <c r="H79" s="728"/>
      <c r="I79" s="732">
        <v>1793.16</v>
      </c>
      <c r="J79" s="730">
        <v>13.62</v>
      </c>
      <c r="K79" s="731"/>
      <c r="L79" s="731"/>
      <c r="M79" s="731"/>
      <c r="N79" s="731" t="s">
        <v>239</v>
      </c>
      <c r="O79" s="731">
        <f>D79</f>
        <v>204</v>
      </c>
      <c r="P79" s="733">
        <v>262.73</v>
      </c>
      <c r="Q79" s="732">
        <f t="shared" si="1"/>
        <v>53596.920000000006</v>
      </c>
      <c r="R79" s="733">
        <f>Q79*1.2</f>
        <v>64316.304000000004</v>
      </c>
      <c r="AC79" s="726"/>
      <c r="AD79" s="726"/>
      <c r="AE79" s="726" t="s">
        <v>1924</v>
      </c>
      <c r="AJ79" s="726"/>
    </row>
    <row r="80" spans="1:36" s="725" customFormat="1" hidden="1" x14ac:dyDescent="0.3">
      <c r="A80" s="718"/>
      <c r="B80" s="718" t="s">
        <v>1998</v>
      </c>
      <c r="C80" s="718"/>
      <c r="D80" s="718"/>
      <c r="E80" s="718"/>
      <c r="F80" s="718"/>
      <c r="G80" s="718"/>
      <c r="H80" s="718"/>
      <c r="I80" s="718"/>
      <c r="J80" s="718"/>
      <c r="K80" s="722"/>
      <c r="L80" s="722"/>
      <c r="M80" s="722"/>
      <c r="N80" s="722"/>
      <c r="O80" s="722"/>
      <c r="P80" s="723"/>
      <c r="Q80" s="724">
        <f t="shared" si="1"/>
        <v>0</v>
      </c>
      <c r="R80" s="723"/>
      <c r="AC80" s="726"/>
      <c r="AD80" s="726"/>
      <c r="AE80" s="726"/>
      <c r="AF80" s="726" t="s">
        <v>1998</v>
      </c>
      <c r="AJ80" s="726"/>
    </row>
    <row r="81" spans="1:36" s="725" customFormat="1" ht="39.6" x14ac:dyDescent="0.3">
      <c r="A81" s="727" t="s">
        <v>1842</v>
      </c>
      <c r="B81" s="727" t="s">
        <v>1945</v>
      </c>
      <c r="C81" s="727" t="s">
        <v>1723</v>
      </c>
      <c r="D81" s="728">
        <v>204</v>
      </c>
      <c r="E81" s="729">
        <v>1</v>
      </c>
      <c r="F81" s="729">
        <v>204</v>
      </c>
      <c r="G81" s="730">
        <v>10.15</v>
      </c>
      <c r="H81" s="728"/>
      <c r="I81" s="732">
        <v>2070.6</v>
      </c>
      <c r="J81" s="730">
        <v>13.24</v>
      </c>
      <c r="K81" s="731"/>
      <c r="L81" s="731"/>
      <c r="M81" s="731"/>
      <c r="N81" s="731" t="s">
        <v>239</v>
      </c>
      <c r="O81" s="731">
        <f>D81</f>
        <v>204</v>
      </c>
      <c r="P81" s="778">
        <v>464.83</v>
      </c>
      <c r="Q81" s="732">
        <f t="shared" si="1"/>
        <v>94825.319999999992</v>
      </c>
      <c r="R81" s="733">
        <f>Q81*1.2</f>
        <v>113790.38399999999</v>
      </c>
      <c r="AC81" s="726"/>
      <c r="AD81" s="726"/>
      <c r="AE81" s="726" t="s">
        <v>1945</v>
      </c>
      <c r="AJ81" s="726"/>
    </row>
    <row r="82" spans="1:36" s="725" customFormat="1" ht="39.6" x14ac:dyDescent="0.3">
      <c r="A82" s="727" t="s">
        <v>1844</v>
      </c>
      <c r="B82" s="727" t="s">
        <v>1942</v>
      </c>
      <c r="C82" s="727" t="s">
        <v>1723</v>
      </c>
      <c r="D82" s="728">
        <v>204</v>
      </c>
      <c r="E82" s="729">
        <v>1</v>
      </c>
      <c r="F82" s="729">
        <v>204</v>
      </c>
      <c r="G82" s="730">
        <v>10.15</v>
      </c>
      <c r="H82" s="728"/>
      <c r="I82" s="732">
        <v>2070.6</v>
      </c>
      <c r="J82" s="730">
        <v>13.24</v>
      </c>
      <c r="K82" s="731"/>
      <c r="L82" s="731"/>
      <c r="M82" s="731"/>
      <c r="N82" s="731" t="s">
        <v>239</v>
      </c>
      <c r="O82" s="731">
        <f>D82</f>
        <v>204</v>
      </c>
      <c r="P82" s="778">
        <v>464.83</v>
      </c>
      <c r="Q82" s="732">
        <f t="shared" si="1"/>
        <v>94825.319999999992</v>
      </c>
      <c r="R82" s="733">
        <f>Q82*1.2</f>
        <v>113790.38399999999</v>
      </c>
      <c r="AC82" s="726"/>
      <c r="AD82" s="726"/>
      <c r="AE82" s="726" t="s">
        <v>1942</v>
      </c>
      <c r="AJ82" s="726"/>
    </row>
    <row r="83" spans="1:36" s="725" customFormat="1" ht="26.4" x14ac:dyDescent="0.3">
      <c r="A83" s="737" t="s">
        <v>1846</v>
      </c>
      <c r="B83" s="737" t="s">
        <v>1727</v>
      </c>
      <c r="C83" s="737" t="s">
        <v>193</v>
      </c>
      <c r="D83" s="738">
        <v>82.64</v>
      </c>
      <c r="E83" s="739">
        <v>1</v>
      </c>
      <c r="F83" s="740">
        <v>82.64</v>
      </c>
      <c r="G83" s="740">
        <v>162.38</v>
      </c>
      <c r="H83" s="738"/>
      <c r="I83" s="741">
        <v>13419.08</v>
      </c>
      <c r="J83" s="740">
        <v>8.16</v>
      </c>
      <c r="K83" s="722"/>
      <c r="L83" s="722"/>
      <c r="M83" s="722"/>
      <c r="N83" s="742" t="s">
        <v>193</v>
      </c>
      <c r="O83" s="742">
        <f>D83</f>
        <v>82.64</v>
      </c>
      <c r="P83" s="743">
        <v>1350</v>
      </c>
      <c r="Q83" s="743">
        <f t="shared" si="1"/>
        <v>111564</v>
      </c>
      <c r="R83" s="743">
        <f>Q83*1.2</f>
        <v>133876.79999999999</v>
      </c>
      <c r="AC83" s="726"/>
      <c r="AD83" s="726"/>
      <c r="AE83" s="726" t="s">
        <v>1727</v>
      </c>
      <c r="AJ83" s="726"/>
    </row>
    <row r="84" spans="1:36" s="711" customFormat="1" x14ac:dyDescent="0.3">
      <c r="A84" s="927" t="s">
        <v>2000</v>
      </c>
      <c r="B84" s="927"/>
      <c r="C84" s="712"/>
      <c r="D84" s="712"/>
      <c r="E84" s="712"/>
      <c r="F84" s="712"/>
      <c r="G84" s="712"/>
      <c r="H84" s="712"/>
      <c r="I84" s="712"/>
      <c r="J84" s="712"/>
      <c r="K84" s="713"/>
      <c r="L84" s="713"/>
      <c r="M84" s="713"/>
      <c r="N84" s="713"/>
      <c r="O84" s="713"/>
      <c r="P84" s="717"/>
      <c r="Q84" s="724">
        <f t="shared" si="1"/>
        <v>0</v>
      </c>
      <c r="R84" s="717"/>
      <c r="AC84" s="716"/>
      <c r="AD84" s="716" t="s">
        <v>2000</v>
      </c>
      <c r="AE84" s="716"/>
      <c r="AJ84" s="716"/>
    </row>
    <row r="85" spans="1:36" s="725" customFormat="1" ht="26.4" x14ac:dyDescent="0.3">
      <c r="A85" s="718" t="s">
        <v>1848</v>
      </c>
      <c r="B85" s="718" t="s">
        <v>2177</v>
      </c>
      <c r="C85" s="718" t="s">
        <v>1890</v>
      </c>
      <c r="D85" s="719">
        <v>1.1200000000000001</v>
      </c>
      <c r="E85" s="720">
        <v>1</v>
      </c>
      <c r="F85" s="736">
        <v>1.1200000000000001</v>
      </c>
      <c r="G85" s="719"/>
      <c r="H85" s="719"/>
      <c r="I85" s="719"/>
      <c r="J85" s="719"/>
      <c r="K85" s="722"/>
      <c r="L85" s="722"/>
      <c r="M85" s="722"/>
      <c r="N85" s="722" t="s">
        <v>431</v>
      </c>
      <c r="O85" s="722">
        <f>D85*100</f>
        <v>112.00000000000001</v>
      </c>
      <c r="P85" s="723">
        <v>1647.56</v>
      </c>
      <c r="Q85" s="724">
        <f t="shared" si="1"/>
        <v>184526.72000000003</v>
      </c>
      <c r="R85" s="723">
        <f>Q85*1.2</f>
        <v>221432.06400000004</v>
      </c>
      <c r="AC85" s="726"/>
      <c r="AD85" s="726"/>
      <c r="AE85" s="726" t="s">
        <v>2002</v>
      </c>
      <c r="AJ85" s="726"/>
    </row>
    <row r="86" spans="1:36" s="725" customFormat="1" hidden="1" x14ac:dyDescent="0.3">
      <c r="A86" s="718"/>
      <c r="B86" s="718" t="s">
        <v>2003</v>
      </c>
      <c r="C86" s="718"/>
      <c r="D86" s="718"/>
      <c r="E86" s="718"/>
      <c r="F86" s="718"/>
      <c r="G86" s="718"/>
      <c r="H86" s="718"/>
      <c r="I86" s="718"/>
      <c r="J86" s="718"/>
      <c r="K86" s="722"/>
      <c r="L86" s="722"/>
      <c r="M86" s="722"/>
      <c r="N86" s="722"/>
      <c r="O86" s="722"/>
      <c r="P86" s="723"/>
      <c r="Q86" s="724">
        <f t="shared" si="1"/>
        <v>0</v>
      </c>
      <c r="R86" s="723"/>
      <c r="AC86" s="726"/>
      <c r="AD86" s="726"/>
      <c r="AE86" s="726"/>
      <c r="AF86" s="726" t="s">
        <v>2003</v>
      </c>
      <c r="AJ86" s="726"/>
    </row>
    <row r="87" spans="1:36" s="725" customFormat="1" ht="39.6" x14ac:dyDescent="0.3">
      <c r="A87" s="727" t="s">
        <v>817</v>
      </c>
      <c r="B87" s="727" t="s">
        <v>2005</v>
      </c>
      <c r="C87" s="727" t="s">
        <v>1723</v>
      </c>
      <c r="D87" s="728">
        <v>2.67</v>
      </c>
      <c r="E87" s="729">
        <v>1</v>
      </c>
      <c r="F87" s="730">
        <v>2.67</v>
      </c>
      <c r="G87" s="730">
        <v>17.95</v>
      </c>
      <c r="H87" s="728"/>
      <c r="I87" s="730">
        <v>47.93</v>
      </c>
      <c r="J87" s="730">
        <v>13.24</v>
      </c>
      <c r="K87" s="731"/>
      <c r="L87" s="731"/>
      <c r="M87" s="731"/>
      <c r="N87" s="731" t="s">
        <v>239</v>
      </c>
      <c r="O87" s="731">
        <f t="shared" ref="O87:O92" si="2">D87</f>
        <v>2.67</v>
      </c>
      <c r="P87" s="778">
        <v>464.83</v>
      </c>
      <c r="Q87" s="732">
        <f t="shared" si="1"/>
        <v>1241.0961</v>
      </c>
      <c r="R87" s="733">
        <f t="shared" ref="R87:R92" si="3">Q87*1.2</f>
        <v>1489.3153199999999</v>
      </c>
      <c r="AC87" s="726"/>
      <c r="AD87" s="726"/>
      <c r="AE87" s="726" t="s">
        <v>2005</v>
      </c>
      <c r="AJ87" s="726"/>
    </row>
    <row r="88" spans="1:36" s="725" customFormat="1" ht="26.4" x14ac:dyDescent="0.3">
      <c r="A88" s="737" t="s">
        <v>1851</v>
      </c>
      <c r="B88" s="737" t="s">
        <v>1727</v>
      </c>
      <c r="C88" s="737" t="s">
        <v>193</v>
      </c>
      <c r="D88" s="738">
        <v>4.45</v>
      </c>
      <c r="E88" s="720">
        <v>1</v>
      </c>
      <c r="F88" s="736">
        <v>4.45</v>
      </c>
      <c r="G88" s="736">
        <v>162.38</v>
      </c>
      <c r="H88" s="719"/>
      <c r="I88" s="736">
        <v>722.59</v>
      </c>
      <c r="J88" s="736">
        <v>8.16</v>
      </c>
      <c r="K88" s="722"/>
      <c r="L88" s="722"/>
      <c r="M88" s="722"/>
      <c r="N88" s="742" t="s">
        <v>193</v>
      </c>
      <c r="O88" s="742">
        <f t="shared" si="2"/>
        <v>4.45</v>
      </c>
      <c r="P88" s="743">
        <v>1350</v>
      </c>
      <c r="Q88" s="743">
        <f t="shared" si="1"/>
        <v>6007.5</v>
      </c>
      <c r="R88" s="743">
        <f t="shared" si="3"/>
        <v>7209</v>
      </c>
      <c r="AC88" s="726"/>
      <c r="AD88" s="726"/>
      <c r="AE88" s="726" t="s">
        <v>1727</v>
      </c>
      <c r="AJ88" s="726"/>
    </row>
    <row r="89" spans="1:36" s="725" customFormat="1" ht="39.6" x14ac:dyDescent="0.3">
      <c r="A89" s="718" t="s">
        <v>1853</v>
      </c>
      <c r="B89" s="718" t="s">
        <v>2008</v>
      </c>
      <c r="C89" s="718" t="s">
        <v>239</v>
      </c>
      <c r="D89" s="719">
        <v>1.76</v>
      </c>
      <c r="E89" s="720">
        <v>1</v>
      </c>
      <c r="F89" s="736">
        <v>1.76</v>
      </c>
      <c r="G89" s="719"/>
      <c r="H89" s="719"/>
      <c r="I89" s="719"/>
      <c r="J89" s="719"/>
      <c r="K89" s="722"/>
      <c r="L89" s="722"/>
      <c r="M89" s="722"/>
      <c r="N89" s="722" t="s">
        <v>239</v>
      </c>
      <c r="O89" s="722">
        <f t="shared" si="2"/>
        <v>1.76</v>
      </c>
      <c r="P89" s="723">
        <v>70944.14</v>
      </c>
      <c r="Q89" s="724">
        <f t="shared" si="1"/>
        <v>124861.68640000001</v>
      </c>
      <c r="R89" s="723">
        <f t="shared" si="3"/>
        <v>149834.02368000001</v>
      </c>
      <c r="AC89" s="726"/>
      <c r="AD89" s="726"/>
      <c r="AE89" s="726" t="s">
        <v>2008</v>
      </c>
      <c r="AJ89" s="726"/>
    </row>
    <row r="90" spans="1:36" s="725" customFormat="1" ht="39.6" x14ac:dyDescent="0.3">
      <c r="A90" s="727" t="s">
        <v>2009</v>
      </c>
      <c r="B90" s="727" t="s">
        <v>1960</v>
      </c>
      <c r="C90" s="727" t="s">
        <v>1723</v>
      </c>
      <c r="D90" s="728">
        <v>1.76</v>
      </c>
      <c r="E90" s="729">
        <v>1</v>
      </c>
      <c r="F90" s="730">
        <v>1.76</v>
      </c>
      <c r="G90" s="730">
        <v>22.33</v>
      </c>
      <c r="H90" s="728"/>
      <c r="I90" s="730">
        <v>39.299999999999997</v>
      </c>
      <c r="J90" s="730">
        <v>13.24</v>
      </c>
      <c r="K90" s="731"/>
      <c r="L90" s="731"/>
      <c r="M90" s="731"/>
      <c r="N90" s="731" t="s">
        <v>239</v>
      </c>
      <c r="O90" s="731">
        <f t="shared" si="2"/>
        <v>1.76</v>
      </c>
      <c r="P90" s="778">
        <v>464.83</v>
      </c>
      <c r="Q90" s="732">
        <f t="shared" si="1"/>
        <v>818.10079999999994</v>
      </c>
      <c r="R90" s="733">
        <f t="shared" si="3"/>
        <v>981.72095999999988</v>
      </c>
      <c r="AC90" s="726"/>
      <c r="AD90" s="726"/>
      <c r="AE90" s="726" t="s">
        <v>1960</v>
      </c>
      <c r="AJ90" s="726"/>
    </row>
    <row r="91" spans="1:36" s="725" customFormat="1" ht="39.6" x14ac:dyDescent="0.3">
      <c r="A91" s="727" t="s">
        <v>2010</v>
      </c>
      <c r="B91" s="727" t="s">
        <v>2012</v>
      </c>
      <c r="C91" s="727" t="s">
        <v>1723</v>
      </c>
      <c r="D91" s="728">
        <v>1.76</v>
      </c>
      <c r="E91" s="729">
        <v>1</v>
      </c>
      <c r="F91" s="730">
        <v>1.76</v>
      </c>
      <c r="G91" s="730">
        <v>2.91</v>
      </c>
      <c r="H91" s="728"/>
      <c r="I91" s="730">
        <v>5.12</v>
      </c>
      <c r="J91" s="730">
        <v>13.62</v>
      </c>
      <c r="K91" s="731"/>
      <c r="L91" s="731"/>
      <c r="M91" s="731"/>
      <c r="N91" s="731" t="s">
        <v>239</v>
      </c>
      <c r="O91" s="731">
        <f t="shared" si="2"/>
        <v>1.76</v>
      </c>
      <c r="P91" s="733">
        <v>262.73</v>
      </c>
      <c r="Q91" s="732">
        <f t="shared" si="1"/>
        <v>462.40480000000002</v>
      </c>
      <c r="R91" s="733">
        <f t="shared" si="3"/>
        <v>554.88576</v>
      </c>
      <c r="AC91" s="726"/>
      <c r="AD91" s="726"/>
      <c r="AE91" s="726" t="s">
        <v>2012</v>
      </c>
      <c r="AJ91" s="726"/>
    </row>
    <row r="92" spans="1:36" s="725" customFormat="1" ht="26.4" x14ac:dyDescent="0.3">
      <c r="A92" s="727" t="s">
        <v>2013</v>
      </c>
      <c r="B92" s="727" t="s">
        <v>1967</v>
      </c>
      <c r="C92" s="727" t="s">
        <v>1723</v>
      </c>
      <c r="D92" s="728">
        <v>1.76</v>
      </c>
      <c r="E92" s="729">
        <v>1</v>
      </c>
      <c r="F92" s="730">
        <v>1.76</v>
      </c>
      <c r="G92" s="730">
        <v>22.33</v>
      </c>
      <c r="H92" s="728"/>
      <c r="I92" s="730">
        <v>39.299999999999997</v>
      </c>
      <c r="J92" s="730">
        <v>13.24</v>
      </c>
      <c r="K92" s="731"/>
      <c r="L92" s="731"/>
      <c r="M92" s="731"/>
      <c r="N92" s="731" t="s">
        <v>239</v>
      </c>
      <c r="O92" s="731">
        <f t="shared" si="2"/>
        <v>1.76</v>
      </c>
      <c r="P92" s="778">
        <v>464.83</v>
      </c>
      <c r="Q92" s="732">
        <f t="shared" si="1"/>
        <v>818.10079999999994</v>
      </c>
      <c r="R92" s="733">
        <f t="shared" si="3"/>
        <v>981.72095999999988</v>
      </c>
      <c r="AC92" s="726"/>
      <c r="AD92" s="726"/>
      <c r="AE92" s="726" t="s">
        <v>1967</v>
      </c>
      <c r="AJ92" s="726"/>
    </row>
    <row r="93" spans="1:36" s="725" customFormat="1" x14ac:dyDescent="0.3">
      <c r="A93" s="927" t="s">
        <v>2014</v>
      </c>
      <c r="B93" s="927"/>
      <c r="C93" s="712"/>
      <c r="D93" s="712"/>
      <c r="E93" s="712"/>
      <c r="F93" s="712"/>
      <c r="G93" s="712"/>
      <c r="H93" s="712"/>
      <c r="I93" s="712"/>
      <c r="J93" s="712"/>
      <c r="K93" s="722"/>
      <c r="L93" s="722"/>
      <c r="M93" s="722"/>
      <c r="N93" s="722"/>
      <c r="O93" s="722"/>
      <c r="P93" s="723"/>
      <c r="Q93" s="724">
        <f t="shared" si="1"/>
        <v>0</v>
      </c>
      <c r="R93" s="723"/>
      <c r="AC93" s="726"/>
      <c r="AD93" s="726" t="s">
        <v>2014</v>
      </c>
      <c r="AE93" s="726"/>
      <c r="AJ93" s="726"/>
    </row>
    <row r="94" spans="1:36" s="725" customFormat="1" x14ac:dyDescent="0.3">
      <c r="A94" s="747" t="s">
        <v>2015</v>
      </c>
      <c r="B94" s="747" t="s">
        <v>2017</v>
      </c>
      <c r="C94" s="747" t="s">
        <v>1890</v>
      </c>
      <c r="D94" s="748">
        <v>8.6814</v>
      </c>
      <c r="E94" s="749">
        <v>1</v>
      </c>
      <c r="F94" s="750">
        <v>8.6814</v>
      </c>
      <c r="G94" s="748"/>
      <c r="H94" s="748"/>
      <c r="I94" s="748"/>
      <c r="J94" s="748"/>
      <c r="K94" s="751"/>
      <c r="L94" s="751"/>
      <c r="M94" s="751"/>
      <c r="N94" s="751" t="s">
        <v>431</v>
      </c>
      <c r="O94" s="751">
        <f>D94*100</f>
        <v>868.14</v>
      </c>
      <c r="P94" s="752">
        <v>1714.7</v>
      </c>
      <c r="Q94" s="753">
        <f t="shared" si="1"/>
        <v>1488599.6580000001</v>
      </c>
      <c r="R94" s="752">
        <f>Q94*1.2</f>
        <v>1786319.5896000001</v>
      </c>
      <c r="AC94" s="726"/>
      <c r="AD94" s="726"/>
      <c r="AE94" s="726" t="s">
        <v>2017</v>
      </c>
      <c r="AJ94" s="726"/>
    </row>
    <row r="95" spans="1:36" s="725" customFormat="1" hidden="1" x14ac:dyDescent="0.3">
      <c r="A95" s="718"/>
      <c r="B95" s="718" t="s">
        <v>2018</v>
      </c>
      <c r="C95" s="718"/>
      <c r="D95" s="718"/>
      <c r="E95" s="718"/>
      <c r="F95" s="718"/>
      <c r="G95" s="718"/>
      <c r="H95" s="718"/>
      <c r="I95" s="718"/>
      <c r="J95" s="718"/>
      <c r="K95" s="722"/>
      <c r="L95" s="722"/>
      <c r="M95" s="722"/>
      <c r="N95" s="722"/>
      <c r="O95" s="722"/>
      <c r="P95" s="723"/>
      <c r="Q95" s="724">
        <f t="shared" si="1"/>
        <v>0</v>
      </c>
      <c r="R95" s="723"/>
      <c r="AC95" s="726"/>
      <c r="AD95" s="726"/>
      <c r="AE95" s="726"/>
      <c r="AF95" s="726" t="s">
        <v>2018</v>
      </c>
      <c r="AJ95" s="726"/>
    </row>
    <row r="96" spans="1:36" s="711" customFormat="1" x14ac:dyDescent="0.3">
      <c r="A96" s="927" t="s">
        <v>2028</v>
      </c>
      <c r="B96" s="927"/>
      <c r="C96" s="712"/>
      <c r="D96" s="712"/>
      <c r="E96" s="712"/>
      <c r="F96" s="712"/>
      <c r="G96" s="712"/>
      <c r="H96" s="712"/>
      <c r="I96" s="712"/>
      <c r="J96" s="712"/>
      <c r="K96" s="713"/>
      <c r="L96" s="713"/>
      <c r="M96" s="713"/>
      <c r="N96" s="713"/>
      <c r="O96" s="713"/>
      <c r="P96" s="717"/>
      <c r="Q96" s="724">
        <f t="shared" si="1"/>
        <v>0</v>
      </c>
      <c r="R96" s="717"/>
      <c r="AC96" s="716"/>
      <c r="AD96" s="716" t="s">
        <v>2028</v>
      </c>
      <c r="AE96" s="716"/>
      <c r="AJ96" s="716"/>
    </row>
    <row r="97" spans="1:56" s="725" customFormat="1" x14ac:dyDescent="0.3">
      <c r="A97" s="747" t="s">
        <v>2029</v>
      </c>
      <c r="B97" s="747" t="s">
        <v>2031</v>
      </c>
      <c r="C97" s="747" t="s">
        <v>193</v>
      </c>
      <c r="D97" s="748">
        <v>179.99</v>
      </c>
      <c r="E97" s="749">
        <v>1</v>
      </c>
      <c r="F97" s="754">
        <v>179.99</v>
      </c>
      <c r="G97" s="748"/>
      <c r="H97" s="748"/>
      <c r="I97" s="748"/>
      <c r="J97" s="748"/>
      <c r="K97" s="751"/>
      <c r="L97" s="751"/>
      <c r="M97" s="751"/>
      <c r="N97" s="751" t="s">
        <v>193</v>
      </c>
      <c r="O97" s="751">
        <f>D97</f>
        <v>179.99</v>
      </c>
      <c r="P97" s="752">
        <v>8778.8799999999992</v>
      </c>
      <c r="Q97" s="753">
        <f t="shared" si="1"/>
        <v>1580110.6111999999</v>
      </c>
      <c r="R97" s="752">
        <f>Q97*1.2</f>
        <v>1896132.7334399999</v>
      </c>
      <c r="AC97" s="726"/>
      <c r="AD97" s="726"/>
      <c r="AE97" s="726" t="s">
        <v>2031</v>
      </c>
      <c r="AJ97" s="726"/>
    </row>
    <row r="98" spans="1:56" s="725" customFormat="1" ht="52.8" x14ac:dyDescent="0.3">
      <c r="A98" s="727" t="s">
        <v>2033</v>
      </c>
      <c r="B98" s="727" t="s">
        <v>1748</v>
      </c>
      <c r="C98" s="727" t="s">
        <v>1723</v>
      </c>
      <c r="D98" s="728">
        <v>265.21600000000001</v>
      </c>
      <c r="E98" s="729">
        <v>1</v>
      </c>
      <c r="F98" s="746">
        <v>265.21600000000001</v>
      </c>
      <c r="G98" s="730">
        <v>3.28</v>
      </c>
      <c r="H98" s="728"/>
      <c r="I98" s="730">
        <v>869.91</v>
      </c>
      <c r="J98" s="730">
        <v>13.24</v>
      </c>
      <c r="K98" s="731"/>
      <c r="L98" s="731"/>
      <c r="M98" s="731"/>
      <c r="N98" s="731" t="s">
        <v>239</v>
      </c>
      <c r="O98" s="731">
        <f>D98</f>
        <v>265.21600000000001</v>
      </c>
      <c r="P98" s="778">
        <v>464.83</v>
      </c>
      <c r="Q98" s="732">
        <f t="shared" si="1"/>
        <v>123280.35328</v>
      </c>
      <c r="R98" s="733">
        <f>Q98*1.2</f>
        <v>147936.42393599998</v>
      </c>
      <c r="AC98" s="726"/>
      <c r="AD98" s="726"/>
      <c r="AE98" s="726" t="s">
        <v>1748</v>
      </c>
      <c r="AJ98" s="726"/>
    </row>
    <row r="99" spans="1:56" s="725" customFormat="1" ht="26.4" x14ac:dyDescent="0.3">
      <c r="A99" s="727" t="s">
        <v>2035</v>
      </c>
      <c r="B99" s="727" t="s">
        <v>1752</v>
      </c>
      <c r="C99" s="727" t="s">
        <v>1723</v>
      </c>
      <c r="D99" s="728">
        <v>66.304000000000002</v>
      </c>
      <c r="E99" s="729">
        <v>1</v>
      </c>
      <c r="F99" s="746">
        <v>66.304000000000002</v>
      </c>
      <c r="G99" s="730">
        <v>42.98</v>
      </c>
      <c r="H99" s="728"/>
      <c r="I99" s="732">
        <v>2849.75</v>
      </c>
      <c r="J99" s="730">
        <v>13.24</v>
      </c>
      <c r="K99" s="731"/>
      <c r="L99" s="731"/>
      <c r="M99" s="731"/>
      <c r="N99" s="731" t="s">
        <v>239</v>
      </c>
      <c r="O99" s="731">
        <f>D99</f>
        <v>66.304000000000002</v>
      </c>
      <c r="P99" s="778">
        <v>654.41</v>
      </c>
      <c r="Q99" s="732">
        <f t="shared" si="1"/>
        <v>43390.000639999998</v>
      </c>
      <c r="R99" s="733">
        <f>Q99*1.2</f>
        <v>52068.000767999998</v>
      </c>
      <c r="AC99" s="726"/>
      <c r="AD99" s="726"/>
      <c r="AE99" s="726" t="s">
        <v>1752</v>
      </c>
      <c r="AJ99" s="726"/>
    </row>
    <row r="100" spans="1:56" s="725" customFormat="1" ht="26.4" x14ac:dyDescent="0.3">
      <c r="A100" s="737" t="s">
        <v>2039</v>
      </c>
      <c r="B100" s="737" t="s">
        <v>1727</v>
      </c>
      <c r="C100" s="737" t="s">
        <v>193</v>
      </c>
      <c r="D100" s="738">
        <v>179.99</v>
      </c>
      <c r="E100" s="739">
        <v>1</v>
      </c>
      <c r="F100" s="740">
        <v>179.99</v>
      </c>
      <c r="G100" s="740">
        <v>162.38</v>
      </c>
      <c r="H100" s="738"/>
      <c r="I100" s="741">
        <v>29226.78</v>
      </c>
      <c r="J100" s="740">
        <v>8.16</v>
      </c>
      <c r="K100" s="742"/>
      <c r="L100" s="742"/>
      <c r="M100" s="742"/>
      <c r="N100" s="742" t="s">
        <v>193</v>
      </c>
      <c r="O100" s="742">
        <f>D100</f>
        <v>179.99</v>
      </c>
      <c r="P100" s="743">
        <v>1350</v>
      </c>
      <c r="Q100" s="743">
        <f t="shared" si="1"/>
        <v>242986.5</v>
      </c>
      <c r="R100" s="743">
        <f>Q100*1.2</f>
        <v>291583.8</v>
      </c>
      <c r="AC100" s="726"/>
      <c r="AD100" s="726"/>
      <c r="AE100" s="726" t="s">
        <v>1727</v>
      </c>
      <c r="AJ100" s="726"/>
    </row>
    <row r="101" spans="1:56" s="711" customFormat="1" x14ac:dyDescent="0.3">
      <c r="A101" s="927" t="s">
        <v>2041</v>
      </c>
      <c r="B101" s="927"/>
      <c r="C101" s="712"/>
      <c r="D101" s="712"/>
      <c r="E101" s="712"/>
      <c r="F101" s="712"/>
      <c r="G101" s="712"/>
      <c r="H101" s="712"/>
      <c r="I101" s="712"/>
      <c r="J101" s="712"/>
      <c r="K101" s="713"/>
      <c r="L101" s="713"/>
      <c r="M101" s="713"/>
      <c r="N101" s="713"/>
      <c r="O101" s="713"/>
      <c r="P101" s="717"/>
      <c r="Q101" s="724">
        <f t="shared" si="1"/>
        <v>0</v>
      </c>
      <c r="R101" s="717"/>
      <c r="AC101" s="716"/>
      <c r="AD101" s="716" t="s">
        <v>2041</v>
      </c>
      <c r="AE101" s="716"/>
      <c r="AJ101" s="716"/>
    </row>
    <row r="102" spans="1:56" s="725" customFormat="1" ht="39.6" x14ac:dyDescent="0.3">
      <c r="A102" s="718" t="s">
        <v>2042</v>
      </c>
      <c r="B102" s="718" t="s">
        <v>2161</v>
      </c>
      <c r="C102" s="718" t="s">
        <v>239</v>
      </c>
      <c r="D102" s="719">
        <v>0.25</v>
      </c>
      <c r="E102" s="720">
        <v>1</v>
      </c>
      <c r="F102" s="736">
        <v>0.25</v>
      </c>
      <c r="G102" s="719"/>
      <c r="H102" s="719"/>
      <c r="I102" s="719"/>
      <c r="J102" s="719"/>
      <c r="K102" s="722"/>
      <c r="L102" s="722"/>
      <c r="M102" s="722"/>
      <c r="N102" s="722" t="s">
        <v>239</v>
      </c>
      <c r="O102" s="722">
        <f>D102</f>
        <v>0.25</v>
      </c>
      <c r="P102" s="723">
        <v>102470.08</v>
      </c>
      <c r="Q102" s="724">
        <f t="shared" si="1"/>
        <v>25617.52</v>
      </c>
      <c r="R102" s="723">
        <f>Q102*1.2</f>
        <v>30741.023999999998</v>
      </c>
      <c r="AC102" s="726"/>
      <c r="AD102" s="726"/>
      <c r="AE102" s="726" t="s">
        <v>2044</v>
      </c>
      <c r="AJ102" s="726"/>
    </row>
    <row r="103" spans="1:56" s="725" customFormat="1" ht="26.4" x14ac:dyDescent="0.3">
      <c r="A103" s="718" t="s">
        <v>2045</v>
      </c>
      <c r="B103" s="718" t="s">
        <v>2047</v>
      </c>
      <c r="C103" s="718" t="s">
        <v>431</v>
      </c>
      <c r="D103" s="719">
        <v>26</v>
      </c>
      <c r="E103" s="720">
        <v>1</v>
      </c>
      <c r="F103" s="720">
        <v>26</v>
      </c>
      <c r="G103" s="719"/>
      <c r="H103" s="719"/>
      <c r="I103" s="719"/>
      <c r="J103" s="719"/>
      <c r="K103" s="722"/>
      <c r="L103" s="722"/>
      <c r="M103" s="722"/>
      <c r="N103" s="722" t="s">
        <v>431</v>
      </c>
      <c r="O103" s="722">
        <f>D103</f>
        <v>26</v>
      </c>
      <c r="P103" s="723">
        <v>2451.7800000000002</v>
      </c>
      <c r="Q103" s="724">
        <f t="shared" si="1"/>
        <v>63746.280000000006</v>
      </c>
      <c r="R103" s="723">
        <f>Q103*1.2</f>
        <v>76495.536000000007</v>
      </c>
      <c r="AC103" s="726"/>
      <c r="AD103" s="726"/>
      <c r="AE103" s="726" t="s">
        <v>2047</v>
      </c>
      <c r="AJ103" s="726"/>
    </row>
    <row r="104" spans="1:56" s="725" customFormat="1" x14ac:dyDescent="0.3">
      <c r="A104" s="718" t="s">
        <v>2048</v>
      </c>
      <c r="B104" s="718" t="s">
        <v>2050</v>
      </c>
      <c r="C104" s="718" t="s">
        <v>1890</v>
      </c>
      <c r="D104" s="719">
        <v>1.9</v>
      </c>
      <c r="E104" s="720">
        <v>1</v>
      </c>
      <c r="F104" s="745">
        <v>1.9</v>
      </c>
      <c r="G104" s="719"/>
      <c r="H104" s="719"/>
      <c r="I104" s="719"/>
      <c r="J104" s="719"/>
      <c r="K104" s="722"/>
      <c r="L104" s="722"/>
      <c r="M104" s="722"/>
      <c r="N104" s="722" t="s">
        <v>431</v>
      </c>
      <c r="O104" s="722">
        <f>D104*100</f>
        <v>190</v>
      </c>
      <c r="P104" s="723">
        <v>85.62</v>
      </c>
      <c r="Q104" s="724">
        <f t="shared" si="1"/>
        <v>16267.800000000001</v>
      </c>
      <c r="R104" s="723">
        <f>Q104*1.2</f>
        <v>19521.36</v>
      </c>
      <c r="AC104" s="726"/>
      <c r="AD104" s="726"/>
      <c r="AE104" s="726" t="s">
        <v>2050</v>
      </c>
      <c r="AJ104" s="726"/>
    </row>
    <row r="105" spans="1:56" s="725" customFormat="1" hidden="1" x14ac:dyDescent="0.3">
      <c r="A105" s="718"/>
      <c r="B105" s="718" t="s">
        <v>2051</v>
      </c>
      <c r="C105" s="718"/>
      <c r="D105" s="718"/>
      <c r="E105" s="718"/>
      <c r="F105" s="718"/>
      <c r="G105" s="718"/>
      <c r="H105" s="718"/>
      <c r="I105" s="718"/>
      <c r="J105" s="718"/>
      <c r="K105" s="722"/>
      <c r="L105" s="722"/>
      <c r="M105" s="722"/>
      <c r="N105" s="722"/>
      <c r="O105" s="722"/>
      <c r="P105" s="723"/>
      <c r="Q105" s="724">
        <f t="shared" si="1"/>
        <v>0</v>
      </c>
      <c r="R105" s="723"/>
      <c r="AC105" s="726"/>
      <c r="AD105" s="726"/>
      <c r="AE105" s="726"/>
      <c r="AF105" s="726" t="s">
        <v>2051</v>
      </c>
      <c r="AJ105" s="726"/>
    </row>
    <row r="106" spans="1:56" s="725" customFormat="1" ht="39.6" x14ac:dyDescent="0.3">
      <c r="A106" s="727" t="s">
        <v>2052</v>
      </c>
      <c r="B106" s="727" t="s">
        <v>1960</v>
      </c>
      <c r="C106" s="727" t="s">
        <v>1723</v>
      </c>
      <c r="D106" s="728">
        <v>4.0999999999999996</v>
      </c>
      <c r="E106" s="729">
        <v>1</v>
      </c>
      <c r="F106" s="735">
        <v>4.0999999999999996</v>
      </c>
      <c r="G106" s="730">
        <v>22.33</v>
      </c>
      <c r="H106" s="728"/>
      <c r="I106" s="730">
        <v>91.55</v>
      </c>
      <c r="J106" s="730">
        <v>13.24</v>
      </c>
      <c r="K106" s="731"/>
      <c r="L106" s="731"/>
      <c r="M106" s="731"/>
      <c r="N106" s="731" t="s">
        <v>239</v>
      </c>
      <c r="O106" s="731">
        <f>D106</f>
        <v>4.0999999999999996</v>
      </c>
      <c r="P106" s="778">
        <v>464.83</v>
      </c>
      <c r="Q106" s="732">
        <f t="shared" si="1"/>
        <v>1905.8029999999997</v>
      </c>
      <c r="R106" s="733">
        <f>Q106*1.2</f>
        <v>2286.9635999999996</v>
      </c>
      <c r="AC106" s="726"/>
      <c r="AD106" s="726"/>
      <c r="AE106" s="726" t="s">
        <v>1960</v>
      </c>
      <c r="AJ106" s="726"/>
    </row>
    <row r="107" spans="1:56" s="725" customFormat="1" hidden="1" x14ac:dyDescent="0.3">
      <c r="A107" s="727"/>
      <c r="B107" s="727" t="s">
        <v>2053</v>
      </c>
      <c r="C107" s="727"/>
      <c r="D107" s="727"/>
      <c r="E107" s="727"/>
      <c r="F107" s="727"/>
      <c r="G107" s="727"/>
      <c r="H107" s="727"/>
      <c r="I107" s="727"/>
      <c r="J107" s="727"/>
      <c r="K107" s="731"/>
      <c r="L107" s="731"/>
      <c r="M107" s="731"/>
      <c r="N107" s="731"/>
      <c r="O107" s="731"/>
      <c r="P107" s="733"/>
      <c r="Q107" s="732">
        <f t="shared" si="1"/>
        <v>0</v>
      </c>
      <c r="R107" s="733"/>
      <c r="AC107" s="726"/>
      <c r="AD107" s="726"/>
      <c r="AE107" s="726"/>
      <c r="AF107" s="726" t="s">
        <v>2053</v>
      </c>
      <c r="AJ107" s="726"/>
    </row>
    <row r="108" spans="1:56" s="725" customFormat="1" ht="39.6" x14ac:dyDescent="0.3">
      <c r="A108" s="727" t="s">
        <v>2054</v>
      </c>
      <c r="B108" s="727" t="s">
        <v>2012</v>
      </c>
      <c r="C108" s="727" t="s">
        <v>1723</v>
      </c>
      <c r="D108" s="728">
        <v>4.0999999999999996</v>
      </c>
      <c r="E108" s="729">
        <v>1</v>
      </c>
      <c r="F108" s="735">
        <v>4.0999999999999996</v>
      </c>
      <c r="G108" s="730">
        <v>2.91</v>
      </c>
      <c r="H108" s="728"/>
      <c r="I108" s="730">
        <v>11.93</v>
      </c>
      <c r="J108" s="730">
        <v>13.62</v>
      </c>
      <c r="K108" s="731"/>
      <c r="L108" s="731"/>
      <c r="M108" s="731"/>
      <c r="N108" s="731" t="s">
        <v>239</v>
      </c>
      <c r="O108" s="731">
        <f>D108</f>
        <v>4.0999999999999996</v>
      </c>
      <c r="P108" s="778">
        <v>654.41</v>
      </c>
      <c r="Q108" s="732">
        <f t="shared" si="1"/>
        <v>2683.0809999999997</v>
      </c>
      <c r="R108" s="733">
        <f>Q108*1.2</f>
        <v>3219.6971999999996</v>
      </c>
      <c r="AC108" s="726"/>
      <c r="AD108" s="726"/>
      <c r="AE108" s="726" t="s">
        <v>2012</v>
      </c>
      <c r="AJ108" s="726"/>
    </row>
    <row r="109" spans="1:56" s="711" customFormat="1" x14ac:dyDescent="0.3">
      <c r="A109" s="927" t="s">
        <v>2055</v>
      </c>
      <c r="B109" s="927"/>
      <c r="C109" s="712"/>
      <c r="D109" s="712"/>
      <c r="E109" s="712"/>
      <c r="F109" s="712"/>
      <c r="G109" s="712"/>
      <c r="H109" s="712"/>
      <c r="I109" s="712"/>
      <c r="J109" s="712"/>
      <c r="K109" s="713"/>
      <c r="L109" s="713"/>
      <c r="M109" s="713"/>
      <c r="N109" s="713"/>
      <c r="O109" s="713"/>
      <c r="P109" s="717"/>
      <c r="Q109" s="724">
        <f t="shared" si="1"/>
        <v>0</v>
      </c>
      <c r="R109" s="717"/>
      <c r="AC109" s="716"/>
      <c r="AD109" s="716" t="s">
        <v>2055</v>
      </c>
      <c r="AE109" s="716"/>
      <c r="AJ109" s="716"/>
    </row>
    <row r="110" spans="1:56" s="725" customFormat="1" x14ac:dyDescent="0.3">
      <c r="A110" s="718" t="s">
        <v>2057</v>
      </c>
      <c r="B110" s="718" t="s">
        <v>2059</v>
      </c>
      <c r="C110" s="718" t="s">
        <v>2060</v>
      </c>
      <c r="D110" s="719">
        <v>3.54</v>
      </c>
      <c r="E110" s="720">
        <v>1</v>
      </c>
      <c r="F110" s="736">
        <v>3.54</v>
      </c>
      <c r="G110" s="719"/>
      <c r="H110" s="719"/>
      <c r="I110" s="719"/>
      <c r="J110" s="719"/>
      <c r="K110" s="722"/>
      <c r="L110" s="722"/>
      <c r="M110" s="722"/>
      <c r="N110" s="722" t="s">
        <v>193</v>
      </c>
      <c r="O110" s="722">
        <f>D110*100</f>
        <v>354</v>
      </c>
      <c r="P110" s="723">
        <v>195.33</v>
      </c>
      <c r="Q110" s="724">
        <f t="shared" si="1"/>
        <v>69146.820000000007</v>
      </c>
      <c r="R110" s="723">
        <f>Q110*1.2</f>
        <v>82976.184000000008</v>
      </c>
      <c r="AC110" s="726"/>
      <c r="AD110" s="726"/>
      <c r="AE110" s="726" t="s">
        <v>2059</v>
      </c>
      <c r="AJ110" s="726"/>
    </row>
    <row r="111" spans="1:56" s="725" customFormat="1" hidden="1" x14ac:dyDescent="0.3">
      <c r="A111" s="718"/>
      <c r="B111" s="718" t="s">
        <v>2061</v>
      </c>
      <c r="C111" s="718"/>
      <c r="D111" s="718"/>
      <c r="E111" s="718"/>
      <c r="F111" s="718"/>
      <c r="G111" s="718"/>
      <c r="H111" s="718"/>
      <c r="I111" s="718"/>
      <c r="J111" s="718"/>
      <c r="K111" s="722"/>
      <c r="L111" s="722"/>
      <c r="M111" s="722"/>
      <c r="N111" s="722"/>
      <c r="O111" s="722"/>
      <c r="P111" s="723"/>
      <c r="Q111" s="724">
        <f t="shared" si="1"/>
        <v>0</v>
      </c>
      <c r="R111" s="723"/>
      <c r="AC111" s="726"/>
      <c r="AD111" s="726"/>
      <c r="AE111" s="726"/>
      <c r="AF111" s="726" t="s">
        <v>2061</v>
      </c>
      <c r="AJ111" s="726"/>
    </row>
    <row r="112" spans="1:56" s="725" customFormat="1" ht="39.6" x14ac:dyDescent="0.3">
      <c r="A112" s="755" t="s">
        <v>2062</v>
      </c>
      <c r="B112" s="755" t="s">
        <v>2064</v>
      </c>
      <c r="C112" s="755" t="s">
        <v>193</v>
      </c>
      <c r="D112" s="756">
        <v>354</v>
      </c>
      <c r="E112" s="757">
        <v>1</v>
      </c>
      <c r="F112" s="757">
        <v>354</v>
      </c>
      <c r="G112" s="756"/>
      <c r="H112" s="756"/>
      <c r="I112" s="756"/>
      <c r="J112" s="756"/>
      <c r="K112" s="758"/>
      <c r="L112" s="758"/>
      <c r="M112" s="758"/>
      <c r="N112" s="758" t="s">
        <v>193</v>
      </c>
      <c r="O112" s="758">
        <f>D112</f>
        <v>354</v>
      </c>
      <c r="P112" s="759">
        <v>20635.650000000001</v>
      </c>
      <c r="Q112" s="760">
        <f t="shared" si="1"/>
        <v>7305020.1000000006</v>
      </c>
      <c r="R112" s="759">
        <f>Q112*1.2</f>
        <v>8766024.120000001</v>
      </c>
      <c r="AC112" s="726"/>
      <c r="AD112" s="726"/>
      <c r="AE112" s="726" t="s">
        <v>2064</v>
      </c>
      <c r="AJ112" s="726"/>
      <c r="AX112" s="752">
        <v>71149.236638418079</v>
      </c>
      <c r="AY112" s="752">
        <v>25186829.77</v>
      </c>
      <c r="AZ112" s="752">
        <v>30224195.723999999</v>
      </c>
      <c r="BD112" s="725">
        <f>180/354</f>
        <v>0.50847457627118642</v>
      </c>
    </row>
    <row r="113" spans="1:52" s="725" customFormat="1" ht="52.8" x14ac:dyDescent="0.3">
      <c r="A113" s="727" t="s">
        <v>2065</v>
      </c>
      <c r="B113" s="727" t="s">
        <v>1748</v>
      </c>
      <c r="C113" s="727" t="s">
        <v>1723</v>
      </c>
      <c r="D113" s="728">
        <v>708</v>
      </c>
      <c r="E113" s="729">
        <v>1</v>
      </c>
      <c r="F113" s="729">
        <v>708</v>
      </c>
      <c r="G113" s="730">
        <v>3.28</v>
      </c>
      <c r="H113" s="728"/>
      <c r="I113" s="732">
        <v>2322.2399999999998</v>
      </c>
      <c r="J113" s="730">
        <v>13.24</v>
      </c>
      <c r="K113" s="731"/>
      <c r="L113" s="731"/>
      <c r="M113" s="731"/>
      <c r="N113" s="731" t="s">
        <v>239</v>
      </c>
      <c r="O113" s="731">
        <f>D113</f>
        <v>708</v>
      </c>
      <c r="P113" s="778">
        <v>464.83</v>
      </c>
      <c r="Q113" s="732">
        <f t="shared" si="1"/>
        <v>329099.64</v>
      </c>
      <c r="R113" s="733">
        <f>Q113*1.2</f>
        <v>394919.56800000003</v>
      </c>
      <c r="AC113" s="726"/>
      <c r="AD113" s="726"/>
      <c r="AE113" s="726" t="s">
        <v>1748</v>
      </c>
      <c r="AJ113" s="726"/>
    </row>
    <row r="114" spans="1:52" s="725" customFormat="1" hidden="1" x14ac:dyDescent="0.3">
      <c r="A114" s="727"/>
      <c r="B114" s="727" t="s">
        <v>2066</v>
      </c>
      <c r="C114" s="727"/>
      <c r="D114" s="727"/>
      <c r="E114" s="727"/>
      <c r="F114" s="727"/>
      <c r="G114" s="727"/>
      <c r="H114" s="727"/>
      <c r="I114" s="727"/>
      <c r="J114" s="727"/>
      <c r="K114" s="731"/>
      <c r="L114" s="731"/>
      <c r="M114" s="731"/>
      <c r="N114" s="731"/>
      <c r="O114" s="731"/>
      <c r="P114" s="733"/>
      <c r="Q114" s="732">
        <f t="shared" si="1"/>
        <v>0</v>
      </c>
      <c r="R114" s="733"/>
      <c r="AC114" s="726"/>
      <c r="AD114" s="726"/>
      <c r="AE114" s="726"/>
      <c r="AF114" s="726" t="s">
        <v>2066</v>
      </c>
      <c r="AJ114" s="726"/>
    </row>
    <row r="115" spans="1:52" s="725" customFormat="1" ht="26.4" x14ac:dyDescent="0.3">
      <c r="A115" s="727" t="s">
        <v>2067</v>
      </c>
      <c r="B115" s="727" t="s">
        <v>1752</v>
      </c>
      <c r="C115" s="727" t="s">
        <v>1723</v>
      </c>
      <c r="D115" s="728">
        <v>177</v>
      </c>
      <c r="E115" s="729">
        <v>1</v>
      </c>
      <c r="F115" s="729">
        <v>177</v>
      </c>
      <c r="G115" s="730">
        <v>42.98</v>
      </c>
      <c r="H115" s="728"/>
      <c r="I115" s="732">
        <v>7607.46</v>
      </c>
      <c r="J115" s="730">
        <v>13.24</v>
      </c>
      <c r="K115" s="731"/>
      <c r="L115" s="731"/>
      <c r="M115" s="731"/>
      <c r="N115" s="731" t="s">
        <v>239</v>
      </c>
      <c r="O115" s="731">
        <f>D115</f>
        <v>177</v>
      </c>
      <c r="P115" s="778">
        <v>654.41</v>
      </c>
      <c r="Q115" s="732">
        <f t="shared" si="1"/>
        <v>115830.56999999999</v>
      </c>
      <c r="R115" s="733">
        <f>Q115*1.2</f>
        <v>138996.68399999998</v>
      </c>
      <c r="AC115" s="726"/>
      <c r="AD115" s="726"/>
      <c r="AE115" s="726" t="s">
        <v>1752</v>
      </c>
      <c r="AJ115" s="726"/>
    </row>
    <row r="116" spans="1:52" s="725" customFormat="1" hidden="1" x14ac:dyDescent="0.3">
      <c r="A116" s="718"/>
      <c r="B116" s="718" t="s">
        <v>2068</v>
      </c>
      <c r="C116" s="718"/>
      <c r="D116" s="718"/>
      <c r="E116" s="718"/>
      <c r="F116" s="718"/>
      <c r="G116" s="718"/>
      <c r="H116" s="718"/>
      <c r="I116" s="718"/>
      <c r="J116" s="718"/>
      <c r="K116" s="722"/>
      <c r="L116" s="722"/>
      <c r="M116" s="722"/>
      <c r="N116" s="722"/>
      <c r="O116" s="722"/>
      <c r="P116" s="723"/>
      <c r="Q116" s="724">
        <f t="shared" si="1"/>
        <v>0</v>
      </c>
      <c r="R116" s="723"/>
      <c r="AC116" s="726"/>
      <c r="AD116" s="726"/>
      <c r="AE116" s="726"/>
      <c r="AF116" s="726" t="s">
        <v>2068</v>
      </c>
      <c r="AJ116" s="726"/>
    </row>
    <row r="117" spans="1:52" s="725" customFormat="1" ht="26.4" x14ac:dyDescent="0.3">
      <c r="A117" s="737" t="s">
        <v>2069</v>
      </c>
      <c r="B117" s="737" t="s">
        <v>1727</v>
      </c>
      <c r="C117" s="737" t="s">
        <v>193</v>
      </c>
      <c r="D117" s="738">
        <v>354</v>
      </c>
      <c r="E117" s="739">
        <v>1</v>
      </c>
      <c r="F117" s="739">
        <v>354</v>
      </c>
      <c r="G117" s="740">
        <v>162.38</v>
      </c>
      <c r="H117" s="738"/>
      <c r="I117" s="741">
        <v>57482.52</v>
      </c>
      <c r="J117" s="740">
        <v>8.16</v>
      </c>
      <c r="K117" s="742"/>
      <c r="L117" s="742"/>
      <c r="M117" s="742"/>
      <c r="N117" s="742" t="s">
        <v>193</v>
      </c>
      <c r="O117" s="742">
        <f>D117</f>
        <v>354</v>
      </c>
      <c r="P117" s="743">
        <v>1350</v>
      </c>
      <c r="Q117" s="743">
        <f t="shared" si="1"/>
        <v>477900</v>
      </c>
      <c r="R117" s="743">
        <f>Q117*1.2</f>
        <v>573480</v>
      </c>
      <c r="AC117" s="726"/>
      <c r="AD117" s="726"/>
      <c r="AE117" s="726" t="s">
        <v>1727</v>
      </c>
      <c r="AJ117" s="726"/>
    </row>
    <row r="118" spans="1:52" s="711" customFormat="1" ht="30" customHeight="1" x14ac:dyDescent="0.3">
      <c r="A118" s="927" t="s">
        <v>2070</v>
      </c>
      <c r="B118" s="927"/>
      <c r="C118" s="712"/>
      <c r="D118" s="712"/>
      <c r="E118" s="712"/>
      <c r="F118" s="712"/>
      <c r="G118" s="712"/>
      <c r="H118" s="712"/>
      <c r="I118" s="712"/>
      <c r="J118" s="712"/>
      <c r="K118" s="713"/>
      <c r="L118" s="713"/>
      <c r="M118" s="713"/>
      <c r="N118" s="713"/>
      <c r="O118" s="713"/>
      <c r="P118" s="717"/>
      <c r="Q118" s="724">
        <f t="shared" si="1"/>
        <v>0</v>
      </c>
      <c r="R118" s="717"/>
      <c r="AC118" s="716"/>
      <c r="AD118" s="716" t="s">
        <v>2070</v>
      </c>
      <c r="AE118" s="716"/>
      <c r="AJ118" s="716"/>
    </row>
    <row r="119" spans="1:52" s="725" customFormat="1" ht="26.4" x14ac:dyDescent="0.3">
      <c r="A119" s="761" t="s">
        <v>2071</v>
      </c>
      <c r="B119" s="761" t="s">
        <v>2072</v>
      </c>
      <c r="C119" s="761" t="s">
        <v>193</v>
      </c>
      <c r="D119" s="762">
        <v>173.39</v>
      </c>
      <c r="E119" s="763">
        <v>1</v>
      </c>
      <c r="F119" s="764">
        <v>173.39</v>
      </c>
      <c r="G119" s="762"/>
      <c r="H119" s="762"/>
      <c r="I119" s="762"/>
      <c r="J119" s="762"/>
      <c r="K119" s="765"/>
      <c r="L119" s="765"/>
      <c r="M119" s="765"/>
      <c r="N119" s="765" t="s">
        <v>193</v>
      </c>
      <c r="O119" s="765">
        <f>D119</f>
        <v>173.39</v>
      </c>
      <c r="P119" s="766">
        <v>11600</v>
      </c>
      <c r="Q119" s="767">
        <f t="shared" si="1"/>
        <v>2011323.9999999998</v>
      </c>
      <c r="R119" s="766">
        <f>Q119*1.2</f>
        <v>2413588.7999999998</v>
      </c>
      <c r="AC119" s="726"/>
      <c r="AD119" s="726"/>
      <c r="AE119" s="726" t="s">
        <v>2072</v>
      </c>
      <c r="AJ119" s="726"/>
      <c r="AX119" s="752">
        <v>23266.572524367035</v>
      </c>
      <c r="AY119" s="752">
        <v>4034191.01</v>
      </c>
      <c r="AZ119" s="752">
        <v>4841029.2119999994</v>
      </c>
    </row>
    <row r="120" spans="1:52" s="725" customFormat="1" ht="52.8" x14ac:dyDescent="0.3">
      <c r="A120" s="727" t="s">
        <v>2073</v>
      </c>
      <c r="B120" s="727" t="s">
        <v>1748</v>
      </c>
      <c r="C120" s="727" t="s">
        <v>1723</v>
      </c>
      <c r="D120" s="728">
        <v>346.8</v>
      </c>
      <c r="E120" s="729">
        <v>1</v>
      </c>
      <c r="F120" s="735">
        <v>346.8</v>
      </c>
      <c r="G120" s="730">
        <v>3.28</v>
      </c>
      <c r="H120" s="728"/>
      <c r="I120" s="732">
        <v>1137.5</v>
      </c>
      <c r="J120" s="730">
        <v>13.24</v>
      </c>
      <c r="K120" s="731"/>
      <c r="L120" s="731"/>
      <c r="M120" s="731"/>
      <c r="N120" s="731" t="s">
        <v>239</v>
      </c>
      <c r="O120" s="731">
        <f>D120</f>
        <v>346.8</v>
      </c>
      <c r="P120" s="778">
        <v>464.83</v>
      </c>
      <c r="Q120" s="732">
        <f t="shared" si="1"/>
        <v>161203.04399999999</v>
      </c>
      <c r="R120" s="733">
        <f>Q120*1.2</f>
        <v>193443.65279999998</v>
      </c>
      <c r="AC120" s="726"/>
      <c r="AD120" s="726"/>
      <c r="AE120" s="726" t="s">
        <v>1748</v>
      </c>
      <c r="AJ120" s="726"/>
    </row>
    <row r="121" spans="1:52" s="725" customFormat="1" hidden="1" x14ac:dyDescent="0.3">
      <c r="A121" s="727"/>
      <c r="B121" s="727" t="s">
        <v>2074</v>
      </c>
      <c r="C121" s="727"/>
      <c r="D121" s="727"/>
      <c r="E121" s="727"/>
      <c r="F121" s="727"/>
      <c r="G121" s="727"/>
      <c r="H121" s="727"/>
      <c r="I121" s="727"/>
      <c r="J121" s="727"/>
      <c r="K121" s="731"/>
      <c r="L121" s="731"/>
      <c r="M121" s="731"/>
      <c r="N121" s="731"/>
      <c r="O121" s="731"/>
      <c r="P121" s="733"/>
      <c r="Q121" s="732">
        <f t="shared" si="1"/>
        <v>0</v>
      </c>
      <c r="R121" s="733"/>
      <c r="AC121" s="726"/>
      <c r="AD121" s="726"/>
      <c r="AE121" s="726"/>
      <c r="AF121" s="726" t="s">
        <v>2074</v>
      </c>
      <c r="AJ121" s="726"/>
    </row>
    <row r="122" spans="1:52" s="725" customFormat="1" ht="26.4" x14ac:dyDescent="0.3">
      <c r="A122" s="727" t="s">
        <v>2075</v>
      </c>
      <c r="B122" s="727" t="s">
        <v>1752</v>
      </c>
      <c r="C122" s="727" t="s">
        <v>1723</v>
      </c>
      <c r="D122" s="728">
        <v>86.7</v>
      </c>
      <c r="E122" s="729">
        <v>1</v>
      </c>
      <c r="F122" s="735">
        <v>86.7</v>
      </c>
      <c r="G122" s="730">
        <v>42.98</v>
      </c>
      <c r="H122" s="728"/>
      <c r="I122" s="732">
        <v>3726.37</v>
      </c>
      <c r="J122" s="730">
        <v>13.24</v>
      </c>
      <c r="K122" s="731"/>
      <c r="L122" s="731"/>
      <c r="M122" s="731"/>
      <c r="N122" s="731" t="s">
        <v>239</v>
      </c>
      <c r="O122" s="731">
        <f>D122</f>
        <v>86.7</v>
      </c>
      <c r="P122" s="778">
        <v>654.41</v>
      </c>
      <c r="Q122" s="732">
        <f t="shared" si="1"/>
        <v>56737.347000000002</v>
      </c>
      <c r="R122" s="733">
        <f>Q122*1.2</f>
        <v>68084.816399999996</v>
      </c>
      <c r="AC122" s="726"/>
      <c r="AD122" s="726"/>
      <c r="AE122" s="726" t="s">
        <v>1752</v>
      </c>
      <c r="AJ122" s="726"/>
    </row>
    <row r="123" spans="1:52" s="725" customFormat="1" hidden="1" x14ac:dyDescent="0.3">
      <c r="A123" s="718"/>
      <c r="B123" s="718" t="s">
        <v>2076</v>
      </c>
      <c r="C123" s="718"/>
      <c r="D123" s="718"/>
      <c r="E123" s="718"/>
      <c r="F123" s="718"/>
      <c r="G123" s="718"/>
      <c r="H123" s="718"/>
      <c r="I123" s="718"/>
      <c r="J123" s="718"/>
      <c r="K123" s="722"/>
      <c r="L123" s="722"/>
      <c r="M123" s="722"/>
      <c r="N123" s="722"/>
      <c r="O123" s="722"/>
      <c r="P123" s="723"/>
      <c r="Q123" s="724">
        <f t="shared" si="1"/>
        <v>0</v>
      </c>
      <c r="R123" s="723"/>
      <c r="AC123" s="726"/>
      <c r="AD123" s="726"/>
      <c r="AE123" s="726"/>
      <c r="AF123" s="726" t="s">
        <v>2076</v>
      </c>
      <c r="AJ123" s="726"/>
    </row>
    <row r="124" spans="1:52" s="725" customFormat="1" ht="26.4" x14ac:dyDescent="0.3">
      <c r="A124" s="737" t="s">
        <v>2077</v>
      </c>
      <c r="B124" s="737" t="s">
        <v>1727</v>
      </c>
      <c r="C124" s="737" t="s">
        <v>193</v>
      </c>
      <c r="D124" s="738">
        <v>173.39</v>
      </c>
      <c r="E124" s="739">
        <v>1</v>
      </c>
      <c r="F124" s="740">
        <v>173.39</v>
      </c>
      <c r="G124" s="740">
        <v>162.38</v>
      </c>
      <c r="H124" s="738"/>
      <c r="I124" s="741">
        <v>28155.07</v>
      </c>
      <c r="J124" s="740">
        <v>8.16</v>
      </c>
      <c r="K124" s="722"/>
      <c r="L124" s="722"/>
      <c r="M124" s="722"/>
      <c r="N124" s="742" t="s">
        <v>193</v>
      </c>
      <c r="O124" s="742">
        <f>D124</f>
        <v>173.39</v>
      </c>
      <c r="P124" s="743">
        <v>1350</v>
      </c>
      <c r="Q124" s="743">
        <f t="shared" si="1"/>
        <v>234076.49999999997</v>
      </c>
      <c r="R124" s="743">
        <f>Q124*1.2</f>
        <v>280891.79999999993</v>
      </c>
      <c r="AC124" s="726"/>
      <c r="AD124" s="726"/>
      <c r="AE124" s="726" t="s">
        <v>1727</v>
      </c>
      <c r="AJ124" s="726"/>
    </row>
    <row r="125" spans="1:52" s="711" customFormat="1" x14ac:dyDescent="0.3">
      <c r="A125" s="927" t="s">
        <v>2080</v>
      </c>
      <c r="B125" s="927"/>
      <c r="C125" s="712"/>
      <c r="D125" s="712"/>
      <c r="E125" s="712"/>
      <c r="F125" s="712"/>
      <c r="G125" s="712"/>
      <c r="H125" s="712"/>
      <c r="I125" s="712"/>
      <c r="J125" s="712"/>
      <c r="K125" s="713"/>
      <c r="L125" s="713"/>
      <c r="M125" s="713"/>
      <c r="N125" s="713"/>
      <c r="O125" s="713"/>
      <c r="P125" s="717"/>
      <c r="Q125" s="724">
        <f t="shared" si="1"/>
        <v>0</v>
      </c>
      <c r="R125" s="717"/>
      <c r="AC125" s="716" t="s">
        <v>2080</v>
      </c>
      <c r="AD125" s="716"/>
      <c r="AE125" s="716"/>
      <c r="AJ125" s="716"/>
      <c r="AN125" s="716"/>
      <c r="AP125" s="716"/>
    </row>
    <row r="126" spans="1:52" s="725" customFormat="1" ht="52.8" x14ac:dyDescent="0.3">
      <c r="A126" s="761" t="s">
        <v>2081</v>
      </c>
      <c r="B126" s="761" t="s">
        <v>2083</v>
      </c>
      <c r="C126" s="761" t="s">
        <v>2060</v>
      </c>
      <c r="D126" s="762">
        <v>17.14</v>
      </c>
      <c r="E126" s="763">
        <v>1</v>
      </c>
      <c r="F126" s="764">
        <v>17.14</v>
      </c>
      <c r="G126" s="762"/>
      <c r="H126" s="762"/>
      <c r="I126" s="762"/>
      <c r="J126" s="762"/>
      <c r="K126" s="765"/>
      <c r="L126" s="765"/>
      <c r="M126" s="765"/>
      <c r="N126" s="765" t="s">
        <v>193</v>
      </c>
      <c r="O126" s="765">
        <f>D126*100</f>
        <v>1714</v>
      </c>
      <c r="P126" s="766">
        <v>1607</v>
      </c>
      <c r="Q126" s="767">
        <f t="shared" si="1"/>
        <v>2754398</v>
      </c>
      <c r="R126" s="766">
        <f>Q126*1.2</f>
        <v>3305277.6</v>
      </c>
      <c r="AC126" s="726"/>
      <c r="AD126" s="726"/>
      <c r="AE126" s="726" t="s">
        <v>2083</v>
      </c>
      <c r="AJ126" s="726"/>
      <c r="AN126" s="726"/>
      <c r="AP126" s="726"/>
      <c r="AX126" s="752">
        <v>3215.5755834305714</v>
      </c>
      <c r="AY126" s="752">
        <v>5511496.5499999998</v>
      </c>
      <c r="AZ126" s="752">
        <v>6613795.8599999994</v>
      </c>
    </row>
    <row r="127" spans="1:52" s="725" customFormat="1" hidden="1" x14ac:dyDescent="0.3">
      <c r="A127" s="718"/>
      <c r="B127" s="718" t="s">
        <v>2084</v>
      </c>
      <c r="C127" s="718"/>
      <c r="D127" s="718"/>
      <c r="E127" s="718"/>
      <c r="F127" s="718"/>
      <c r="G127" s="718"/>
      <c r="H127" s="718"/>
      <c r="I127" s="718"/>
      <c r="J127" s="718"/>
      <c r="K127" s="722"/>
      <c r="L127" s="722"/>
      <c r="M127" s="722"/>
      <c r="N127" s="722"/>
      <c r="O127" s="722"/>
      <c r="P127" s="723"/>
      <c r="Q127" s="724">
        <f t="shared" si="1"/>
        <v>0</v>
      </c>
      <c r="R127" s="723"/>
      <c r="AC127" s="726"/>
      <c r="AD127" s="726"/>
      <c r="AE127" s="726"/>
      <c r="AF127" s="726" t="s">
        <v>2084</v>
      </c>
      <c r="AJ127" s="726"/>
      <c r="AN127" s="726"/>
      <c r="AP127" s="726"/>
    </row>
    <row r="128" spans="1:52" s="725" customFormat="1" ht="26.4" x14ac:dyDescent="0.3">
      <c r="A128" s="727" t="s">
        <v>2089</v>
      </c>
      <c r="B128" s="727" t="s">
        <v>2091</v>
      </c>
      <c r="C128" s="727" t="s">
        <v>2060</v>
      </c>
      <c r="D128" s="728">
        <v>18.791</v>
      </c>
      <c r="E128" s="729">
        <v>1</v>
      </c>
      <c r="F128" s="746">
        <v>18.791</v>
      </c>
      <c r="G128" s="728"/>
      <c r="H128" s="728"/>
      <c r="I128" s="728"/>
      <c r="J128" s="728"/>
      <c r="K128" s="731"/>
      <c r="L128" s="731"/>
      <c r="M128" s="731"/>
      <c r="N128" s="731" t="s">
        <v>193</v>
      </c>
      <c r="O128" s="731">
        <f>D128*100</f>
        <v>1879.1000000000001</v>
      </c>
      <c r="P128" s="733">
        <v>283.18</v>
      </c>
      <c r="Q128" s="732">
        <f t="shared" si="1"/>
        <v>532123.53800000006</v>
      </c>
      <c r="R128" s="733">
        <f>Q128*1.2</f>
        <v>638548.24560000002</v>
      </c>
      <c r="AC128" s="726"/>
      <c r="AD128" s="726"/>
      <c r="AE128" s="726" t="s">
        <v>2091</v>
      </c>
      <c r="AJ128" s="726"/>
      <c r="AN128" s="726"/>
      <c r="AP128" s="726"/>
    </row>
    <row r="129" spans="1:45" s="725" customFormat="1" hidden="1" x14ac:dyDescent="0.3">
      <c r="A129" s="718"/>
      <c r="B129" s="718" t="s">
        <v>2092</v>
      </c>
      <c r="C129" s="718"/>
      <c r="D129" s="718"/>
      <c r="E129" s="718"/>
      <c r="F129" s="718"/>
      <c r="G129" s="718"/>
      <c r="H129" s="718"/>
      <c r="I129" s="718"/>
      <c r="J129" s="718"/>
      <c r="K129" s="722"/>
      <c r="L129" s="722"/>
      <c r="M129" s="722"/>
      <c r="N129" s="722"/>
      <c r="O129" s="722"/>
      <c r="P129" s="723"/>
      <c r="Q129" s="718"/>
      <c r="R129" s="723"/>
      <c r="AC129" s="726"/>
      <c r="AD129" s="726"/>
      <c r="AE129" s="726"/>
      <c r="AF129" s="726" t="s">
        <v>2092</v>
      </c>
      <c r="AJ129" s="726"/>
      <c r="AN129" s="726"/>
      <c r="AP129" s="726"/>
    </row>
    <row r="130" spans="1:45" s="725" customFormat="1" x14ac:dyDescent="0.3">
      <c r="A130" s="768"/>
      <c r="B130" s="769" t="s">
        <v>1874</v>
      </c>
      <c r="C130" s="769"/>
      <c r="D130" s="769"/>
      <c r="E130" s="769"/>
      <c r="F130" s="769"/>
      <c r="G130" s="769"/>
      <c r="H130" s="769"/>
      <c r="I130" s="770">
        <v>1883282.27</v>
      </c>
      <c r="J130" s="771"/>
      <c r="K130" s="772"/>
      <c r="L130" s="772"/>
      <c r="M130" s="772"/>
      <c r="N130" s="772"/>
      <c r="O130" s="772"/>
      <c r="P130" s="773"/>
      <c r="Q130" s="770">
        <f>SUM(Q3:Q129)</f>
        <v>23688091.222519998</v>
      </c>
      <c r="R130" s="770">
        <f>SUM(R3:R129)</f>
        <v>28425709.467024006</v>
      </c>
      <c r="AQ130" s="726"/>
      <c r="AS130" s="726" t="s">
        <v>1874</v>
      </c>
    </row>
    <row r="131" spans="1:45" s="725" customFormat="1" x14ac:dyDescent="0.3">
      <c r="P131" s="774"/>
      <c r="R131" s="774"/>
    </row>
    <row r="132" spans="1:45" s="725" customFormat="1" x14ac:dyDescent="0.3">
      <c r="C132" s="726"/>
      <c r="P132" s="774"/>
      <c r="R132" s="774"/>
    </row>
  </sheetData>
  <mergeCells count="13">
    <mergeCell ref="A125:B125"/>
    <mergeCell ref="A118:B118"/>
    <mergeCell ref="A109:B109"/>
    <mergeCell ref="A101:B101"/>
    <mergeCell ref="A96:B96"/>
    <mergeCell ref="A38:B38"/>
    <mergeCell ref="A20:B20"/>
    <mergeCell ref="A2:B2"/>
    <mergeCell ref="A93:B93"/>
    <mergeCell ref="A84:B84"/>
    <mergeCell ref="A69:B69"/>
    <mergeCell ref="A61:B61"/>
    <mergeCell ref="A49:B4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0169F-FF0D-45B9-B706-53A61C16B9D4}">
  <dimension ref="A1:AZ672"/>
  <sheetViews>
    <sheetView topLeftCell="A589" workbookViewId="0">
      <selection activeCell="C509" sqref="C509:E509"/>
    </sheetView>
  </sheetViews>
  <sheetFormatPr defaultColWidth="9.109375" defaultRowHeight="10.199999999999999" x14ac:dyDescent="0.2"/>
  <cols>
    <col min="1" max="1" width="9.109375" style="394"/>
    <col min="2" max="2" width="20.109375" style="493" customWidth="1"/>
    <col min="3" max="3" width="13.44140625" style="493" customWidth="1"/>
    <col min="4" max="4" width="12.88671875" style="493" customWidth="1"/>
    <col min="5" max="5" width="13.33203125" style="493" customWidth="1"/>
    <col min="6" max="6" width="8.5546875" style="493" customWidth="1"/>
    <col min="7" max="7" width="10.5546875" style="493" customWidth="1"/>
    <col min="8" max="8" width="8.44140625" style="493" customWidth="1"/>
    <col min="9" max="9" width="13" style="493" customWidth="1"/>
    <col min="10" max="10" width="12.44140625" style="493" customWidth="1"/>
    <col min="11" max="11" width="8.5546875" style="493" customWidth="1"/>
    <col min="12" max="12" width="12.88671875" style="493" customWidth="1"/>
    <col min="13" max="13" width="7.44140625" style="493" customWidth="1"/>
    <col min="14" max="14" width="13.44140625" style="493" customWidth="1"/>
    <col min="15" max="15" width="14.5546875" style="493" hidden="1" customWidth="1"/>
    <col min="16" max="16" width="78.33203125" style="493" hidden="1" customWidth="1"/>
    <col min="17" max="17" width="73.6640625" style="493" hidden="1" customWidth="1"/>
    <col min="18" max="21" width="9.109375" style="493"/>
    <col min="22" max="27" width="86.6640625" style="426" hidden="1" customWidth="1"/>
    <col min="28" max="30" width="164.109375" style="426" hidden="1" customWidth="1"/>
    <col min="31" max="31" width="34.6640625" style="426" hidden="1" customWidth="1"/>
    <col min="32" max="33" width="164.109375" style="426" hidden="1" customWidth="1"/>
    <col min="34" max="34" width="39.5546875" style="426" hidden="1" customWidth="1"/>
    <col min="35" max="35" width="134.88671875" style="426" hidden="1" customWidth="1"/>
    <col min="36" max="39" width="39.5546875" style="426" hidden="1" customWidth="1"/>
    <col min="40" max="42" width="134.88671875" style="426" hidden="1" customWidth="1"/>
    <col min="43" max="48" width="101.109375" style="426" hidden="1" customWidth="1"/>
    <col min="49" max="49" width="58.6640625" style="426" hidden="1" customWidth="1"/>
    <col min="50" max="50" width="55.33203125" style="426" hidden="1" customWidth="1"/>
    <col min="51" max="51" width="58.6640625" style="426" hidden="1" customWidth="1"/>
    <col min="52" max="52" width="55.33203125" style="426" hidden="1" customWidth="1"/>
    <col min="53" max="16384" width="9.109375" style="493"/>
  </cols>
  <sheetData>
    <row r="1" spans="1:29" customFormat="1" ht="14.4" x14ac:dyDescent="0.3">
      <c r="N1" s="380" t="s">
        <v>1649</v>
      </c>
    </row>
    <row r="2" spans="1:29" customFormat="1" ht="11.25" customHeight="1" x14ac:dyDescent="0.3">
      <c r="A2" s="381"/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2" t="s">
        <v>1650</v>
      </c>
    </row>
    <row r="3" spans="1:29" customFormat="1" ht="6.75" customHeight="1" x14ac:dyDescent="0.3">
      <c r="A3" s="381"/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0"/>
    </row>
    <row r="4" spans="1:29" customFormat="1" ht="2.25" customHeight="1" x14ac:dyDescent="0.3">
      <c r="A4" s="384"/>
      <c r="B4" s="385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</row>
    <row r="5" spans="1:29" customFormat="1" ht="11.25" customHeight="1" x14ac:dyDescent="0.3">
      <c r="A5" s="384" t="s">
        <v>1651</v>
      </c>
      <c r="B5" s="385"/>
      <c r="C5" s="381"/>
      <c r="E5" s="381"/>
      <c r="F5" s="381"/>
      <c r="G5" s="892" t="s">
        <v>1652</v>
      </c>
      <c r="H5" s="892"/>
      <c r="I5" s="892"/>
      <c r="J5" s="892"/>
      <c r="K5" s="892"/>
      <c r="L5" s="892"/>
      <c r="M5" s="892"/>
      <c r="N5" s="892"/>
    </row>
    <row r="6" spans="1:29" customFormat="1" ht="22.5" customHeight="1" x14ac:dyDescent="0.3">
      <c r="A6" s="384" t="s">
        <v>1653</v>
      </c>
      <c r="B6" s="385"/>
      <c r="C6" s="381"/>
      <c r="E6" s="386"/>
      <c r="F6" s="386"/>
      <c r="G6" s="893" t="s">
        <v>1654</v>
      </c>
      <c r="H6" s="893"/>
      <c r="I6" s="893"/>
      <c r="J6" s="893"/>
      <c r="K6" s="893"/>
      <c r="L6" s="893"/>
      <c r="M6" s="893"/>
      <c r="N6" s="893"/>
      <c r="V6" s="387" t="s">
        <v>1654</v>
      </c>
    </row>
    <row r="7" spans="1:29" customFormat="1" ht="90" customHeight="1" x14ac:dyDescent="0.3">
      <c r="A7" s="894" t="s">
        <v>1655</v>
      </c>
      <c r="B7" s="894"/>
      <c r="C7" s="894"/>
      <c r="D7" s="894"/>
      <c r="E7" s="894"/>
      <c r="F7" s="894"/>
      <c r="G7" s="893" t="s">
        <v>1656</v>
      </c>
      <c r="H7" s="893"/>
      <c r="I7" s="893"/>
      <c r="J7" s="893"/>
      <c r="K7" s="893"/>
      <c r="L7" s="893"/>
      <c r="M7" s="893"/>
      <c r="N7" s="893"/>
      <c r="P7" s="388" t="s">
        <v>1655</v>
      </c>
      <c r="Q7" s="388" t="s">
        <v>1656</v>
      </c>
      <c r="R7" s="389"/>
      <c r="S7" s="389"/>
      <c r="T7" s="389"/>
      <c r="U7" s="389"/>
      <c r="W7" s="387" t="s">
        <v>1656</v>
      </c>
    </row>
    <row r="8" spans="1:29" customFormat="1" ht="67.5" customHeight="1" x14ac:dyDescent="0.3">
      <c r="A8" s="895" t="s">
        <v>1657</v>
      </c>
      <c r="B8" s="895"/>
      <c r="C8" s="895"/>
      <c r="D8" s="895"/>
      <c r="E8" s="895"/>
      <c r="F8" s="895"/>
      <c r="G8" s="893"/>
      <c r="H8" s="893"/>
      <c r="I8" s="893"/>
      <c r="J8" s="893"/>
      <c r="K8" s="893"/>
      <c r="L8" s="893"/>
      <c r="M8" s="893"/>
      <c r="N8" s="893"/>
      <c r="P8" s="388" t="s">
        <v>1658</v>
      </c>
      <c r="Q8" s="388"/>
      <c r="R8" s="389"/>
      <c r="S8" s="389"/>
      <c r="T8" s="389"/>
      <c r="U8" s="389"/>
      <c r="X8" s="387" t="s">
        <v>1659</v>
      </c>
    </row>
    <row r="9" spans="1:29" customFormat="1" ht="33.75" customHeight="1" x14ac:dyDescent="0.3">
      <c r="A9" s="894" t="s">
        <v>1660</v>
      </c>
      <c r="B9" s="894"/>
      <c r="C9" s="894"/>
      <c r="D9" s="894"/>
      <c r="E9" s="894"/>
      <c r="F9" s="894"/>
      <c r="G9" s="893"/>
      <c r="H9" s="893"/>
      <c r="I9" s="893"/>
      <c r="J9" s="893"/>
      <c r="K9" s="893"/>
      <c r="L9" s="893"/>
      <c r="M9" s="893"/>
      <c r="N9" s="893"/>
      <c r="P9" s="388" t="s">
        <v>1660</v>
      </c>
      <c r="Q9" s="388"/>
      <c r="R9" s="389"/>
      <c r="S9" s="389"/>
      <c r="T9" s="389"/>
      <c r="U9" s="389"/>
      <c r="Y9" s="387" t="s">
        <v>1659</v>
      </c>
    </row>
    <row r="10" spans="1:29" customFormat="1" ht="11.25" customHeight="1" x14ac:dyDescent="0.3">
      <c r="A10" s="900" t="s">
        <v>1661</v>
      </c>
      <c r="B10" s="900"/>
      <c r="C10" s="900"/>
      <c r="D10" s="900"/>
      <c r="E10" s="900"/>
      <c r="F10" s="900"/>
      <c r="G10" s="893"/>
      <c r="H10" s="893"/>
      <c r="I10" s="893"/>
      <c r="J10" s="893"/>
      <c r="K10" s="893"/>
      <c r="L10" s="893"/>
      <c r="M10" s="893"/>
      <c r="N10" s="893"/>
      <c r="Z10" s="387" t="s">
        <v>1659</v>
      </c>
    </row>
    <row r="11" spans="1:29" customFormat="1" ht="14.4" x14ac:dyDescent="0.3">
      <c r="A11" s="900" t="s">
        <v>1662</v>
      </c>
      <c r="B11" s="900"/>
      <c r="C11" s="900"/>
      <c r="D11" s="900"/>
      <c r="E11" s="900"/>
      <c r="F11" s="900"/>
      <c r="G11" s="893"/>
      <c r="H11" s="893"/>
      <c r="I11" s="893"/>
      <c r="J11" s="893"/>
      <c r="K11" s="893"/>
      <c r="L11" s="893"/>
      <c r="M11" s="893"/>
      <c r="N11" s="893"/>
      <c r="AA11" s="387" t="s">
        <v>1659</v>
      </c>
    </row>
    <row r="12" spans="1:29" customFormat="1" ht="3.75" customHeight="1" x14ac:dyDescent="0.3">
      <c r="A12" s="390"/>
      <c r="B12" s="381"/>
      <c r="C12" s="381"/>
      <c r="D12" s="381"/>
      <c r="E12" s="381"/>
      <c r="F12" s="385"/>
      <c r="G12" s="385"/>
      <c r="H12" s="385"/>
      <c r="I12" s="385"/>
      <c r="J12" s="385"/>
      <c r="K12" s="385"/>
      <c r="L12" s="385"/>
      <c r="M12" s="385"/>
      <c r="N12" s="385"/>
    </row>
    <row r="13" spans="1:29" customFormat="1" ht="14.4" x14ac:dyDescent="0.3">
      <c r="A13" s="896"/>
      <c r="B13" s="896"/>
      <c r="C13" s="896"/>
      <c r="D13" s="896"/>
      <c r="E13" s="896"/>
      <c r="F13" s="896"/>
      <c r="G13" s="896"/>
      <c r="H13" s="896"/>
      <c r="I13" s="896"/>
      <c r="J13" s="896"/>
      <c r="K13" s="896"/>
      <c r="L13" s="896"/>
      <c r="M13" s="896"/>
      <c r="N13" s="896"/>
      <c r="AB13" s="387" t="s">
        <v>1659</v>
      </c>
    </row>
    <row r="14" spans="1:29" customFormat="1" ht="14.4" x14ac:dyDescent="0.3">
      <c r="A14" s="897" t="s">
        <v>1663</v>
      </c>
      <c r="B14" s="897"/>
      <c r="C14" s="897"/>
      <c r="D14" s="897"/>
      <c r="E14" s="897"/>
      <c r="F14" s="897"/>
      <c r="G14" s="897"/>
      <c r="H14" s="897"/>
      <c r="I14" s="897"/>
      <c r="J14" s="897"/>
      <c r="K14" s="897"/>
      <c r="L14" s="897"/>
      <c r="M14" s="897"/>
      <c r="N14" s="897"/>
    </row>
    <row r="15" spans="1:29" customFormat="1" ht="5.25" customHeight="1" x14ac:dyDescent="0.3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</row>
    <row r="16" spans="1:29" customFormat="1" ht="14.4" x14ac:dyDescent="0.3">
      <c r="A16" s="896" t="s">
        <v>1881</v>
      </c>
      <c r="B16" s="896"/>
      <c r="C16" s="896"/>
      <c r="D16" s="896"/>
      <c r="E16" s="896"/>
      <c r="F16" s="896"/>
      <c r="G16" s="896"/>
      <c r="H16" s="896"/>
      <c r="I16" s="896"/>
      <c r="J16" s="896"/>
      <c r="K16" s="896"/>
      <c r="L16" s="896"/>
      <c r="M16" s="896"/>
      <c r="N16" s="896"/>
      <c r="AC16" s="387" t="s">
        <v>1881</v>
      </c>
    </row>
    <row r="17" spans="1:31" customFormat="1" ht="14.4" x14ac:dyDescent="0.3">
      <c r="A17" s="897" t="s">
        <v>1664</v>
      </c>
      <c r="B17" s="897"/>
      <c r="C17" s="897"/>
      <c r="D17" s="897"/>
      <c r="E17" s="897"/>
      <c r="F17" s="897"/>
      <c r="G17" s="897"/>
      <c r="H17" s="897"/>
      <c r="I17" s="897"/>
      <c r="J17" s="897"/>
      <c r="K17" s="897"/>
      <c r="L17" s="897"/>
      <c r="M17" s="897"/>
      <c r="N17" s="897"/>
    </row>
    <row r="18" spans="1:31" customFormat="1" ht="21" customHeight="1" x14ac:dyDescent="0.3">
      <c r="A18" s="898" t="s">
        <v>1882</v>
      </c>
      <c r="B18" s="898"/>
      <c r="C18" s="898"/>
      <c r="D18" s="898"/>
      <c r="E18" s="898"/>
      <c r="F18" s="898"/>
      <c r="G18" s="898"/>
      <c r="H18" s="898"/>
      <c r="I18" s="898"/>
      <c r="J18" s="898"/>
      <c r="K18" s="898"/>
      <c r="L18" s="898"/>
      <c r="M18" s="898"/>
      <c r="N18" s="898"/>
    </row>
    <row r="19" spans="1:31" customFormat="1" ht="3.75" customHeight="1" x14ac:dyDescent="0.3">
      <c r="A19" s="392"/>
      <c r="B19" s="392"/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</row>
    <row r="20" spans="1:31" customFormat="1" ht="14.4" x14ac:dyDescent="0.3">
      <c r="A20" s="899" t="s">
        <v>1883</v>
      </c>
      <c r="B20" s="899"/>
      <c r="C20" s="899"/>
      <c r="D20" s="899"/>
      <c r="E20" s="899"/>
      <c r="F20" s="899"/>
      <c r="G20" s="899"/>
      <c r="H20" s="899"/>
      <c r="I20" s="899"/>
      <c r="J20" s="899"/>
      <c r="K20" s="899"/>
      <c r="L20" s="899"/>
      <c r="M20" s="899"/>
      <c r="N20" s="899"/>
      <c r="AD20" s="387" t="s">
        <v>1883</v>
      </c>
    </row>
    <row r="21" spans="1:31" customFormat="1" ht="12" customHeight="1" x14ac:dyDescent="0.3">
      <c r="A21" s="897" t="s">
        <v>1667</v>
      </c>
      <c r="B21" s="897"/>
      <c r="C21" s="897"/>
      <c r="D21" s="897"/>
      <c r="E21" s="897"/>
      <c r="F21" s="897"/>
      <c r="G21" s="897"/>
      <c r="H21" s="897"/>
      <c r="I21" s="897"/>
      <c r="J21" s="897"/>
      <c r="K21" s="897"/>
      <c r="L21" s="897"/>
      <c r="M21" s="897"/>
      <c r="N21" s="897"/>
    </row>
    <row r="22" spans="1:31" customFormat="1" ht="12" customHeight="1" x14ac:dyDescent="0.3">
      <c r="A22" s="381" t="s">
        <v>1668</v>
      </c>
      <c r="B22" s="393" t="s">
        <v>1669</v>
      </c>
      <c r="C22" s="394" t="s">
        <v>1670</v>
      </c>
      <c r="D22" s="394"/>
      <c r="E22" s="394"/>
      <c r="F22" s="386"/>
      <c r="G22" s="386"/>
      <c r="H22" s="386"/>
      <c r="I22" s="386"/>
      <c r="J22" s="386"/>
      <c r="K22" s="386"/>
      <c r="L22" s="386"/>
      <c r="M22" s="386"/>
      <c r="N22" s="386"/>
    </row>
    <row r="23" spans="1:31" customFormat="1" ht="12" customHeight="1" x14ac:dyDescent="0.3">
      <c r="A23" s="381" t="s">
        <v>1671</v>
      </c>
      <c r="B23" s="892"/>
      <c r="C23" s="892"/>
      <c r="D23" s="892"/>
      <c r="E23" s="892"/>
      <c r="F23" s="892"/>
      <c r="G23" s="386"/>
      <c r="H23" s="386"/>
      <c r="I23" s="386"/>
      <c r="J23" s="386"/>
      <c r="K23" s="386"/>
      <c r="L23" s="386"/>
      <c r="M23" s="386"/>
      <c r="N23" s="386"/>
    </row>
    <row r="24" spans="1:31" customFormat="1" ht="14.4" x14ac:dyDescent="0.3">
      <c r="A24" s="381"/>
      <c r="B24" s="904" t="s">
        <v>1672</v>
      </c>
      <c r="C24" s="904"/>
      <c r="D24" s="904"/>
      <c r="E24" s="904"/>
      <c r="F24" s="904"/>
      <c r="G24" s="395"/>
      <c r="H24" s="395"/>
      <c r="I24" s="395"/>
      <c r="J24" s="395"/>
      <c r="K24" s="395"/>
      <c r="L24" s="395"/>
      <c r="M24" s="396"/>
      <c r="N24" s="395"/>
    </row>
    <row r="25" spans="1:31" customFormat="1" ht="5.25" customHeight="1" x14ac:dyDescent="0.3">
      <c r="A25" s="381"/>
      <c r="B25" s="381"/>
      <c r="C25" s="381"/>
      <c r="D25" s="397"/>
      <c r="E25" s="397"/>
      <c r="F25" s="397"/>
      <c r="G25" s="397"/>
      <c r="H25" s="397"/>
      <c r="I25" s="397"/>
      <c r="J25" s="397"/>
      <c r="K25" s="397"/>
      <c r="L25" s="397"/>
      <c r="M25" s="395"/>
      <c r="N25" s="395"/>
    </row>
    <row r="26" spans="1:31" customFormat="1" ht="14.4" x14ac:dyDescent="0.3">
      <c r="A26" s="398" t="s">
        <v>1673</v>
      </c>
      <c r="B26" s="381"/>
      <c r="C26" s="381"/>
      <c r="D26" s="905" t="s">
        <v>1674</v>
      </c>
      <c r="E26" s="905"/>
      <c r="F26" s="905"/>
      <c r="G26" s="399"/>
      <c r="H26" s="399"/>
      <c r="I26" s="399"/>
      <c r="J26" s="399"/>
      <c r="K26" s="399"/>
      <c r="L26" s="399"/>
      <c r="M26" s="399"/>
      <c r="N26" s="399"/>
      <c r="AE26" s="387" t="s">
        <v>1674</v>
      </c>
    </row>
    <row r="27" spans="1:31" customFormat="1" ht="7.5" customHeight="1" x14ac:dyDescent="0.3">
      <c r="A27" s="381"/>
      <c r="B27" s="383"/>
      <c r="C27" s="383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</row>
    <row r="28" spans="1:31" customFormat="1" ht="12" customHeight="1" x14ac:dyDescent="0.3">
      <c r="A28" s="398" t="s">
        <v>1675</v>
      </c>
      <c r="B28" s="383"/>
      <c r="C28" s="401">
        <v>45292.53</v>
      </c>
      <c r="D28" s="402" t="s">
        <v>1884</v>
      </c>
      <c r="E28" s="403" t="s">
        <v>1677</v>
      </c>
      <c r="G28" s="383"/>
      <c r="H28" s="383"/>
      <c r="I28" s="383"/>
      <c r="J28" s="383"/>
      <c r="K28" s="383"/>
      <c r="L28" s="404"/>
      <c r="M28" s="404"/>
      <c r="N28" s="383"/>
    </row>
    <row r="29" spans="1:31" customFormat="1" ht="11.25" customHeight="1" x14ac:dyDescent="0.3">
      <c r="A29" s="381"/>
      <c r="B29" s="405" t="s">
        <v>1678</v>
      </c>
      <c r="C29" s="406"/>
      <c r="D29" s="407"/>
      <c r="E29" s="403"/>
      <c r="G29" s="383"/>
    </row>
    <row r="30" spans="1:31" customFormat="1" ht="12" customHeight="1" x14ac:dyDescent="0.3">
      <c r="A30" s="381"/>
      <c r="B30" s="408" t="s">
        <v>1679</v>
      </c>
      <c r="C30" s="401">
        <v>45292.53</v>
      </c>
      <c r="D30" s="402" t="s">
        <v>1884</v>
      </c>
      <c r="E30" s="403" t="s">
        <v>1677</v>
      </c>
      <c r="G30" s="383" t="s">
        <v>1680</v>
      </c>
      <c r="I30" s="383"/>
      <c r="J30" s="383"/>
      <c r="K30" s="383"/>
      <c r="L30" s="401">
        <v>12293.18</v>
      </c>
      <c r="M30" s="409" t="s">
        <v>1885</v>
      </c>
      <c r="N30" s="403" t="s">
        <v>1677</v>
      </c>
    </row>
    <row r="31" spans="1:31" customFormat="1" ht="12" customHeight="1" x14ac:dyDescent="0.3">
      <c r="A31" s="381"/>
      <c r="B31" s="408" t="s">
        <v>1682</v>
      </c>
      <c r="C31" s="401">
        <v>0</v>
      </c>
      <c r="D31" s="410" t="s">
        <v>1683</v>
      </c>
      <c r="E31" s="403" t="s">
        <v>1677</v>
      </c>
      <c r="G31" s="383" t="s">
        <v>1684</v>
      </c>
      <c r="I31" s="383"/>
      <c r="J31" s="383"/>
      <c r="K31" s="383"/>
      <c r="L31" s="906">
        <v>32491.71</v>
      </c>
      <c r="M31" s="906"/>
      <c r="N31" s="403" t="s">
        <v>1685</v>
      </c>
    </row>
    <row r="32" spans="1:31" customFormat="1" ht="12" customHeight="1" x14ac:dyDescent="0.3">
      <c r="A32" s="381"/>
      <c r="B32" s="408" t="s">
        <v>1686</v>
      </c>
      <c r="C32" s="401">
        <v>0</v>
      </c>
      <c r="D32" s="410" t="s">
        <v>1683</v>
      </c>
      <c r="E32" s="403" t="s">
        <v>1677</v>
      </c>
      <c r="G32" s="383" t="s">
        <v>1687</v>
      </c>
      <c r="I32" s="383"/>
      <c r="J32" s="383"/>
      <c r="K32" s="383"/>
      <c r="L32" s="906">
        <v>877.15</v>
      </c>
      <c r="M32" s="906"/>
      <c r="N32" s="403" t="s">
        <v>1685</v>
      </c>
    </row>
    <row r="33" spans="1:38" customFormat="1" ht="12" customHeight="1" x14ac:dyDescent="0.3">
      <c r="A33" s="381"/>
      <c r="B33" s="408" t="s">
        <v>1688</v>
      </c>
      <c r="C33" s="401">
        <v>0</v>
      </c>
      <c r="D33" s="402" t="s">
        <v>1683</v>
      </c>
      <c r="E33" s="403" t="s">
        <v>1677</v>
      </c>
      <c r="G33" s="383"/>
      <c r="H33" s="383"/>
      <c r="I33" s="383"/>
      <c r="J33" s="383"/>
      <c r="K33" s="383"/>
      <c r="L33" s="901" t="s">
        <v>1689</v>
      </c>
      <c r="M33" s="901"/>
      <c r="N33" s="383"/>
    </row>
    <row r="34" spans="1:38" customFormat="1" ht="7.5" customHeight="1" x14ac:dyDescent="0.3">
      <c r="A34" s="411"/>
    </row>
    <row r="35" spans="1:38" customFormat="1" ht="23.25" customHeight="1" x14ac:dyDescent="0.3">
      <c r="A35" s="902" t="s">
        <v>226</v>
      </c>
      <c r="B35" s="903" t="s">
        <v>1690</v>
      </c>
      <c r="C35" s="903" t="s">
        <v>227</v>
      </c>
      <c r="D35" s="903"/>
      <c r="E35" s="903"/>
      <c r="F35" s="903" t="s">
        <v>1691</v>
      </c>
      <c r="G35" s="903" t="s">
        <v>20</v>
      </c>
      <c r="H35" s="903"/>
      <c r="I35" s="903"/>
      <c r="J35" s="903" t="s">
        <v>1692</v>
      </c>
      <c r="K35" s="903"/>
      <c r="L35" s="903"/>
      <c r="M35" s="903" t="s">
        <v>1693</v>
      </c>
      <c r="N35" s="903" t="s">
        <v>1694</v>
      </c>
    </row>
    <row r="36" spans="1:38" customFormat="1" ht="28.5" customHeight="1" x14ac:dyDescent="0.3">
      <c r="A36" s="902"/>
      <c r="B36" s="903"/>
      <c r="C36" s="903"/>
      <c r="D36" s="903"/>
      <c r="E36" s="903"/>
      <c r="F36" s="903"/>
      <c r="G36" s="903"/>
      <c r="H36" s="903"/>
      <c r="I36" s="903"/>
      <c r="J36" s="903"/>
      <c r="K36" s="903"/>
      <c r="L36" s="903"/>
      <c r="M36" s="903"/>
      <c r="N36" s="903"/>
    </row>
    <row r="37" spans="1:38" customFormat="1" ht="20.399999999999999" x14ac:dyDescent="0.3">
      <c r="A37" s="902"/>
      <c r="B37" s="903"/>
      <c r="C37" s="903"/>
      <c r="D37" s="903"/>
      <c r="E37" s="903"/>
      <c r="F37" s="903"/>
      <c r="G37" s="412" t="s">
        <v>1695</v>
      </c>
      <c r="H37" s="412" t="s">
        <v>1696</v>
      </c>
      <c r="I37" s="412" t="s">
        <v>1697</v>
      </c>
      <c r="J37" s="412" t="s">
        <v>1695</v>
      </c>
      <c r="K37" s="412" t="s">
        <v>1696</v>
      </c>
      <c r="L37" s="412" t="s">
        <v>1698</v>
      </c>
      <c r="M37" s="903"/>
      <c r="N37" s="903"/>
    </row>
    <row r="38" spans="1:38" customFormat="1" ht="14.4" x14ac:dyDescent="0.3">
      <c r="A38" s="413">
        <v>1</v>
      </c>
      <c r="B38" s="414">
        <v>2</v>
      </c>
      <c r="C38" s="909">
        <v>3</v>
      </c>
      <c r="D38" s="909"/>
      <c r="E38" s="909"/>
      <c r="F38" s="414">
        <v>4</v>
      </c>
      <c r="G38" s="414">
        <v>5</v>
      </c>
      <c r="H38" s="414">
        <v>6</v>
      </c>
      <c r="I38" s="414">
        <v>7</v>
      </c>
      <c r="J38" s="414">
        <v>8</v>
      </c>
      <c r="K38" s="414">
        <v>9</v>
      </c>
      <c r="L38" s="414">
        <v>10</v>
      </c>
      <c r="M38" s="414">
        <v>11</v>
      </c>
      <c r="N38" s="414">
        <v>12</v>
      </c>
      <c r="R38" s="3"/>
      <c r="S38" s="3"/>
    </row>
    <row r="39" spans="1:38" customFormat="1" ht="14.4" x14ac:dyDescent="0.3">
      <c r="A39" s="910" t="s">
        <v>1886</v>
      </c>
      <c r="B39" s="911"/>
      <c r="C39" s="911"/>
      <c r="D39" s="911"/>
      <c r="E39" s="911"/>
      <c r="F39" s="911"/>
      <c r="G39" s="911"/>
      <c r="H39" s="911"/>
      <c r="I39" s="911"/>
      <c r="J39" s="911"/>
      <c r="K39" s="911"/>
      <c r="L39" s="911"/>
      <c r="M39" s="911"/>
      <c r="N39" s="912"/>
      <c r="R39" s="3"/>
      <c r="S39" s="3"/>
      <c r="AF39" s="415" t="s">
        <v>1886</v>
      </c>
    </row>
    <row r="40" spans="1:38" customFormat="1" ht="14.4" x14ac:dyDescent="0.3">
      <c r="A40" s="913" t="s">
        <v>1887</v>
      </c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5"/>
      <c r="R40" s="3"/>
      <c r="S40" s="3"/>
      <c r="AF40" s="415"/>
      <c r="AG40" s="416" t="s">
        <v>1887</v>
      </c>
    </row>
    <row r="41" spans="1:38" customFormat="1" ht="21.6" x14ac:dyDescent="0.3">
      <c r="A41" s="417" t="s">
        <v>758</v>
      </c>
      <c r="B41" s="418" t="s">
        <v>1888</v>
      </c>
      <c r="C41" s="916" t="s">
        <v>1889</v>
      </c>
      <c r="D41" s="916"/>
      <c r="E41" s="916"/>
      <c r="F41" s="419" t="s">
        <v>1890</v>
      </c>
      <c r="G41" s="420">
        <v>15.4872</v>
      </c>
      <c r="H41" s="421">
        <v>1</v>
      </c>
      <c r="I41" s="494">
        <v>15.4872</v>
      </c>
      <c r="J41" s="422"/>
      <c r="K41" s="420"/>
      <c r="L41" s="422"/>
      <c r="M41" s="420"/>
      <c r="N41" s="423"/>
      <c r="R41" s="3"/>
      <c r="S41" s="3"/>
      <c r="AF41" s="415"/>
      <c r="AG41" s="416"/>
      <c r="AH41" s="416" t="s">
        <v>1889</v>
      </c>
    </row>
    <row r="42" spans="1:38" customFormat="1" ht="14.4" x14ac:dyDescent="0.3">
      <c r="A42" s="450"/>
      <c r="B42" s="451"/>
      <c r="C42" s="907" t="s">
        <v>1891</v>
      </c>
      <c r="D42" s="907"/>
      <c r="E42" s="907"/>
      <c r="F42" s="907"/>
      <c r="G42" s="907"/>
      <c r="H42" s="907"/>
      <c r="I42" s="907"/>
      <c r="J42" s="907"/>
      <c r="K42" s="907"/>
      <c r="L42" s="907"/>
      <c r="M42" s="907"/>
      <c r="N42" s="919"/>
      <c r="R42" s="3"/>
      <c r="S42" s="3"/>
      <c r="AF42" s="415"/>
      <c r="AG42" s="416"/>
      <c r="AH42" s="416"/>
      <c r="AI42" s="426" t="s">
        <v>1891</v>
      </c>
    </row>
    <row r="43" spans="1:38" customFormat="1" ht="14.4" x14ac:dyDescent="0.3">
      <c r="A43" s="427"/>
      <c r="B43" s="425" t="s">
        <v>758</v>
      </c>
      <c r="C43" s="907" t="s">
        <v>1705</v>
      </c>
      <c r="D43" s="907"/>
      <c r="E43" s="907"/>
      <c r="F43" s="428"/>
      <c r="G43" s="429"/>
      <c r="H43" s="429"/>
      <c r="I43" s="429"/>
      <c r="J43" s="430">
        <v>112.16</v>
      </c>
      <c r="K43" s="429"/>
      <c r="L43" s="432">
        <v>1737.04</v>
      </c>
      <c r="M43" s="431">
        <v>44.77</v>
      </c>
      <c r="N43" s="433">
        <v>77767.28</v>
      </c>
      <c r="R43" s="3"/>
      <c r="S43" s="3"/>
      <c r="AF43" s="415"/>
      <c r="AG43" s="416"/>
      <c r="AH43" s="416"/>
      <c r="AJ43" s="426" t="s">
        <v>1705</v>
      </c>
    </row>
    <row r="44" spans="1:38" customFormat="1" ht="14.4" x14ac:dyDescent="0.3">
      <c r="A44" s="427"/>
      <c r="B44" s="425" t="s">
        <v>761</v>
      </c>
      <c r="C44" s="907" t="s">
        <v>1718</v>
      </c>
      <c r="D44" s="907"/>
      <c r="E44" s="907"/>
      <c r="F44" s="428"/>
      <c r="G44" s="429"/>
      <c r="H44" s="429"/>
      <c r="I44" s="429"/>
      <c r="J44" s="430">
        <v>41.43</v>
      </c>
      <c r="K44" s="429"/>
      <c r="L44" s="430">
        <v>641.63</v>
      </c>
      <c r="M44" s="431">
        <v>13.24</v>
      </c>
      <c r="N44" s="433">
        <v>8495.18</v>
      </c>
      <c r="R44" s="3"/>
      <c r="S44" s="3"/>
      <c r="AF44" s="415"/>
      <c r="AG44" s="416"/>
      <c r="AH44" s="416"/>
      <c r="AJ44" s="426" t="s">
        <v>1718</v>
      </c>
    </row>
    <row r="45" spans="1:38" customFormat="1" ht="14.4" x14ac:dyDescent="0.3">
      <c r="A45" s="434"/>
      <c r="B45" s="425"/>
      <c r="C45" s="907" t="s">
        <v>1706</v>
      </c>
      <c r="D45" s="907"/>
      <c r="E45" s="907"/>
      <c r="F45" s="428" t="s">
        <v>1707</v>
      </c>
      <c r="G45" s="431">
        <v>14.38</v>
      </c>
      <c r="H45" s="429"/>
      <c r="I45" s="457">
        <v>222.70593600000001</v>
      </c>
      <c r="J45" s="436"/>
      <c r="K45" s="429"/>
      <c r="L45" s="436"/>
      <c r="M45" s="429"/>
      <c r="N45" s="437"/>
      <c r="R45" s="3"/>
      <c r="S45" s="3"/>
      <c r="AF45" s="415"/>
      <c r="AG45" s="416"/>
      <c r="AH45" s="416"/>
      <c r="AK45" s="426" t="s">
        <v>1706</v>
      </c>
    </row>
    <row r="46" spans="1:38" customFormat="1" ht="14.4" x14ac:dyDescent="0.3">
      <c r="A46" s="427"/>
      <c r="B46" s="425"/>
      <c r="C46" s="908" t="s">
        <v>1708</v>
      </c>
      <c r="D46" s="908"/>
      <c r="E46" s="908"/>
      <c r="F46" s="438"/>
      <c r="G46" s="439"/>
      <c r="H46" s="439"/>
      <c r="I46" s="439"/>
      <c r="J46" s="440">
        <v>153.59</v>
      </c>
      <c r="K46" s="439"/>
      <c r="L46" s="441">
        <v>2378.67</v>
      </c>
      <c r="M46" s="439"/>
      <c r="N46" s="442">
        <v>86262.46</v>
      </c>
      <c r="R46" s="3"/>
      <c r="S46" s="3"/>
      <c r="AF46" s="415"/>
      <c r="AG46" s="416"/>
      <c r="AH46" s="416"/>
      <c r="AL46" s="426" t="s">
        <v>1708</v>
      </c>
    </row>
    <row r="47" spans="1:38" customFormat="1" ht="14.4" x14ac:dyDescent="0.3">
      <c r="A47" s="434"/>
      <c r="B47" s="425"/>
      <c r="C47" s="907" t="s">
        <v>1709</v>
      </c>
      <c r="D47" s="907"/>
      <c r="E47" s="907"/>
      <c r="F47" s="428"/>
      <c r="G47" s="429"/>
      <c r="H47" s="429"/>
      <c r="I47" s="429"/>
      <c r="J47" s="436"/>
      <c r="K47" s="429"/>
      <c r="L47" s="432">
        <v>1737.04</v>
      </c>
      <c r="M47" s="429"/>
      <c r="N47" s="433">
        <v>77767.28</v>
      </c>
      <c r="R47" s="3"/>
      <c r="S47" s="3"/>
      <c r="AF47" s="415"/>
      <c r="AG47" s="416"/>
      <c r="AH47" s="416"/>
      <c r="AK47" s="426" t="s">
        <v>1709</v>
      </c>
    </row>
    <row r="48" spans="1:38" customFormat="1" ht="31.8" x14ac:dyDescent="0.3">
      <c r="A48" s="434"/>
      <c r="B48" s="425" t="s">
        <v>1761</v>
      </c>
      <c r="C48" s="907" t="s">
        <v>1762</v>
      </c>
      <c r="D48" s="907"/>
      <c r="E48" s="907"/>
      <c r="F48" s="428" t="s">
        <v>1712</v>
      </c>
      <c r="G48" s="443">
        <v>91</v>
      </c>
      <c r="H48" s="429"/>
      <c r="I48" s="443">
        <v>91</v>
      </c>
      <c r="J48" s="436"/>
      <c r="K48" s="429"/>
      <c r="L48" s="432">
        <v>1580.71</v>
      </c>
      <c r="M48" s="429"/>
      <c r="N48" s="433">
        <v>70768.22</v>
      </c>
      <c r="R48" s="3"/>
      <c r="S48" s="3"/>
      <c r="AF48" s="415"/>
      <c r="AG48" s="416"/>
      <c r="AH48" s="416"/>
      <c r="AK48" s="426" t="s">
        <v>1762</v>
      </c>
    </row>
    <row r="49" spans="1:41" customFormat="1" ht="31.8" x14ac:dyDescent="0.3">
      <c r="A49" s="434"/>
      <c r="B49" s="425" t="s">
        <v>1763</v>
      </c>
      <c r="C49" s="907" t="s">
        <v>1764</v>
      </c>
      <c r="D49" s="907"/>
      <c r="E49" s="907"/>
      <c r="F49" s="428" t="s">
        <v>1712</v>
      </c>
      <c r="G49" s="443">
        <v>52</v>
      </c>
      <c r="H49" s="429"/>
      <c r="I49" s="443">
        <v>52</v>
      </c>
      <c r="J49" s="436"/>
      <c r="K49" s="429"/>
      <c r="L49" s="430">
        <v>903.26</v>
      </c>
      <c r="M49" s="429"/>
      <c r="N49" s="433">
        <v>40438.99</v>
      </c>
      <c r="R49" s="3"/>
      <c r="S49" s="3"/>
      <c r="AF49" s="415"/>
      <c r="AG49" s="416"/>
      <c r="AH49" s="416"/>
      <c r="AK49" s="426" t="s">
        <v>1764</v>
      </c>
    </row>
    <row r="50" spans="1:41" customFormat="1" ht="14.4" x14ac:dyDescent="0.3">
      <c r="A50" s="444"/>
      <c r="B50" s="445"/>
      <c r="C50" s="916" t="s">
        <v>1715</v>
      </c>
      <c r="D50" s="916"/>
      <c r="E50" s="916"/>
      <c r="F50" s="419"/>
      <c r="G50" s="420"/>
      <c r="H50" s="420"/>
      <c r="I50" s="420"/>
      <c r="J50" s="422"/>
      <c r="K50" s="420"/>
      <c r="L50" s="446">
        <v>4862.6400000000003</v>
      </c>
      <c r="M50" s="439"/>
      <c r="N50" s="447">
        <v>197469.67</v>
      </c>
      <c r="R50" s="3"/>
      <c r="S50" s="3"/>
      <c r="AF50" s="415"/>
      <c r="AG50" s="416"/>
      <c r="AH50" s="416"/>
      <c r="AM50" s="416" t="s">
        <v>1715</v>
      </c>
    </row>
    <row r="51" spans="1:41" customFormat="1" ht="42" x14ac:dyDescent="0.3">
      <c r="A51" s="417" t="s">
        <v>761</v>
      </c>
      <c r="B51" s="418" t="s">
        <v>1892</v>
      </c>
      <c r="C51" s="916" t="s">
        <v>1893</v>
      </c>
      <c r="D51" s="916"/>
      <c r="E51" s="916"/>
      <c r="F51" s="419" t="s">
        <v>1723</v>
      </c>
      <c r="G51" s="420">
        <v>16.850000000000001</v>
      </c>
      <c r="H51" s="421">
        <v>1</v>
      </c>
      <c r="I51" s="448">
        <v>16.850000000000001</v>
      </c>
      <c r="J51" s="449">
        <v>21.74</v>
      </c>
      <c r="K51" s="420"/>
      <c r="L51" s="449">
        <v>366.32</v>
      </c>
      <c r="M51" s="448">
        <v>13.24</v>
      </c>
      <c r="N51" s="447">
        <v>4850.08</v>
      </c>
      <c r="R51" s="3"/>
      <c r="S51" s="3"/>
      <c r="AF51" s="415"/>
      <c r="AG51" s="416"/>
      <c r="AH51" s="416" t="s">
        <v>1893</v>
      </c>
      <c r="AM51" s="416"/>
    </row>
    <row r="52" spans="1:41" customFormat="1" ht="14.4" x14ac:dyDescent="0.3">
      <c r="A52" s="444"/>
      <c r="B52" s="445"/>
      <c r="C52" s="907" t="s">
        <v>1724</v>
      </c>
      <c r="D52" s="907"/>
      <c r="E52" s="907"/>
      <c r="F52" s="907"/>
      <c r="G52" s="907"/>
      <c r="H52" s="907"/>
      <c r="I52" s="907"/>
      <c r="J52" s="907"/>
      <c r="K52" s="907"/>
      <c r="L52" s="907"/>
      <c r="M52" s="907"/>
      <c r="N52" s="919"/>
      <c r="R52" s="3"/>
      <c r="S52" s="3"/>
      <c r="AF52" s="415"/>
      <c r="AG52" s="416"/>
      <c r="AH52" s="416"/>
      <c r="AM52" s="416"/>
      <c r="AN52" s="426" t="s">
        <v>1724</v>
      </c>
    </row>
    <row r="53" spans="1:41" customFormat="1" ht="14.4" x14ac:dyDescent="0.3">
      <c r="A53" s="450"/>
      <c r="B53" s="451"/>
      <c r="C53" s="907" t="s">
        <v>1894</v>
      </c>
      <c r="D53" s="907"/>
      <c r="E53" s="907"/>
      <c r="F53" s="907"/>
      <c r="G53" s="907"/>
      <c r="H53" s="907"/>
      <c r="I53" s="907"/>
      <c r="J53" s="907"/>
      <c r="K53" s="907"/>
      <c r="L53" s="907"/>
      <c r="M53" s="907"/>
      <c r="N53" s="919"/>
      <c r="R53" s="3"/>
      <c r="S53" s="3"/>
      <c r="AF53" s="415"/>
      <c r="AG53" s="416"/>
      <c r="AH53" s="416"/>
      <c r="AI53" s="426" t="s">
        <v>1894</v>
      </c>
      <c r="AM53" s="416"/>
    </row>
    <row r="54" spans="1:41" customFormat="1" ht="14.4" x14ac:dyDescent="0.3">
      <c r="A54" s="444"/>
      <c r="B54" s="445"/>
      <c r="C54" s="916" t="s">
        <v>1715</v>
      </c>
      <c r="D54" s="916"/>
      <c r="E54" s="916"/>
      <c r="F54" s="419"/>
      <c r="G54" s="420"/>
      <c r="H54" s="420"/>
      <c r="I54" s="420"/>
      <c r="J54" s="422"/>
      <c r="K54" s="420"/>
      <c r="L54" s="449">
        <v>366.32</v>
      </c>
      <c r="M54" s="439"/>
      <c r="N54" s="447">
        <v>4850.08</v>
      </c>
      <c r="R54" s="3"/>
      <c r="S54" s="3"/>
      <c r="AF54" s="415"/>
      <c r="AG54" s="416"/>
      <c r="AH54" s="416"/>
      <c r="AM54" s="416" t="s">
        <v>1715</v>
      </c>
    </row>
    <row r="55" spans="1:41" customFormat="1" ht="21.6" x14ac:dyDescent="0.3">
      <c r="A55" s="417" t="s">
        <v>1144</v>
      </c>
      <c r="B55" s="418" t="s">
        <v>1751</v>
      </c>
      <c r="C55" s="916" t="s">
        <v>1752</v>
      </c>
      <c r="D55" s="916"/>
      <c r="E55" s="916"/>
      <c r="F55" s="419" t="s">
        <v>1723</v>
      </c>
      <c r="G55" s="420">
        <v>4.21</v>
      </c>
      <c r="H55" s="421">
        <v>1</v>
      </c>
      <c r="I55" s="448">
        <v>4.21</v>
      </c>
      <c r="J55" s="449">
        <v>42.98</v>
      </c>
      <c r="K55" s="420"/>
      <c r="L55" s="449">
        <v>180.95</v>
      </c>
      <c r="M55" s="448">
        <v>13.24</v>
      </c>
      <c r="N55" s="447">
        <v>2395.7800000000002</v>
      </c>
      <c r="R55" s="3"/>
      <c r="S55" s="3"/>
      <c r="AF55" s="415"/>
      <c r="AG55" s="416"/>
      <c r="AH55" s="416" t="s">
        <v>1752</v>
      </c>
      <c r="AM55" s="416"/>
    </row>
    <row r="56" spans="1:41" customFormat="1" ht="14.4" x14ac:dyDescent="0.3">
      <c r="A56" s="450"/>
      <c r="B56" s="451"/>
      <c r="C56" s="907" t="s">
        <v>1895</v>
      </c>
      <c r="D56" s="907"/>
      <c r="E56" s="907"/>
      <c r="F56" s="907"/>
      <c r="G56" s="907"/>
      <c r="H56" s="907"/>
      <c r="I56" s="907"/>
      <c r="J56" s="907"/>
      <c r="K56" s="907"/>
      <c r="L56" s="907"/>
      <c r="M56" s="907"/>
      <c r="N56" s="919"/>
      <c r="R56" s="3"/>
      <c r="S56" s="3"/>
      <c r="AF56" s="415"/>
      <c r="AG56" s="416"/>
      <c r="AH56" s="416"/>
      <c r="AI56" s="426" t="s">
        <v>1895</v>
      </c>
      <c r="AM56" s="416"/>
    </row>
    <row r="57" spans="1:41" customFormat="1" ht="14.4" x14ac:dyDescent="0.3">
      <c r="A57" s="444"/>
      <c r="B57" s="445"/>
      <c r="C57" s="916" t="s">
        <v>1715</v>
      </c>
      <c r="D57" s="916"/>
      <c r="E57" s="916"/>
      <c r="F57" s="419"/>
      <c r="G57" s="420"/>
      <c r="H57" s="420"/>
      <c r="I57" s="420"/>
      <c r="J57" s="422"/>
      <c r="K57" s="420"/>
      <c r="L57" s="449">
        <v>180.95</v>
      </c>
      <c r="M57" s="439"/>
      <c r="N57" s="447">
        <v>2395.7800000000002</v>
      </c>
      <c r="R57" s="3"/>
      <c r="S57" s="3"/>
      <c r="AF57" s="415"/>
      <c r="AG57" s="416"/>
      <c r="AH57" s="416"/>
      <c r="AM57" s="416" t="s">
        <v>1715</v>
      </c>
    </row>
    <row r="58" spans="1:41" customFormat="1" ht="21.6" x14ac:dyDescent="0.3">
      <c r="A58" s="417" t="s">
        <v>586</v>
      </c>
      <c r="B58" s="418" t="s">
        <v>1896</v>
      </c>
      <c r="C58" s="916" t="s">
        <v>1897</v>
      </c>
      <c r="D58" s="916"/>
      <c r="E58" s="916"/>
      <c r="F58" s="419" t="s">
        <v>1890</v>
      </c>
      <c r="G58" s="420">
        <v>15.4872</v>
      </c>
      <c r="H58" s="421">
        <v>1</v>
      </c>
      <c r="I58" s="494">
        <v>15.4872</v>
      </c>
      <c r="J58" s="422"/>
      <c r="K58" s="420"/>
      <c r="L58" s="422"/>
      <c r="M58" s="420"/>
      <c r="N58" s="423"/>
      <c r="R58" s="3"/>
      <c r="S58" s="3"/>
      <c r="AF58" s="415"/>
      <c r="AG58" s="416"/>
      <c r="AH58" s="416" t="s">
        <v>1897</v>
      </c>
      <c r="AM58" s="416"/>
    </row>
    <row r="59" spans="1:41" customFormat="1" ht="14.4" x14ac:dyDescent="0.3">
      <c r="A59" s="450"/>
      <c r="B59" s="451"/>
      <c r="C59" s="907" t="s">
        <v>1891</v>
      </c>
      <c r="D59" s="907"/>
      <c r="E59" s="907"/>
      <c r="F59" s="907"/>
      <c r="G59" s="907"/>
      <c r="H59" s="907"/>
      <c r="I59" s="907"/>
      <c r="J59" s="907"/>
      <c r="K59" s="907"/>
      <c r="L59" s="907"/>
      <c r="M59" s="907"/>
      <c r="N59" s="919"/>
      <c r="R59" s="3"/>
      <c r="S59" s="3"/>
      <c r="AF59" s="415"/>
      <c r="AG59" s="416"/>
      <c r="AH59" s="416"/>
      <c r="AI59" s="426" t="s">
        <v>1891</v>
      </c>
      <c r="AM59" s="416"/>
    </row>
    <row r="60" spans="1:41" customFormat="1" ht="20.399999999999999" x14ac:dyDescent="0.3">
      <c r="A60" s="424"/>
      <c r="B60" s="425" t="s">
        <v>1736</v>
      </c>
      <c r="C60" s="917" t="s">
        <v>1737</v>
      </c>
      <c r="D60" s="917"/>
      <c r="E60" s="917"/>
      <c r="F60" s="917"/>
      <c r="G60" s="917"/>
      <c r="H60" s="917"/>
      <c r="I60" s="917"/>
      <c r="J60" s="917"/>
      <c r="K60" s="917"/>
      <c r="L60" s="917"/>
      <c r="M60" s="917"/>
      <c r="N60" s="918"/>
      <c r="R60" s="3"/>
      <c r="S60" s="3"/>
      <c r="AF60" s="415"/>
      <c r="AG60" s="416"/>
      <c r="AH60" s="416"/>
      <c r="AM60" s="416"/>
      <c r="AO60" s="426" t="s">
        <v>1737</v>
      </c>
    </row>
    <row r="61" spans="1:41" customFormat="1" ht="14.4" x14ac:dyDescent="0.3">
      <c r="A61" s="427"/>
      <c r="B61" s="425" t="s">
        <v>758</v>
      </c>
      <c r="C61" s="907" t="s">
        <v>1705</v>
      </c>
      <c r="D61" s="907"/>
      <c r="E61" s="907"/>
      <c r="F61" s="428"/>
      <c r="G61" s="429"/>
      <c r="H61" s="429"/>
      <c r="I61" s="429"/>
      <c r="J61" s="430">
        <v>209.95</v>
      </c>
      <c r="K61" s="458">
        <v>0.8</v>
      </c>
      <c r="L61" s="432">
        <v>2601.23</v>
      </c>
      <c r="M61" s="431">
        <v>44.77</v>
      </c>
      <c r="N61" s="433">
        <v>116457.07</v>
      </c>
      <c r="R61" s="3"/>
      <c r="S61" s="3"/>
      <c r="AF61" s="415"/>
      <c r="AG61" s="416"/>
      <c r="AH61" s="416"/>
      <c r="AJ61" s="426" t="s">
        <v>1705</v>
      </c>
      <c r="AM61" s="416"/>
    </row>
    <row r="62" spans="1:41" customFormat="1" ht="14.4" x14ac:dyDescent="0.3">
      <c r="A62" s="427"/>
      <c r="B62" s="425" t="s">
        <v>761</v>
      </c>
      <c r="C62" s="907" t="s">
        <v>1718</v>
      </c>
      <c r="D62" s="907"/>
      <c r="E62" s="907"/>
      <c r="F62" s="428"/>
      <c r="G62" s="429"/>
      <c r="H62" s="429"/>
      <c r="I62" s="429"/>
      <c r="J62" s="430">
        <v>189.93</v>
      </c>
      <c r="K62" s="458">
        <v>0.8</v>
      </c>
      <c r="L62" s="432">
        <v>2353.19</v>
      </c>
      <c r="M62" s="431">
        <v>13.24</v>
      </c>
      <c r="N62" s="433">
        <v>31156.240000000002</v>
      </c>
      <c r="R62" s="3"/>
      <c r="S62" s="3"/>
      <c r="AF62" s="415"/>
      <c r="AG62" s="416"/>
      <c r="AH62" s="416"/>
      <c r="AJ62" s="426" t="s">
        <v>1718</v>
      </c>
      <c r="AM62" s="416"/>
    </row>
    <row r="63" spans="1:41" customFormat="1" ht="14.4" x14ac:dyDescent="0.3">
      <c r="A63" s="427"/>
      <c r="B63" s="425" t="s">
        <v>1144</v>
      </c>
      <c r="C63" s="907" t="s">
        <v>1719</v>
      </c>
      <c r="D63" s="907"/>
      <c r="E63" s="907"/>
      <c r="F63" s="428"/>
      <c r="G63" s="429"/>
      <c r="H63" s="429"/>
      <c r="I63" s="429"/>
      <c r="J63" s="430">
        <v>21.86</v>
      </c>
      <c r="K63" s="458">
        <v>0.8</v>
      </c>
      <c r="L63" s="430">
        <v>270.83999999999997</v>
      </c>
      <c r="M63" s="431">
        <v>44.77</v>
      </c>
      <c r="N63" s="433">
        <v>12125.51</v>
      </c>
      <c r="R63" s="3"/>
      <c r="S63" s="3"/>
      <c r="AF63" s="415"/>
      <c r="AG63" s="416"/>
      <c r="AH63" s="416"/>
      <c r="AJ63" s="426" t="s">
        <v>1719</v>
      </c>
      <c r="AM63" s="416"/>
    </row>
    <row r="64" spans="1:41" customFormat="1" ht="14.4" x14ac:dyDescent="0.3">
      <c r="A64" s="427"/>
      <c r="B64" s="425" t="s">
        <v>586</v>
      </c>
      <c r="C64" s="907" t="s">
        <v>1738</v>
      </c>
      <c r="D64" s="907"/>
      <c r="E64" s="907"/>
      <c r="F64" s="428"/>
      <c r="G64" s="429"/>
      <c r="H64" s="429"/>
      <c r="I64" s="429"/>
      <c r="J64" s="430">
        <v>36.67</v>
      </c>
      <c r="K64" s="443">
        <v>0</v>
      </c>
      <c r="L64" s="430">
        <v>0</v>
      </c>
      <c r="M64" s="431">
        <v>8.16</v>
      </c>
      <c r="N64" s="437"/>
      <c r="R64" s="3"/>
      <c r="S64" s="3"/>
      <c r="AF64" s="415"/>
      <c r="AG64" s="416"/>
      <c r="AH64" s="416"/>
      <c r="AJ64" s="426" t="s">
        <v>1738</v>
      </c>
      <c r="AM64" s="416"/>
    </row>
    <row r="65" spans="1:41" customFormat="1" ht="14.4" x14ac:dyDescent="0.3">
      <c r="A65" s="434"/>
      <c r="B65" s="425"/>
      <c r="C65" s="907" t="s">
        <v>1706</v>
      </c>
      <c r="D65" s="907"/>
      <c r="E65" s="907"/>
      <c r="F65" s="428" t="s">
        <v>1707</v>
      </c>
      <c r="G65" s="458">
        <v>24.3</v>
      </c>
      <c r="H65" s="458">
        <v>0.8</v>
      </c>
      <c r="I65" s="457">
        <v>301.071168</v>
      </c>
      <c r="J65" s="436"/>
      <c r="K65" s="429"/>
      <c r="L65" s="436"/>
      <c r="M65" s="429"/>
      <c r="N65" s="437"/>
      <c r="R65" s="3"/>
      <c r="S65" s="3"/>
      <c r="AF65" s="415"/>
      <c r="AG65" s="416"/>
      <c r="AH65" s="416"/>
      <c r="AK65" s="426" t="s">
        <v>1706</v>
      </c>
      <c r="AM65" s="416"/>
    </row>
    <row r="66" spans="1:41" customFormat="1" ht="14.4" x14ac:dyDescent="0.3">
      <c r="A66" s="434"/>
      <c r="B66" s="425"/>
      <c r="C66" s="907" t="s">
        <v>1720</v>
      </c>
      <c r="D66" s="907"/>
      <c r="E66" s="907"/>
      <c r="F66" s="428" t="s">
        <v>1707</v>
      </c>
      <c r="G66" s="431">
        <v>1.94</v>
      </c>
      <c r="H66" s="458">
        <v>0.8</v>
      </c>
      <c r="I66" s="454">
        <v>24.036134400000002</v>
      </c>
      <c r="J66" s="436"/>
      <c r="K66" s="429"/>
      <c r="L66" s="436"/>
      <c r="M66" s="429"/>
      <c r="N66" s="437"/>
      <c r="R66" s="3"/>
      <c r="S66" s="3"/>
      <c r="AF66" s="415"/>
      <c r="AG66" s="416"/>
      <c r="AH66" s="416"/>
      <c r="AK66" s="426" t="s">
        <v>1720</v>
      </c>
      <c r="AM66" s="416"/>
    </row>
    <row r="67" spans="1:41" customFormat="1" ht="14.4" x14ac:dyDescent="0.3">
      <c r="A67" s="427"/>
      <c r="B67" s="425"/>
      <c r="C67" s="908" t="s">
        <v>1708</v>
      </c>
      <c r="D67" s="908"/>
      <c r="E67" s="908"/>
      <c r="F67" s="438"/>
      <c r="G67" s="439"/>
      <c r="H67" s="439"/>
      <c r="I67" s="439"/>
      <c r="J67" s="440">
        <v>436.55</v>
      </c>
      <c r="K67" s="439"/>
      <c r="L67" s="441">
        <v>4954.42</v>
      </c>
      <c r="M67" s="439"/>
      <c r="N67" s="442">
        <v>147613.31</v>
      </c>
      <c r="R67" s="3"/>
      <c r="S67" s="3"/>
      <c r="AF67" s="415"/>
      <c r="AG67" s="416"/>
      <c r="AH67" s="416"/>
      <c r="AL67" s="426" t="s">
        <v>1708</v>
      </c>
      <c r="AM67" s="416"/>
    </row>
    <row r="68" spans="1:41" customFormat="1" ht="14.4" x14ac:dyDescent="0.3">
      <c r="A68" s="434"/>
      <c r="B68" s="425"/>
      <c r="C68" s="907" t="s">
        <v>1709</v>
      </c>
      <c r="D68" s="907"/>
      <c r="E68" s="907"/>
      <c r="F68" s="428"/>
      <c r="G68" s="429"/>
      <c r="H68" s="429"/>
      <c r="I68" s="429"/>
      <c r="J68" s="436"/>
      <c r="K68" s="429"/>
      <c r="L68" s="432">
        <v>2872.07</v>
      </c>
      <c r="M68" s="429"/>
      <c r="N68" s="433">
        <v>128582.58</v>
      </c>
      <c r="R68" s="3"/>
      <c r="S68" s="3"/>
      <c r="AF68" s="415"/>
      <c r="AG68" s="416"/>
      <c r="AH68" s="416"/>
      <c r="AK68" s="426" t="s">
        <v>1709</v>
      </c>
      <c r="AM68" s="416"/>
    </row>
    <row r="69" spans="1:41" customFormat="1" ht="20.399999999999999" x14ac:dyDescent="0.3">
      <c r="A69" s="434"/>
      <c r="B69" s="425" t="s">
        <v>1898</v>
      </c>
      <c r="C69" s="907" t="s">
        <v>1899</v>
      </c>
      <c r="D69" s="907"/>
      <c r="E69" s="907"/>
      <c r="F69" s="428" t="s">
        <v>1712</v>
      </c>
      <c r="G69" s="443">
        <v>109</v>
      </c>
      <c r="H69" s="429"/>
      <c r="I69" s="443">
        <v>109</v>
      </c>
      <c r="J69" s="436"/>
      <c r="K69" s="429"/>
      <c r="L69" s="432">
        <v>3130.56</v>
      </c>
      <c r="M69" s="429"/>
      <c r="N69" s="433">
        <v>140155.01</v>
      </c>
      <c r="R69" s="3"/>
      <c r="S69" s="3"/>
      <c r="AF69" s="415"/>
      <c r="AG69" s="416"/>
      <c r="AH69" s="416"/>
      <c r="AK69" s="426" t="s">
        <v>1899</v>
      </c>
      <c r="AM69" s="416"/>
    </row>
    <row r="70" spans="1:41" customFormat="1" ht="20.399999999999999" x14ac:dyDescent="0.3">
      <c r="A70" s="434"/>
      <c r="B70" s="425" t="s">
        <v>1900</v>
      </c>
      <c r="C70" s="907" t="s">
        <v>1901</v>
      </c>
      <c r="D70" s="907"/>
      <c r="E70" s="907"/>
      <c r="F70" s="428" t="s">
        <v>1712</v>
      </c>
      <c r="G70" s="443">
        <v>57</v>
      </c>
      <c r="H70" s="429"/>
      <c r="I70" s="443">
        <v>57</v>
      </c>
      <c r="J70" s="436"/>
      <c r="K70" s="429"/>
      <c r="L70" s="432">
        <v>1637.08</v>
      </c>
      <c r="M70" s="429"/>
      <c r="N70" s="433">
        <v>73292.070000000007</v>
      </c>
      <c r="R70" s="3"/>
      <c r="S70" s="3"/>
      <c r="AF70" s="415"/>
      <c r="AG70" s="416"/>
      <c r="AH70" s="416"/>
      <c r="AK70" s="426" t="s">
        <v>1901</v>
      </c>
      <c r="AM70" s="416"/>
    </row>
    <row r="71" spans="1:41" customFormat="1" ht="14.4" x14ac:dyDescent="0.3">
      <c r="A71" s="444"/>
      <c r="B71" s="445"/>
      <c r="C71" s="916" t="s">
        <v>1715</v>
      </c>
      <c r="D71" s="916"/>
      <c r="E71" s="916"/>
      <c r="F71" s="419"/>
      <c r="G71" s="420"/>
      <c r="H71" s="420"/>
      <c r="I71" s="420"/>
      <c r="J71" s="422"/>
      <c r="K71" s="420"/>
      <c r="L71" s="446">
        <v>9722.06</v>
      </c>
      <c r="M71" s="439"/>
      <c r="N71" s="447">
        <v>361060.39</v>
      </c>
      <c r="R71" s="3"/>
      <c r="S71" s="3"/>
      <c r="AF71" s="415"/>
      <c r="AG71" s="416"/>
      <c r="AH71" s="416"/>
      <c r="AM71" s="416" t="s">
        <v>1715</v>
      </c>
    </row>
    <row r="72" spans="1:41" customFormat="1" ht="31.8" x14ac:dyDescent="0.3">
      <c r="A72" s="417" t="s">
        <v>770</v>
      </c>
      <c r="B72" s="418" t="s">
        <v>1902</v>
      </c>
      <c r="C72" s="916" t="s">
        <v>1903</v>
      </c>
      <c r="D72" s="916"/>
      <c r="E72" s="916"/>
      <c r="F72" s="419" t="s">
        <v>1890</v>
      </c>
      <c r="G72" s="420">
        <v>15.4872</v>
      </c>
      <c r="H72" s="421">
        <v>1</v>
      </c>
      <c r="I72" s="494">
        <v>15.4872</v>
      </c>
      <c r="J72" s="422"/>
      <c r="K72" s="420"/>
      <c r="L72" s="422"/>
      <c r="M72" s="420"/>
      <c r="N72" s="423"/>
      <c r="R72" s="3"/>
      <c r="S72" s="3"/>
      <c r="AF72" s="415"/>
      <c r="AG72" s="416"/>
      <c r="AH72" s="416" t="s">
        <v>1903</v>
      </c>
      <c r="AM72" s="416"/>
    </row>
    <row r="73" spans="1:41" customFormat="1" ht="14.4" x14ac:dyDescent="0.3">
      <c r="A73" s="450"/>
      <c r="B73" s="451"/>
      <c r="C73" s="907" t="s">
        <v>1891</v>
      </c>
      <c r="D73" s="907"/>
      <c r="E73" s="907"/>
      <c r="F73" s="907"/>
      <c r="G73" s="907"/>
      <c r="H73" s="907"/>
      <c r="I73" s="907"/>
      <c r="J73" s="907"/>
      <c r="K73" s="907"/>
      <c r="L73" s="907"/>
      <c r="M73" s="907"/>
      <c r="N73" s="919"/>
      <c r="R73" s="3"/>
      <c r="S73" s="3"/>
      <c r="AF73" s="415"/>
      <c r="AG73" s="416"/>
      <c r="AH73" s="416"/>
      <c r="AI73" s="426" t="s">
        <v>1891</v>
      </c>
      <c r="AM73" s="416"/>
    </row>
    <row r="74" spans="1:41" customFormat="1" ht="20.399999999999999" x14ac:dyDescent="0.3">
      <c r="A74" s="424"/>
      <c r="B74" s="425" t="s">
        <v>1736</v>
      </c>
      <c r="C74" s="917" t="s">
        <v>1737</v>
      </c>
      <c r="D74" s="917"/>
      <c r="E74" s="917"/>
      <c r="F74" s="917"/>
      <c r="G74" s="917"/>
      <c r="H74" s="917"/>
      <c r="I74" s="917"/>
      <c r="J74" s="917"/>
      <c r="K74" s="917"/>
      <c r="L74" s="917"/>
      <c r="M74" s="917"/>
      <c r="N74" s="918"/>
      <c r="R74" s="3"/>
      <c r="S74" s="3"/>
      <c r="AF74" s="415"/>
      <c r="AG74" s="416"/>
      <c r="AH74" s="416"/>
      <c r="AM74" s="416"/>
      <c r="AO74" s="426" t="s">
        <v>1737</v>
      </c>
    </row>
    <row r="75" spans="1:41" customFormat="1" ht="14.4" x14ac:dyDescent="0.3">
      <c r="A75" s="424"/>
      <c r="B75" s="425"/>
      <c r="C75" s="917" t="s">
        <v>1904</v>
      </c>
      <c r="D75" s="917"/>
      <c r="E75" s="917"/>
      <c r="F75" s="917"/>
      <c r="G75" s="917"/>
      <c r="H75" s="917"/>
      <c r="I75" s="917"/>
      <c r="J75" s="917"/>
      <c r="K75" s="917"/>
      <c r="L75" s="917"/>
      <c r="M75" s="917"/>
      <c r="N75" s="918"/>
      <c r="R75" s="3"/>
      <c r="S75" s="3"/>
      <c r="AF75" s="415"/>
      <c r="AG75" s="416"/>
      <c r="AH75" s="416"/>
      <c r="AM75" s="416"/>
      <c r="AO75" s="426" t="s">
        <v>1904</v>
      </c>
    </row>
    <row r="76" spans="1:41" customFormat="1" ht="14.4" x14ac:dyDescent="0.3">
      <c r="A76" s="427"/>
      <c r="B76" s="425" t="s">
        <v>758</v>
      </c>
      <c r="C76" s="907" t="s">
        <v>1705</v>
      </c>
      <c r="D76" s="907"/>
      <c r="E76" s="907"/>
      <c r="F76" s="428"/>
      <c r="G76" s="429"/>
      <c r="H76" s="429"/>
      <c r="I76" s="429"/>
      <c r="J76" s="430">
        <v>8.64</v>
      </c>
      <c r="K76" s="443">
        <v>28</v>
      </c>
      <c r="L76" s="432">
        <v>3746.66</v>
      </c>
      <c r="M76" s="431">
        <v>44.77</v>
      </c>
      <c r="N76" s="433">
        <v>167737.97</v>
      </c>
      <c r="R76" s="3"/>
      <c r="S76" s="3"/>
      <c r="AF76" s="415"/>
      <c r="AG76" s="416"/>
      <c r="AH76" s="416"/>
      <c r="AJ76" s="426" t="s">
        <v>1705</v>
      </c>
      <c r="AM76" s="416"/>
    </row>
    <row r="77" spans="1:41" customFormat="1" ht="14.4" x14ac:dyDescent="0.3">
      <c r="A77" s="427"/>
      <c r="B77" s="425" t="s">
        <v>761</v>
      </c>
      <c r="C77" s="907" t="s">
        <v>1718</v>
      </c>
      <c r="D77" s="907"/>
      <c r="E77" s="907"/>
      <c r="F77" s="428"/>
      <c r="G77" s="429"/>
      <c r="H77" s="429"/>
      <c r="I77" s="429"/>
      <c r="J77" s="430">
        <v>2.66</v>
      </c>
      <c r="K77" s="443">
        <v>28</v>
      </c>
      <c r="L77" s="432">
        <v>1153.49</v>
      </c>
      <c r="M77" s="431">
        <v>13.24</v>
      </c>
      <c r="N77" s="433">
        <v>15272.21</v>
      </c>
      <c r="R77" s="3"/>
      <c r="S77" s="3"/>
      <c r="AF77" s="415"/>
      <c r="AG77" s="416"/>
      <c r="AH77" s="416"/>
      <c r="AJ77" s="426" t="s">
        <v>1718</v>
      </c>
      <c r="AM77" s="416"/>
    </row>
    <row r="78" spans="1:41" customFormat="1" ht="14.4" x14ac:dyDescent="0.3">
      <c r="A78" s="427"/>
      <c r="B78" s="425" t="s">
        <v>1144</v>
      </c>
      <c r="C78" s="907" t="s">
        <v>1719</v>
      </c>
      <c r="D78" s="907"/>
      <c r="E78" s="907"/>
      <c r="F78" s="428"/>
      <c r="G78" s="429"/>
      <c r="H78" s="429"/>
      <c r="I78" s="429"/>
      <c r="J78" s="430">
        <v>0.34</v>
      </c>
      <c r="K78" s="443">
        <v>28</v>
      </c>
      <c r="L78" s="430">
        <v>147.44</v>
      </c>
      <c r="M78" s="431">
        <v>44.77</v>
      </c>
      <c r="N78" s="433">
        <v>6600.89</v>
      </c>
      <c r="R78" s="3"/>
      <c r="S78" s="3"/>
      <c r="AF78" s="415"/>
      <c r="AG78" s="416"/>
      <c r="AH78" s="416"/>
      <c r="AJ78" s="426" t="s">
        <v>1719</v>
      </c>
      <c r="AM78" s="416"/>
    </row>
    <row r="79" spans="1:41" customFormat="1" ht="14.4" x14ac:dyDescent="0.3">
      <c r="A79" s="434"/>
      <c r="B79" s="425"/>
      <c r="C79" s="907" t="s">
        <v>1706</v>
      </c>
      <c r="D79" s="907"/>
      <c r="E79" s="907"/>
      <c r="F79" s="428" t="s">
        <v>1707</v>
      </c>
      <c r="G79" s="443">
        <v>1</v>
      </c>
      <c r="H79" s="443">
        <v>28</v>
      </c>
      <c r="I79" s="453">
        <v>433.64159999999998</v>
      </c>
      <c r="J79" s="436"/>
      <c r="K79" s="429"/>
      <c r="L79" s="436"/>
      <c r="M79" s="429"/>
      <c r="N79" s="437"/>
      <c r="R79" s="3"/>
      <c r="S79" s="3"/>
      <c r="AF79" s="415"/>
      <c r="AG79" s="416"/>
      <c r="AH79" s="416"/>
      <c r="AK79" s="426" t="s">
        <v>1706</v>
      </c>
      <c r="AM79" s="416"/>
    </row>
    <row r="80" spans="1:41" customFormat="1" ht="14.4" x14ac:dyDescent="0.3">
      <c r="A80" s="434"/>
      <c r="B80" s="425"/>
      <c r="C80" s="907" t="s">
        <v>1720</v>
      </c>
      <c r="D80" s="907"/>
      <c r="E80" s="907"/>
      <c r="F80" s="428" t="s">
        <v>1707</v>
      </c>
      <c r="G80" s="431">
        <v>0.03</v>
      </c>
      <c r="H80" s="443">
        <v>28</v>
      </c>
      <c r="I80" s="457">
        <v>13.009247999999999</v>
      </c>
      <c r="J80" s="436"/>
      <c r="K80" s="429"/>
      <c r="L80" s="436"/>
      <c r="M80" s="429"/>
      <c r="N80" s="437"/>
      <c r="R80" s="3"/>
      <c r="S80" s="3"/>
      <c r="AF80" s="415"/>
      <c r="AG80" s="416"/>
      <c r="AH80" s="416"/>
      <c r="AK80" s="426" t="s">
        <v>1720</v>
      </c>
      <c r="AM80" s="416"/>
    </row>
    <row r="81" spans="1:41" customFormat="1" ht="14.4" x14ac:dyDescent="0.3">
      <c r="A81" s="427"/>
      <c r="B81" s="425"/>
      <c r="C81" s="908" t="s">
        <v>1708</v>
      </c>
      <c r="D81" s="908"/>
      <c r="E81" s="908"/>
      <c r="F81" s="438"/>
      <c r="G81" s="439"/>
      <c r="H81" s="439"/>
      <c r="I81" s="439"/>
      <c r="J81" s="440">
        <v>11.3</v>
      </c>
      <c r="K81" s="439"/>
      <c r="L81" s="441">
        <v>4900.1499999999996</v>
      </c>
      <c r="M81" s="439"/>
      <c r="N81" s="442">
        <v>183010.18</v>
      </c>
      <c r="R81" s="3"/>
      <c r="S81" s="3"/>
      <c r="AF81" s="415"/>
      <c r="AG81" s="416"/>
      <c r="AH81" s="416"/>
      <c r="AL81" s="426" t="s">
        <v>1708</v>
      </c>
      <c r="AM81" s="416"/>
    </row>
    <row r="82" spans="1:41" customFormat="1" ht="14.4" x14ac:dyDescent="0.3">
      <c r="A82" s="434"/>
      <c r="B82" s="425"/>
      <c r="C82" s="907" t="s">
        <v>1709</v>
      </c>
      <c r="D82" s="907"/>
      <c r="E82" s="907"/>
      <c r="F82" s="428"/>
      <c r="G82" s="429"/>
      <c r="H82" s="429"/>
      <c r="I82" s="429"/>
      <c r="J82" s="436"/>
      <c r="K82" s="429"/>
      <c r="L82" s="432">
        <v>3894.1</v>
      </c>
      <c r="M82" s="429"/>
      <c r="N82" s="433">
        <v>174338.86</v>
      </c>
      <c r="R82" s="3"/>
      <c r="S82" s="3"/>
      <c r="AF82" s="415"/>
      <c r="AG82" s="416"/>
      <c r="AH82" s="416"/>
      <c r="AK82" s="426" t="s">
        <v>1709</v>
      </c>
      <c r="AM82" s="416"/>
    </row>
    <row r="83" spans="1:41" customFormat="1" ht="20.399999999999999" x14ac:dyDescent="0.3">
      <c r="A83" s="434"/>
      <c r="B83" s="425" t="s">
        <v>1898</v>
      </c>
      <c r="C83" s="907" t="s">
        <v>1899</v>
      </c>
      <c r="D83" s="907"/>
      <c r="E83" s="907"/>
      <c r="F83" s="428" t="s">
        <v>1712</v>
      </c>
      <c r="G83" s="443">
        <v>109</v>
      </c>
      <c r="H83" s="429"/>
      <c r="I83" s="443">
        <v>109</v>
      </c>
      <c r="J83" s="436"/>
      <c r="K83" s="429"/>
      <c r="L83" s="432">
        <v>4244.57</v>
      </c>
      <c r="M83" s="429"/>
      <c r="N83" s="433">
        <v>190029.36</v>
      </c>
      <c r="R83" s="3"/>
      <c r="S83" s="3"/>
      <c r="AF83" s="415"/>
      <c r="AG83" s="416"/>
      <c r="AH83" s="416"/>
      <c r="AK83" s="426" t="s">
        <v>1899</v>
      </c>
      <c r="AM83" s="416"/>
    </row>
    <row r="84" spans="1:41" customFormat="1" ht="20.399999999999999" x14ac:dyDescent="0.3">
      <c r="A84" s="434"/>
      <c r="B84" s="425" t="s">
        <v>1900</v>
      </c>
      <c r="C84" s="907" t="s">
        <v>1901</v>
      </c>
      <c r="D84" s="907"/>
      <c r="E84" s="907"/>
      <c r="F84" s="428" t="s">
        <v>1712</v>
      </c>
      <c r="G84" s="443">
        <v>57</v>
      </c>
      <c r="H84" s="429"/>
      <c r="I84" s="443">
        <v>57</v>
      </c>
      <c r="J84" s="436"/>
      <c r="K84" s="429"/>
      <c r="L84" s="432">
        <v>2219.64</v>
      </c>
      <c r="M84" s="429"/>
      <c r="N84" s="433">
        <v>99373.15</v>
      </c>
      <c r="R84" s="3"/>
      <c r="S84" s="3"/>
      <c r="AF84" s="415"/>
      <c r="AG84" s="416"/>
      <c r="AH84" s="416"/>
      <c r="AK84" s="426" t="s">
        <v>1901</v>
      </c>
      <c r="AM84" s="416"/>
    </row>
    <row r="85" spans="1:41" customFormat="1" ht="14.4" x14ac:dyDescent="0.3">
      <c r="A85" s="444"/>
      <c r="B85" s="445"/>
      <c r="C85" s="916" t="s">
        <v>1715</v>
      </c>
      <c r="D85" s="916"/>
      <c r="E85" s="916"/>
      <c r="F85" s="419"/>
      <c r="G85" s="420"/>
      <c r="H85" s="420"/>
      <c r="I85" s="420"/>
      <c r="J85" s="422"/>
      <c r="K85" s="420"/>
      <c r="L85" s="446">
        <v>11364.36</v>
      </c>
      <c r="M85" s="439"/>
      <c r="N85" s="447">
        <v>472412.69</v>
      </c>
      <c r="R85" s="3"/>
      <c r="S85" s="3"/>
      <c r="AF85" s="415"/>
      <c r="AG85" s="416"/>
      <c r="AH85" s="416"/>
      <c r="AM85" s="416" t="s">
        <v>1715</v>
      </c>
    </row>
    <row r="86" spans="1:41" customFormat="1" ht="42" x14ac:dyDescent="0.3">
      <c r="A86" s="417" t="s">
        <v>777</v>
      </c>
      <c r="B86" s="418" t="s">
        <v>1747</v>
      </c>
      <c r="C86" s="916" t="s">
        <v>1748</v>
      </c>
      <c r="D86" s="916"/>
      <c r="E86" s="916"/>
      <c r="F86" s="419" t="s">
        <v>1723</v>
      </c>
      <c r="G86" s="420">
        <v>111.5</v>
      </c>
      <c r="H86" s="421">
        <v>1</v>
      </c>
      <c r="I86" s="456">
        <v>111.5</v>
      </c>
      <c r="J86" s="449">
        <v>3.28</v>
      </c>
      <c r="K86" s="420"/>
      <c r="L86" s="449">
        <v>365.72</v>
      </c>
      <c r="M86" s="448">
        <v>13.24</v>
      </c>
      <c r="N86" s="447">
        <v>4842.13</v>
      </c>
      <c r="R86" s="3"/>
      <c r="S86" s="3"/>
      <c r="AF86" s="415"/>
      <c r="AG86" s="416"/>
      <c r="AH86" s="416" t="s">
        <v>1748</v>
      </c>
      <c r="AM86" s="416"/>
    </row>
    <row r="87" spans="1:41" customFormat="1" ht="14.4" x14ac:dyDescent="0.3">
      <c r="A87" s="450"/>
      <c r="B87" s="451"/>
      <c r="C87" s="907" t="s">
        <v>1905</v>
      </c>
      <c r="D87" s="907"/>
      <c r="E87" s="907"/>
      <c r="F87" s="907"/>
      <c r="G87" s="907"/>
      <c r="H87" s="907"/>
      <c r="I87" s="907"/>
      <c r="J87" s="907"/>
      <c r="K87" s="907"/>
      <c r="L87" s="907"/>
      <c r="M87" s="907"/>
      <c r="N87" s="919"/>
      <c r="R87" s="3"/>
      <c r="S87" s="3"/>
      <c r="AF87" s="415"/>
      <c r="AG87" s="416"/>
      <c r="AH87" s="416"/>
      <c r="AI87" s="426" t="s">
        <v>1905</v>
      </c>
      <c r="AM87" s="416"/>
    </row>
    <row r="88" spans="1:41" customFormat="1" ht="14.4" x14ac:dyDescent="0.3">
      <c r="A88" s="444"/>
      <c r="B88" s="445"/>
      <c r="C88" s="916" t="s">
        <v>1715</v>
      </c>
      <c r="D88" s="916"/>
      <c r="E88" s="916"/>
      <c r="F88" s="419"/>
      <c r="G88" s="420"/>
      <c r="H88" s="420"/>
      <c r="I88" s="420"/>
      <c r="J88" s="422"/>
      <c r="K88" s="420"/>
      <c r="L88" s="449">
        <v>365.72</v>
      </c>
      <c r="M88" s="439"/>
      <c r="N88" s="447">
        <v>4842.13</v>
      </c>
      <c r="R88" s="3"/>
      <c r="S88" s="3"/>
      <c r="AF88" s="415"/>
      <c r="AG88" s="416"/>
      <c r="AH88" s="416"/>
      <c r="AM88" s="416" t="s">
        <v>1715</v>
      </c>
    </row>
    <row r="89" spans="1:41" customFormat="1" ht="21.6" x14ac:dyDescent="0.3">
      <c r="A89" s="417" t="s">
        <v>609</v>
      </c>
      <c r="B89" s="418" t="s">
        <v>1751</v>
      </c>
      <c r="C89" s="916" t="s">
        <v>1752</v>
      </c>
      <c r="D89" s="916"/>
      <c r="E89" s="916"/>
      <c r="F89" s="419" t="s">
        <v>1723</v>
      </c>
      <c r="G89" s="420">
        <v>27.88</v>
      </c>
      <c r="H89" s="421">
        <v>1</v>
      </c>
      <c r="I89" s="448">
        <v>27.88</v>
      </c>
      <c r="J89" s="449">
        <v>42.98</v>
      </c>
      <c r="K89" s="420"/>
      <c r="L89" s="446">
        <v>1198.28</v>
      </c>
      <c r="M89" s="448">
        <v>13.24</v>
      </c>
      <c r="N89" s="447">
        <v>15865.23</v>
      </c>
      <c r="R89" s="3"/>
      <c r="S89" s="3"/>
      <c r="AF89" s="415"/>
      <c r="AG89" s="416"/>
      <c r="AH89" s="416" t="s">
        <v>1752</v>
      </c>
      <c r="AM89" s="416"/>
    </row>
    <row r="90" spans="1:41" customFormat="1" ht="14.4" x14ac:dyDescent="0.3">
      <c r="A90" s="450"/>
      <c r="B90" s="451"/>
      <c r="C90" s="907" t="s">
        <v>1906</v>
      </c>
      <c r="D90" s="907"/>
      <c r="E90" s="907"/>
      <c r="F90" s="907"/>
      <c r="G90" s="907"/>
      <c r="H90" s="907"/>
      <c r="I90" s="907"/>
      <c r="J90" s="907"/>
      <c r="K90" s="907"/>
      <c r="L90" s="907"/>
      <c r="M90" s="907"/>
      <c r="N90" s="919"/>
      <c r="R90" s="3"/>
      <c r="S90" s="3"/>
      <c r="AF90" s="415"/>
      <c r="AG90" s="416"/>
      <c r="AH90" s="416"/>
      <c r="AI90" s="426" t="s">
        <v>1906</v>
      </c>
      <c r="AM90" s="416"/>
    </row>
    <row r="91" spans="1:41" customFormat="1" ht="14.4" x14ac:dyDescent="0.3">
      <c r="A91" s="444"/>
      <c r="B91" s="445"/>
      <c r="C91" s="916" t="s">
        <v>1715</v>
      </c>
      <c r="D91" s="916"/>
      <c r="E91" s="916"/>
      <c r="F91" s="419"/>
      <c r="G91" s="420"/>
      <c r="H91" s="420"/>
      <c r="I91" s="420"/>
      <c r="J91" s="422"/>
      <c r="K91" s="420"/>
      <c r="L91" s="446">
        <v>1198.28</v>
      </c>
      <c r="M91" s="439"/>
      <c r="N91" s="447">
        <v>15865.23</v>
      </c>
      <c r="R91" s="3"/>
      <c r="S91" s="3"/>
      <c r="AF91" s="415"/>
      <c r="AG91" s="416"/>
      <c r="AH91" s="416"/>
      <c r="AM91" s="416" t="s">
        <v>1715</v>
      </c>
    </row>
    <row r="92" spans="1:41" customFormat="1" ht="14.4" x14ac:dyDescent="0.3">
      <c r="A92" s="417" t="s">
        <v>1750</v>
      </c>
      <c r="B92" s="418" t="s">
        <v>1907</v>
      </c>
      <c r="C92" s="916" t="s">
        <v>1908</v>
      </c>
      <c r="D92" s="916"/>
      <c r="E92" s="916"/>
      <c r="F92" s="419" t="s">
        <v>193</v>
      </c>
      <c r="G92" s="420">
        <v>154.87</v>
      </c>
      <c r="H92" s="421">
        <v>1</v>
      </c>
      <c r="I92" s="448">
        <v>154.87</v>
      </c>
      <c r="J92" s="422"/>
      <c r="K92" s="420"/>
      <c r="L92" s="422"/>
      <c r="M92" s="420"/>
      <c r="N92" s="423"/>
      <c r="R92" s="3"/>
      <c r="S92" s="3"/>
      <c r="AF92" s="415"/>
      <c r="AG92" s="416"/>
      <c r="AH92" s="416" t="s">
        <v>1908</v>
      </c>
      <c r="AM92" s="416"/>
    </row>
    <row r="93" spans="1:41" customFormat="1" ht="20.399999999999999" x14ac:dyDescent="0.3">
      <c r="A93" s="424"/>
      <c r="B93" s="425" t="s">
        <v>1736</v>
      </c>
      <c r="C93" s="917" t="s">
        <v>1737</v>
      </c>
      <c r="D93" s="917"/>
      <c r="E93" s="917"/>
      <c r="F93" s="917"/>
      <c r="G93" s="917"/>
      <c r="H93" s="917"/>
      <c r="I93" s="917"/>
      <c r="J93" s="917"/>
      <c r="K93" s="917"/>
      <c r="L93" s="917"/>
      <c r="M93" s="917"/>
      <c r="N93" s="918"/>
      <c r="R93" s="3"/>
      <c r="S93" s="3"/>
      <c r="AF93" s="415"/>
      <c r="AG93" s="416"/>
      <c r="AH93" s="416"/>
      <c r="AM93" s="416"/>
      <c r="AO93" s="426" t="s">
        <v>1737</v>
      </c>
    </row>
    <row r="94" spans="1:41" customFormat="1" ht="14.4" x14ac:dyDescent="0.3">
      <c r="A94" s="427"/>
      <c r="B94" s="425" t="s">
        <v>758</v>
      </c>
      <c r="C94" s="907" t="s">
        <v>1705</v>
      </c>
      <c r="D94" s="907"/>
      <c r="E94" s="907"/>
      <c r="F94" s="428"/>
      <c r="G94" s="429"/>
      <c r="H94" s="429"/>
      <c r="I94" s="429"/>
      <c r="J94" s="430">
        <v>21.14</v>
      </c>
      <c r="K94" s="458">
        <v>0.8</v>
      </c>
      <c r="L94" s="432">
        <v>2619.16</v>
      </c>
      <c r="M94" s="431">
        <v>44.77</v>
      </c>
      <c r="N94" s="433">
        <v>117259.79</v>
      </c>
      <c r="R94" s="3"/>
      <c r="S94" s="3"/>
      <c r="AF94" s="415"/>
      <c r="AG94" s="416"/>
      <c r="AH94" s="416"/>
      <c r="AJ94" s="426" t="s">
        <v>1705</v>
      </c>
      <c r="AM94" s="416"/>
    </row>
    <row r="95" spans="1:41" customFormat="1" ht="14.4" x14ac:dyDescent="0.3">
      <c r="A95" s="427"/>
      <c r="B95" s="425" t="s">
        <v>761</v>
      </c>
      <c r="C95" s="907" t="s">
        <v>1718</v>
      </c>
      <c r="D95" s="907"/>
      <c r="E95" s="907"/>
      <c r="F95" s="428"/>
      <c r="G95" s="429"/>
      <c r="H95" s="429"/>
      <c r="I95" s="429"/>
      <c r="J95" s="430">
        <v>30.17</v>
      </c>
      <c r="K95" s="458">
        <v>0.8</v>
      </c>
      <c r="L95" s="432">
        <v>3737.94</v>
      </c>
      <c r="M95" s="431">
        <v>13.24</v>
      </c>
      <c r="N95" s="433">
        <v>49490.33</v>
      </c>
      <c r="R95" s="3"/>
      <c r="S95" s="3"/>
      <c r="AF95" s="415"/>
      <c r="AG95" s="416"/>
      <c r="AH95" s="416"/>
      <c r="AJ95" s="426" t="s">
        <v>1718</v>
      </c>
      <c r="AM95" s="416"/>
    </row>
    <row r="96" spans="1:41" customFormat="1" ht="14.4" x14ac:dyDescent="0.3">
      <c r="A96" s="427"/>
      <c r="B96" s="425" t="s">
        <v>1144</v>
      </c>
      <c r="C96" s="907" t="s">
        <v>1719</v>
      </c>
      <c r="D96" s="907"/>
      <c r="E96" s="907"/>
      <c r="F96" s="428"/>
      <c r="G96" s="429"/>
      <c r="H96" s="429"/>
      <c r="I96" s="429"/>
      <c r="J96" s="430">
        <v>3.83</v>
      </c>
      <c r="K96" s="458">
        <v>0.8</v>
      </c>
      <c r="L96" s="430">
        <v>474.52</v>
      </c>
      <c r="M96" s="431">
        <v>44.77</v>
      </c>
      <c r="N96" s="433">
        <v>21244.26</v>
      </c>
      <c r="R96" s="3"/>
      <c r="S96" s="3"/>
      <c r="AF96" s="415"/>
      <c r="AG96" s="416"/>
      <c r="AH96" s="416"/>
      <c r="AJ96" s="426" t="s">
        <v>1719</v>
      </c>
      <c r="AM96" s="416"/>
    </row>
    <row r="97" spans="1:42" customFormat="1" ht="14.4" x14ac:dyDescent="0.3">
      <c r="A97" s="434"/>
      <c r="B97" s="425"/>
      <c r="C97" s="907" t="s">
        <v>1706</v>
      </c>
      <c r="D97" s="907"/>
      <c r="E97" s="907"/>
      <c r="F97" s="428" t="s">
        <v>1707</v>
      </c>
      <c r="G97" s="431">
        <v>2.71</v>
      </c>
      <c r="H97" s="458">
        <v>0.8</v>
      </c>
      <c r="I97" s="459">
        <v>335.75815999999998</v>
      </c>
      <c r="J97" s="436"/>
      <c r="K97" s="429"/>
      <c r="L97" s="436"/>
      <c r="M97" s="429"/>
      <c r="N97" s="437"/>
      <c r="R97" s="3"/>
      <c r="S97" s="3"/>
      <c r="AF97" s="415"/>
      <c r="AG97" s="416"/>
      <c r="AH97" s="416"/>
      <c r="AK97" s="426" t="s">
        <v>1706</v>
      </c>
      <c r="AM97" s="416"/>
    </row>
    <row r="98" spans="1:42" customFormat="1" ht="14.4" x14ac:dyDescent="0.3">
      <c r="A98" s="434"/>
      <c r="B98" s="425"/>
      <c r="C98" s="907" t="s">
        <v>1720</v>
      </c>
      <c r="D98" s="907"/>
      <c r="E98" s="907"/>
      <c r="F98" s="428" t="s">
        <v>1707</v>
      </c>
      <c r="G98" s="431">
        <v>0.34</v>
      </c>
      <c r="H98" s="458">
        <v>0.8</v>
      </c>
      <c r="I98" s="459">
        <v>42.124639999999999</v>
      </c>
      <c r="J98" s="436"/>
      <c r="K98" s="429"/>
      <c r="L98" s="436"/>
      <c r="M98" s="429"/>
      <c r="N98" s="437"/>
      <c r="R98" s="3"/>
      <c r="S98" s="3"/>
      <c r="AF98" s="415"/>
      <c r="AG98" s="416"/>
      <c r="AH98" s="416"/>
      <c r="AK98" s="426" t="s">
        <v>1720</v>
      </c>
      <c r="AM98" s="416"/>
    </row>
    <row r="99" spans="1:42" customFormat="1" ht="14.4" x14ac:dyDescent="0.3">
      <c r="A99" s="427"/>
      <c r="B99" s="425"/>
      <c r="C99" s="908" t="s">
        <v>1708</v>
      </c>
      <c r="D99" s="908"/>
      <c r="E99" s="908"/>
      <c r="F99" s="438"/>
      <c r="G99" s="439"/>
      <c r="H99" s="439"/>
      <c r="I99" s="439"/>
      <c r="J99" s="440">
        <v>51.31</v>
      </c>
      <c r="K99" s="439"/>
      <c r="L99" s="441">
        <v>6357.1</v>
      </c>
      <c r="M99" s="439"/>
      <c r="N99" s="442">
        <v>166750.12</v>
      </c>
      <c r="R99" s="3"/>
      <c r="S99" s="3"/>
      <c r="AF99" s="415"/>
      <c r="AG99" s="416"/>
      <c r="AH99" s="416"/>
      <c r="AL99" s="426" t="s">
        <v>1708</v>
      </c>
      <c r="AM99" s="416"/>
    </row>
    <row r="100" spans="1:42" customFormat="1" ht="14.4" x14ac:dyDescent="0.3">
      <c r="A100" s="434"/>
      <c r="B100" s="425"/>
      <c r="C100" s="907" t="s">
        <v>1709</v>
      </c>
      <c r="D100" s="907"/>
      <c r="E100" s="907"/>
      <c r="F100" s="428"/>
      <c r="G100" s="429"/>
      <c r="H100" s="429"/>
      <c r="I100" s="429"/>
      <c r="J100" s="436"/>
      <c r="K100" s="429"/>
      <c r="L100" s="432">
        <v>3093.68</v>
      </c>
      <c r="M100" s="429"/>
      <c r="N100" s="433">
        <v>138504.04999999999</v>
      </c>
      <c r="R100" s="3"/>
      <c r="S100" s="3"/>
      <c r="AF100" s="415"/>
      <c r="AG100" s="416"/>
      <c r="AH100" s="416"/>
      <c r="AK100" s="426" t="s">
        <v>1709</v>
      </c>
      <c r="AM100" s="416"/>
    </row>
    <row r="101" spans="1:42" customFormat="1" ht="20.399999999999999" x14ac:dyDescent="0.3">
      <c r="A101" s="434"/>
      <c r="B101" s="425" t="s">
        <v>1898</v>
      </c>
      <c r="C101" s="907" t="s">
        <v>1899</v>
      </c>
      <c r="D101" s="907"/>
      <c r="E101" s="907"/>
      <c r="F101" s="428" t="s">
        <v>1712</v>
      </c>
      <c r="G101" s="443">
        <v>109</v>
      </c>
      <c r="H101" s="429"/>
      <c r="I101" s="443">
        <v>109</v>
      </c>
      <c r="J101" s="436"/>
      <c r="K101" s="429"/>
      <c r="L101" s="432">
        <v>3372.11</v>
      </c>
      <c r="M101" s="429"/>
      <c r="N101" s="433">
        <v>150969.41</v>
      </c>
      <c r="R101" s="3"/>
      <c r="S101" s="3"/>
      <c r="AF101" s="415"/>
      <c r="AG101" s="416"/>
      <c r="AH101" s="416"/>
      <c r="AK101" s="426" t="s">
        <v>1899</v>
      </c>
      <c r="AM101" s="416"/>
    </row>
    <row r="102" spans="1:42" customFormat="1" ht="20.399999999999999" x14ac:dyDescent="0.3">
      <c r="A102" s="434"/>
      <c r="B102" s="425" t="s">
        <v>1900</v>
      </c>
      <c r="C102" s="907" t="s">
        <v>1901</v>
      </c>
      <c r="D102" s="907"/>
      <c r="E102" s="907"/>
      <c r="F102" s="428" t="s">
        <v>1712</v>
      </c>
      <c r="G102" s="443">
        <v>57</v>
      </c>
      <c r="H102" s="429"/>
      <c r="I102" s="443">
        <v>57</v>
      </c>
      <c r="J102" s="436"/>
      <c r="K102" s="429"/>
      <c r="L102" s="432">
        <v>1763.4</v>
      </c>
      <c r="M102" s="429"/>
      <c r="N102" s="433">
        <v>78947.31</v>
      </c>
      <c r="R102" s="3"/>
      <c r="S102" s="3"/>
      <c r="AF102" s="415"/>
      <c r="AG102" s="416"/>
      <c r="AH102" s="416"/>
      <c r="AK102" s="426" t="s">
        <v>1901</v>
      </c>
      <c r="AM102" s="416"/>
    </row>
    <row r="103" spans="1:42" customFormat="1" ht="14.4" x14ac:dyDescent="0.3">
      <c r="A103" s="444"/>
      <c r="B103" s="445"/>
      <c r="C103" s="916" t="s">
        <v>1715</v>
      </c>
      <c r="D103" s="916"/>
      <c r="E103" s="916"/>
      <c r="F103" s="419"/>
      <c r="G103" s="420"/>
      <c r="H103" s="420"/>
      <c r="I103" s="420"/>
      <c r="J103" s="422"/>
      <c r="K103" s="420"/>
      <c r="L103" s="446">
        <v>11492.61</v>
      </c>
      <c r="M103" s="439"/>
      <c r="N103" s="447">
        <v>396666.84</v>
      </c>
      <c r="R103" s="3"/>
      <c r="S103" s="3"/>
      <c r="AF103" s="415"/>
      <c r="AG103" s="416"/>
      <c r="AH103" s="416"/>
      <c r="AM103" s="416" t="s">
        <v>1715</v>
      </c>
    </row>
    <row r="104" spans="1:42" customFormat="1" ht="42" x14ac:dyDescent="0.3">
      <c r="A104" s="417" t="s">
        <v>1754</v>
      </c>
      <c r="B104" s="418" t="s">
        <v>1909</v>
      </c>
      <c r="C104" s="916" t="s">
        <v>1910</v>
      </c>
      <c r="D104" s="916"/>
      <c r="E104" s="916"/>
      <c r="F104" s="419" t="s">
        <v>1723</v>
      </c>
      <c r="G104" s="420">
        <v>61.95</v>
      </c>
      <c r="H104" s="421">
        <v>1</v>
      </c>
      <c r="I104" s="448">
        <v>61.95</v>
      </c>
      <c r="J104" s="449">
        <v>6.43</v>
      </c>
      <c r="K104" s="420"/>
      <c r="L104" s="449">
        <v>398.34</v>
      </c>
      <c r="M104" s="448">
        <v>13.24</v>
      </c>
      <c r="N104" s="447">
        <v>5274.02</v>
      </c>
      <c r="R104" s="3"/>
      <c r="S104" s="3"/>
      <c r="AF104" s="415"/>
      <c r="AG104" s="416"/>
      <c r="AH104" s="416" t="s">
        <v>1910</v>
      </c>
      <c r="AM104" s="416"/>
    </row>
    <row r="105" spans="1:42" customFormat="1" ht="14.4" x14ac:dyDescent="0.3">
      <c r="A105" s="444"/>
      <c r="B105" s="445"/>
      <c r="C105" s="907" t="s">
        <v>1911</v>
      </c>
      <c r="D105" s="907"/>
      <c r="E105" s="907"/>
      <c r="F105" s="907"/>
      <c r="G105" s="907"/>
      <c r="H105" s="907"/>
      <c r="I105" s="907"/>
      <c r="J105" s="907"/>
      <c r="K105" s="907"/>
      <c r="L105" s="907"/>
      <c r="M105" s="907"/>
      <c r="N105" s="919"/>
      <c r="R105" s="3"/>
      <c r="S105" s="3"/>
      <c r="AF105" s="415"/>
      <c r="AG105" s="416"/>
      <c r="AH105" s="416"/>
      <c r="AM105" s="416"/>
      <c r="AN105" s="426" t="s">
        <v>1911</v>
      </c>
    </row>
    <row r="106" spans="1:42" customFormat="1" ht="14.4" x14ac:dyDescent="0.3">
      <c r="A106" s="444"/>
      <c r="B106" s="445"/>
      <c r="C106" s="916" t="s">
        <v>1715</v>
      </c>
      <c r="D106" s="916"/>
      <c r="E106" s="916"/>
      <c r="F106" s="419"/>
      <c r="G106" s="420"/>
      <c r="H106" s="420"/>
      <c r="I106" s="420"/>
      <c r="J106" s="422"/>
      <c r="K106" s="420"/>
      <c r="L106" s="449">
        <v>398.34</v>
      </c>
      <c r="M106" s="439"/>
      <c r="N106" s="447">
        <v>5274.02</v>
      </c>
      <c r="R106" s="3"/>
      <c r="S106" s="3"/>
      <c r="AF106" s="415"/>
      <c r="AG106" s="416"/>
      <c r="AH106" s="416"/>
      <c r="AM106" s="416" t="s">
        <v>1715</v>
      </c>
    </row>
    <row r="107" spans="1:42" customFormat="1" ht="21.6" x14ac:dyDescent="0.3">
      <c r="A107" s="417" t="s">
        <v>600</v>
      </c>
      <c r="B107" s="418" t="s">
        <v>1726</v>
      </c>
      <c r="C107" s="916" t="s">
        <v>1727</v>
      </c>
      <c r="D107" s="916"/>
      <c r="E107" s="916"/>
      <c r="F107" s="419" t="s">
        <v>193</v>
      </c>
      <c r="G107" s="420">
        <v>294.26</v>
      </c>
      <c r="H107" s="421">
        <v>1</v>
      </c>
      <c r="I107" s="448">
        <v>294.26</v>
      </c>
      <c r="J107" s="449">
        <v>162.38</v>
      </c>
      <c r="K107" s="420"/>
      <c r="L107" s="446">
        <v>47781.94</v>
      </c>
      <c r="M107" s="448">
        <v>8.16</v>
      </c>
      <c r="N107" s="447">
        <v>389900.63</v>
      </c>
      <c r="R107" s="3"/>
      <c r="S107" s="3"/>
      <c r="AF107" s="415"/>
      <c r="AG107" s="416"/>
      <c r="AH107" s="416" t="s">
        <v>1727</v>
      </c>
      <c r="AM107" s="416"/>
    </row>
    <row r="108" spans="1:42" customFormat="1" ht="14.4" x14ac:dyDescent="0.3">
      <c r="A108" s="444"/>
      <c r="B108" s="445"/>
      <c r="C108" s="907" t="s">
        <v>1728</v>
      </c>
      <c r="D108" s="907"/>
      <c r="E108" s="907"/>
      <c r="F108" s="907"/>
      <c r="G108" s="907"/>
      <c r="H108" s="907"/>
      <c r="I108" s="907"/>
      <c r="J108" s="907"/>
      <c r="K108" s="907"/>
      <c r="L108" s="907"/>
      <c r="M108" s="907"/>
      <c r="N108" s="919"/>
      <c r="R108" s="3"/>
      <c r="S108" s="3"/>
      <c r="AF108" s="415"/>
      <c r="AG108" s="416"/>
      <c r="AH108" s="416"/>
      <c r="AM108" s="416"/>
      <c r="AN108" s="426" t="s">
        <v>1728</v>
      </c>
    </row>
    <row r="109" spans="1:42" customFormat="1" ht="14.4" x14ac:dyDescent="0.3">
      <c r="A109" s="450"/>
      <c r="B109" s="451"/>
      <c r="C109" s="907" t="s">
        <v>1912</v>
      </c>
      <c r="D109" s="907"/>
      <c r="E109" s="907"/>
      <c r="F109" s="907"/>
      <c r="G109" s="907"/>
      <c r="H109" s="907"/>
      <c r="I109" s="907"/>
      <c r="J109" s="907"/>
      <c r="K109" s="907"/>
      <c r="L109" s="907"/>
      <c r="M109" s="907"/>
      <c r="N109" s="919"/>
      <c r="R109" s="3"/>
      <c r="S109" s="3"/>
      <c r="AF109" s="415"/>
      <c r="AG109" s="416"/>
      <c r="AH109" s="416"/>
      <c r="AI109" s="426" t="s">
        <v>1912</v>
      </c>
      <c r="AM109" s="416"/>
    </row>
    <row r="110" spans="1:42" customFormat="1" ht="14.4" x14ac:dyDescent="0.3">
      <c r="A110" s="450"/>
      <c r="B110" s="451"/>
      <c r="C110" s="907" t="s">
        <v>1730</v>
      </c>
      <c r="D110" s="907"/>
      <c r="E110" s="907"/>
      <c r="F110" s="907"/>
      <c r="G110" s="907"/>
      <c r="H110" s="907"/>
      <c r="I110" s="907"/>
      <c r="J110" s="907"/>
      <c r="K110" s="907"/>
      <c r="L110" s="907"/>
      <c r="M110" s="907"/>
      <c r="N110" s="919"/>
      <c r="R110" s="3"/>
      <c r="S110" s="3"/>
      <c r="AF110" s="415"/>
      <c r="AG110" s="416"/>
      <c r="AH110" s="416"/>
      <c r="AM110" s="416"/>
      <c r="AP110" s="426" t="s">
        <v>1730</v>
      </c>
    </row>
    <row r="111" spans="1:42" customFormat="1" ht="14.4" x14ac:dyDescent="0.3">
      <c r="A111" s="444"/>
      <c r="B111" s="445"/>
      <c r="C111" s="916" t="s">
        <v>1715</v>
      </c>
      <c r="D111" s="916"/>
      <c r="E111" s="916"/>
      <c r="F111" s="419"/>
      <c r="G111" s="420"/>
      <c r="H111" s="420"/>
      <c r="I111" s="420"/>
      <c r="J111" s="422"/>
      <c r="K111" s="420"/>
      <c r="L111" s="446">
        <v>47781.94</v>
      </c>
      <c r="M111" s="439"/>
      <c r="N111" s="447">
        <v>389900.63</v>
      </c>
      <c r="R111" s="3"/>
      <c r="S111" s="3"/>
      <c r="AF111" s="415"/>
      <c r="AG111" s="416"/>
      <c r="AH111" s="416"/>
      <c r="AM111" s="416" t="s">
        <v>1715</v>
      </c>
    </row>
    <row r="112" spans="1:42" customFormat="1" ht="14.4" x14ac:dyDescent="0.3">
      <c r="A112" s="913" t="s">
        <v>1913</v>
      </c>
      <c r="B112" s="914"/>
      <c r="C112" s="914"/>
      <c r="D112" s="914"/>
      <c r="E112" s="914"/>
      <c r="F112" s="914"/>
      <c r="G112" s="914"/>
      <c r="H112" s="914"/>
      <c r="I112" s="914"/>
      <c r="J112" s="914"/>
      <c r="K112" s="914"/>
      <c r="L112" s="914"/>
      <c r="M112" s="914"/>
      <c r="N112" s="915"/>
      <c r="R112" s="3"/>
      <c r="S112" s="3"/>
      <c r="AF112" s="415"/>
      <c r="AG112" s="416" t="s">
        <v>1913</v>
      </c>
      <c r="AH112" s="416"/>
      <c r="AM112" s="416"/>
    </row>
    <row r="113" spans="1:41" customFormat="1" ht="21.6" x14ac:dyDescent="0.3">
      <c r="A113" s="417" t="s">
        <v>1765</v>
      </c>
      <c r="B113" s="418" t="s">
        <v>1914</v>
      </c>
      <c r="C113" s="916" t="s">
        <v>1915</v>
      </c>
      <c r="D113" s="916"/>
      <c r="E113" s="916"/>
      <c r="F113" s="419" t="s">
        <v>1916</v>
      </c>
      <c r="G113" s="420">
        <v>1.68</v>
      </c>
      <c r="H113" s="421">
        <v>1</v>
      </c>
      <c r="I113" s="448">
        <v>1.68</v>
      </c>
      <c r="J113" s="422"/>
      <c r="K113" s="420"/>
      <c r="L113" s="422"/>
      <c r="M113" s="420"/>
      <c r="N113" s="423"/>
      <c r="R113" s="3"/>
      <c r="S113" s="3"/>
      <c r="AF113" s="415"/>
      <c r="AG113" s="416"/>
      <c r="AH113" s="416" t="s">
        <v>1915</v>
      </c>
      <c r="AM113" s="416"/>
    </row>
    <row r="114" spans="1:41" customFormat="1" ht="14.4" x14ac:dyDescent="0.3">
      <c r="A114" s="450"/>
      <c r="B114" s="451"/>
      <c r="C114" s="907" t="s">
        <v>1917</v>
      </c>
      <c r="D114" s="907"/>
      <c r="E114" s="907"/>
      <c r="F114" s="907"/>
      <c r="G114" s="907"/>
      <c r="H114" s="907"/>
      <c r="I114" s="907"/>
      <c r="J114" s="907"/>
      <c r="K114" s="907"/>
      <c r="L114" s="907"/>
      <c r="M114" s="907"/>
      <c r="N114" s="919"/>
      <c r="R114" s="3"/>
      <c r="S114" s="3"/>
      <c r="AF114" s="415"/>
      <c r="AG114" s="416"/>
      <c r="AH114" s="416"/>
      <c r="AI114" s="426" t="s">
        <v>1917</v>
      </c>
      <c r="AM114" s="416"/>
    </row>
    <row r="115" spans="1:41" customFormat="1" ht="20.399999999999999" x14ac:dyDescent="0.3">
      <c r="A115" s="424"/>
      <c r="B115" s="425" t="s">
        <v>1736</v>
      </c>
      <c r="C115" s="917" t="s">
        <v>1737</v>
      </c>
      <c r="D115" s="917"/>
      <c r="E115" s="917"/>
      <c r="F115" s="917"/>
      <c r="G115" s="917"/>
      <c r="H115" s="917"/>
      <c r="I115" s="917"/>
      <c r="J115" s="917"/>
      <c r="K115" s="917"/>
      <c r="L115" s="917"/>
      <c r="M115" s="917"/>
      <c r="N115" s="918"/>
      <c r="R115" s="3"/>
      <c r="S115" s="3"/>
      <c r="AF115" s="415"/>
      <c r="AG115" s="416"/>
      <c r="AH115" s="416"/>
      <c r="AM115" s="416"/>
      <c r="AO115" s="426" t="s">
        <v>1737</v>
      </c>
    </row>
    <row r="116" spans="1:41" customFormat="1" ht="52.2" x14ac:dyDescent="0.3">
      <c r="A116" s="424"/>
      <c r="B116" s="425" t="s">
        <v>1703</v>
      </c>
      <c r="C116" s="917" t="s">
        <v>1704</v>
      </c>
      <c r="D116" s="917"/>
      <c r="E116" s="917"/>
      <c r="F116" s="917"/>
      <c r="G116" s="917"/>
      <c r="H116" s="917"/>
      <c r="I116" s="917"/>
      <c r="J116" s="917"/>
      <c r="K116" s="917"/>
      <c r="L116" s="917"/>
      <c r="M116" s="917"/>
      <c r="N116" s="918"/>
      <c r="R116" s="3"/>
      <c r="S116" s="3"/>
      <c r="AF116" s="415"/>
      <c r="AG116" s="416"/>
      <c r="AH116" s="416"/>
      <c r="AM116" s="416"/>
      <c r="AO116" s="426" t="s">
        <v>1704</v>
      </c>
    </row>
    <row r="117" spans="1:41" customFormat="1" ht="14.4" x14ac:dyDescent="0.3">
      <c r="A117" s="427"/>
      <c r="B117" s="425" t="s">
        <v>758</v>
      </c>
      <c r="C117" s="907" t="s">
        <v>1705</v>
      </c>
      <c r="D117" s="907"/>
      <c r="E117" s="907"/>
      <c r="F117" s="428"/>
      <c r="G117" s="429"/>
      <c r="H117" s="429"/>
      <c r="I117" s="429"/>
      <c r="J117" s="432">
        <v>1124.68</v>
      </c>
      <c r="K117" s="431">
        <v>0.92</v>
      </c>
      <c r="L117" s="432">
        <v>1738.31</v>
      </c>
      <c r="M117" s="431">
        <v>44.77</v>
      </c>
      <c r="N117" s="433">
        <v>77824.14</v>
      </c>
      <c r="R117" s="3"/>
      <c r="S117" s="3"/>
      <c r="AF117" s="415"/>
      <c r="AG117" s="416"/>
      <c r="AH117" s="416"/>
      <c r="AJ117" s="426" t="s">
        <v>1705</v>
      </c>
      <c r="AM117" s="416"/>
    </row>
    <row r="118" spans="1:41" customFormat="1" ht="14.4" x14ac:dyDescent="0.3">
      <c r="A118" s="427"/>
      <c r="B118" s="425" t="s">
        <v>761</v>
      </c>
      <c r="C118" s="907" t="s">
        <v>1718</v>
      </c>
      <c r="D118" s="907"/>
      <c r="E118" s="907"/>
      <c r="F118" s="428"/>
      <c r="G118" s="429"/>
      <c r="H118" s="429"/>
      <c r="I118" s="429"/>
      <c r="J118" s="432">
        <v>2095.8000000000002</v>
      </c>
      <c r="K118" s="431">
        <v>0.92</v>
      </c>
      <c r="L118" s="432">
        <v>3239.27</v>
      </c>
      <c r="M118" s="431">
        <v>13.24</v>
      </c>
      <c r="N118" s="433">
        <v>42887.93</v>
      </c>
      <c r="R118" s="3"/>
      <c r="S118" s="3"/>
      <c r="AF118" s="415"/>
      <c r="AG118" s="416"/>
      <c r="AH118" s="416"/>
      <c r="AJ118" s="426" t="s">
        <v>1718</v>
      </c>
      <c r="AM118" s="416"/>
    </row>
    <row r="119" spans="1:41" customFormat="1" ht="14.4" x14ac:dyDescent="0.3">
      <c r="A119" s="427"/>
      <c r="B119" s="425" t="s">
        <v>1144</v>
      </c>
      <c r="C119" s="907" t="s">
        <v>1719</v>
      </c>
      <c r="D119" s="907"/>
      <c r="E119" s="907"/>
      <c r="F119" s="428"/>
      <c r="G119" s="429"/>
      <c r="H119" s="429"/>
      <c r="I119" s="429"/>
      <c r="J119" s="430">
        <v>321.13</v>
      </c>
      <c r="K119" s="431">
        <v>0.92</v>
      </c>
      <c r="L119" s="430">
        <v>496.34</v>
      </c>
      <c r="M119" s="431">
        <v>44.77</v>
      </c>
      <c r="N119" s="433">
        <v>22221.14</v>
      </c>
      <c r="R119" s="3"/>
      <c r="S119" s="3"/>
      <c r="AF119" s="415"/>
      <c r="AG119" s="416"/>
      <c r="AH119" s="416"/>
      <c r="AJ119" s="426" t="s">
        <v>1719</v>
      </c>
      <c r="AM119" s="416"/>
    </row>
    <row r="120" spans="1:41" customFormat="1" ht="14.4" x14ac:dyDescent="0.3">
      <c r="A120" s="427"/>
      <c r="B120" s="425" t="s">
        <v>586</v>
      </c>
      <c r="C120" s="907" t="s">
        <v>1738</v>
      </c>
      <c r="D120" s="907"/>
      <c r="E120" s="907"/>
      <c r="F120" s="428"/>
      <c r="G120" s="429"/>
      <c r="H120" s="429"/>
      <c r="I120" s="429"/>
      <c r="J120" s="430">
        <v>446.59</v>
      </c>
      <c r="K120" s="443">
        <v>0</v>
      </c>
      <c r="L120" s="430">
        <v>0</v>
      </c>
      <c r="M120" s="431">
        <v>8.16</v>
      </c>
      <c r="N120" s="437"/>
      <c r="R120" s="3"/>
      <c r="S120" s="3"/>
      <c r="AF120" s="415"/>
      <c r="AG120" s="416"/>
      <c r="AH120" s="416"/>
      <c r="AJ120" s="426" t="s">
        <v>1738</v>
      </c>
      <c r="AM120" s="416"/>
    </row>
    <row r="121" spans="1:41" customFormat="1" ht="14.4" x14ac:dyDescent="0.3">
      <c r="A121" s="434"/>
      <c r="B121" s="425"/>
      <c r="C121" s="907" t="s">
        <v>1706</v>
      </c>
      <c r="D121" s="907"/>
      <c r="E121" s="907"/>
      <c r="F121" s="428" t="s">
        <v>1707</v>
      </c>
      <c r="G121" s="443">
        <v>124</v>
      </c>
      <c r="H121" s="431">
        <v>0.92</v>
      </c>
      <c r="I121" s="453">
        <v>191.65440000000001</v>
      </c>
      <c r="J121" s="436"/>
      <c r="K121" s="429"/>
      <c r="L121" s="436"/>
      <c r="M121" s="429"/>
      <c r="N121" s="437"/>
      <c r="R121" s="3"/>
      <c r="S121" s="3"/>
      <c r="AF121" s="415"/>
      <c r="AG121" s="416"/>
      <c r="AH121" s="416"/>
      <c r="AK121" s="426" t="s">
        <v>1706</v>
      </c>
      <c r="AM121" s="416"/>
    </row>
    <row r="122" spans="1:41" customFormat="1" ht="14.4" x14ac:dyDescent="0.3">
      <c r="A122" s="434"/>
      <c r="B122" s="425"/>
      <c r="C122" s="907" t="s">
        <v>1720</v>
      </c>
      <c r="D122" s="907"/>
      <c r="E122" s="907"/>
      <c r="F122" s="428" t="s">
        <v>1707</v>
      </c>
      <c r="G122" s="458">
        <v>23.9</v>
      </c>
      <c r="H122" s="431">
        <v>0.92</v>
      </c>
      <c r="I122" s="459">
        <v>36.939839999999997</v>
      </c>
      <c r="J122" s="436"/>
      <c r="K122" s="429"/>
      <c r="L122" s="436"/>
      <c r="M122" s="429"/>
      <c r="N122" s="437"/>
      <c r="R122" s="3"/>
      <c r="S122" s="3"/>
      <c r="AF122" s="415"/>
      <c r="AG122" s="416"/>
      <c r="AH122" s="416"/>
      <c r="AK122" s="426" t="s">
        <v>1720</v>
      </c>
      <c r="AM122" s="416"/>
    </row>
    <row r="123" spans="1:41" customFormat="1" ht="14.4" x14ac:dyDescent="0.3">
      <c r="A123" s="427"/>
      <c r="B123" s="425"/>
      <c r="C123" s="908" t="s">
        <v>1708</v>
      </c>
      <c r="D123" s="908"/>
      <c r="E123" s="908"/>
      <c r="F123" s="438"/>
      <c r="G123" s="439"/>
      <c r="H123" s="439"/>
      <c r="I123" s="439"/>
      <c r="J123" s="441">
        <v>3667.07</v>
      </c>
      <c r="K123" s="439"/>
      <c r="L123" s="441">
        <v>4977.58</v>
      </c>
      <c r="M123" s="439"/>
      <c r="N123" s="442">
        <v>120712.07</v>
      </c>
      <c r="R123" s="3"/>
      <c r="S123" s="3"/>
      <c r="AF123" s="415"/>
      <c r="AG123" s="416"/>
      <c r="AH123" s="416"/>
      <c r="AL123" s="426" t="s">
        <v>1708</v>
      </c>
      <c r="AM123" s="416"/>
    </row>
    <row r="124" spans="1:41" customFormat="1" ht="14.4" x14ac:dyDescent="0.3">
      <c r="A124" s="434"/>
      <c r="B124" s="425"/>
      <c r="C124" s="907" t="s">
        <v>1709</v>
      </c>
      <c r="D124" s="907"/>
      <c r="E124" s="907"/>
      <c r="F124" s="428"/>
      <c r="G124" s="429"/>
      <c r="H124" s="429"/>
      <c r="I124" s="429"/>
      <c r="J124" s="436"/>
      <c r="K124" s="429"/>
      <c r="L124" s="432">
        <v>2234.65</v>
      </c>
      <c r="M124" s="429"/>
      <c r="N124" s="433">
        <v>100045.28</v>
      </c>
      <c r="R124" s="3"/>
      <c r="S124" s="3"/>
      <c r="AF124" s="415"/>
      <c r="AG124" s="416"/>
      <c r="AH124" s="416"/>
      <c r="AK124" s="426" t="s">
        <v>1709</v>
      </c>
      <c r="AM124" s="416"/>
    </row>
    <row r="125" spans="1:41" customFormat="1" ht="31.8" x14ac:dyDescent="0.3">
      <c r="A125" s="434"/>
      <c r="B125" s="425" t="s">
        <v>1918</v>
      </c>
      <c r="C125" s="907" t="s">
        <v>1919</v>
      </c>
      <c r="D125" s="907"/>
      <c r="E125" s="907"/>
      <c r="F125" s="428" t="s">
        <v>1712</v>
      </c>
      <c r="G125" s="443">
        <v>116</v>
      </c>
      <c r="H125" s="429"/>
      <c r="I125" s="443">
        <v>116</v>
      </c>
      <c r="J125" s="436"/>
      <c r="K125" s="429"/>
      <c r="L125" s="432">
        <v>2592.19</v>
      </c>
      <c r="M125" s="429"/>
      <c r="N125" s="433">
        <v>116052.52</v>
      </c>
      <c r="R125" s="3"/>
      <c r="S125" s="3"/>
      <c r="AF125" s="415"/>
      <c r="AG125" s="416"/>
      <c r="AH125" s="416"/>
      <c r="AK125" s="426" t="s">
        <v>1919</v>
      </c>
      <c r="AM125" s="416"/>
    </row>
    <row r="126" spans="1:41" customFormat="1" ht="31.8" x14ac:dyDescent="0.3">
      <c r="A126" s="434"/>
      <c r="B126" s="425" t="s">
        <v>1920</v>
      </c>
      <c r="C126" s="907" t="s">
        <v>1921</v>
      </c>
      <c r="D126" s="907"/>
      <c r="E126" s="907"/>
      <c r="F126" s="428" t="s">
        <v>1712</v>
      </c>
      <c r="G126" s="443">
        <v>80</v>
      </c>
      <c r="H126" s="429"/>
      <c r="I126" s="443">
        <v>80</v>
      </c>
      <c r="J126" s="436"/>
      <c r="K126" s="429"/>
      <c r="L126" s="432">
        <v>1787.72</v>
      </c>
      <c r="M126" s="429"/>
      <c r="N126" s="433">
        <v>80036.22</v>
      </c>
      <c r="R126" s="3"/>
      <c r="S126" s="3"/>
      <c r="AF126" s="415"/>
      <c r="AG126" s="416"/>
      <c r="AH126" s="416"/>
      <c r="AK126" s="426" t="s">
        <v>1921</v>
      </c>
      <c r="AM126" s="416"/>
    </row>
    <row r="127" spans="1:41" customFormat="1" ht="14.4" x14ac:dyDescent="0.3">
      <c r="A127" s="444"/>
      <c r="B127" s="445"/>
      <c r="C127" s="916" t="s">
        <v>1715</v>
      </c>
      <c r="D127" s="916"/>
      <c r="E127" s="916"/>
      <c r="F127" s="419"/>
      <c r="G127" s="420"/>
      <c r="H127" s="420"/>
      <c r="I127" s="420"/>
      <c r="J127" s="422"/>
      <c r="K127" s="420"/>
      <c r="L127" s="446">
        <v>9357.49</v>
      </c>
      <c r="M127" s="439"/>
      <c r="N127" s="447">
        <v>316800.81</v>
      </c>
      <c r="R127" s="3"/>
      <c r="S127" s="3"/>
      <c r="AF127" s="415"/>
      <c r="AG127" s="416"/>
      <c r="AH127" s="416"/>
      <c r="AM127" s="416" t="s">
        <v>1715</v>
      </c>
    </row>
    <row r="128" spans="1:41" customFormat="1" ht="31.8" x14ac:dyDescent="0.3">
      <c r="A128" s="417" t="s">
        <v>792</v>
      </c>
      <c r="B128" s="418" t="s">
        <v>1743</v>
      </c>
      <c r="C128" s="916" t="s">
        <v>1744</v>
      </c>
      <c r="D128" s="916"/>
      <c r="E128" s="916"/>
      <c r="F128" s="419" t="s">
        <v>1723</v>
      </c>
      <c r="G128" s="420">
        <v>252</v>
      </c>
      <c r="H128" s="421">
        <v>1</v>
      </c>
      <c r="I128" s="421">
        <v>252</v>
      </c>
      <c r="J128" s="449">
        <v>10.71</v>
      </c>
      <c r="K128" s="420"/>
      <c r="L128" s="446">
        <v>2698.92</v>
      </c>
      <c r="M128" s="448">
        <v>13.24</v>
      </c>
      <c r="N128" s="447">
        <v>35733.699999999997</v>
      </c>
      <c r="R128" s="3"/>
      <c r="S128" s="3"/>
      <c r="AF128" s="415"/>
      <c r="AG128" s="416"/>
      <c r="AH128" s="416" t="s">
        <v>1744</v>
      </c>
      <c r="AM128" s="416"/>
    </row>
    <row r="129" spans="1:41" customFormat="1" ht="14.4" x14ac:dyDescent="0.3">
      <c r="A129" s="444"/>
      <c r="B129" s="445"/>
      <c r="C129" s="907" t="s">
        <v>1724</v>
      </c>
      <c r="D129" s="907"/>
      <c r="E129" s="907"/>
      <c r="F129" s="907"/>
      <c r="G129" s="907"/>
      <c r="H129" s="907"/>
      <c r="I129" s="907"/>
      <c r="J129" s="907"/>
      <c r="K129" s="907"/>
      <c r="L129" s="907"/>
      <c r="M129" s="907"/>
      <c r="N129" s="919"/>
      <c r="R129" s="3"/>
      <c r="S129" s="3"/>
      <c r="AF129" s="415"/>
      <c r="AG129" s="416"/>
      <c r="AH129" s="416"/>
      <c r="AM129" s="416"/>
      <c r="AN129" s="426" t="s">
        <v>1724</v>
      </c>
    </row>
    <row r="130" spans="1:41" customFormat="1" ht="14.4" x14ac:dyDescent="0.3">
      <c r="A130" s="450"/>
      <c r="B130" s="451"/>
      <c r="C130" s="907" t="s">
        <v>1922</v>
      </c>
      <c r="D130" s="907"/>
      <c r="E130" s="907"/>
      <c r="F130" s="907"/>
      <c r="G130" s="907"/>
      <c r="H130" s="907"/>
      <c r="I130" s="907"/>
      <c r="J130" s="907"/>
      <c r="K130" s="907"/>
      <c r="L130" s="907"/>
      <c r="M130" s="907"/>
      <c r="N130" s="919"/>
      <c r="R130" s="3"/>
      <c r="S130" s="3"/>
      <c r="AF130" s="415"/>
      <c r="AG130" s="416"/>
      <c r="AH130" s="416"/>
      <c r="AI130" s="426" t="s">
        <v>1922</v>
      </c>
      <c r="AM130" s="416"/>
    </row>
    <row r="131" spans="1:41" customFormat="1" ht="14.4" x14ac:dyDescent="0.3">
      <c r="A131" s="444"/>
      <c r="B131" s="445"/>
      <c r="C131" s="916" t="s">
        <v>1715</v>
      </c>
      <c r="D131" s="916"/>
      <c r="E131" s="916"/>
      <c r="F131" s="419"/>
      <c r="G131" s="420"/>
      <c r="H131" s="420"/>
      <c r="I131" s="420"/>
      <c r="J131" s="422"/>
      <c r="K131" s="420"/>
      <c r="L131" s="446">
        <v>2698.92</v>
      </c>
      <c r="M131" s="439"/>
      <c r="N131" s="447">
        <v>35733.699999999997</v>
      </c>
      <c r="R131" s="3"/>
      <c r="S131" s="3"/>
      <c r="AF131" s="415"/>
      <c r="AG131" s="416"/>
      <c r="AH131" s="416"/>
      <c r="AM131" s="416" t="s">
        <v>1715</v>
      </c>
    </row>
    <row r="132" spans="1:41" customFormat="1" ht="31.8" x14ac:dyDescent="0.3">
      <c r="A132" s="417" t="s">
        <v>1770</v>
      </c>
      <c r="B132" s="418" t="s">
        <v>1923</v>
      </c>
      <c r="C132" s="916" t="s">
        <v>1924</v>
      </c>
      <c r="D132" s="916"/>
      <c r="E132" s="916"/>
      <c r="F132" s="419" t="s">
        <v>1723</v>
      </c>
      <c r="G132" s="420">
        <v>252</v>
      </c>
      <c r="H132" s="421">
        <v>1</v>
      </c>
      <c r="I132" s="421">
        <v>252</v>
      </c>
      <c r="J132" s="449">
        <v>8.7899999999999991</v>
      </c>
      <c r="K132" s="420"/>
      <c r="L132" s="446">
        <v>2215.08</v>
      </c>
      <c r="M132" s="448">
        <v>13.62</v>
      </c>
      <c r="N132" s="447">
        <v>30169.39</v>
      </c>
      <c r="R132" s="3"/>
      <c r="S132" s="3"/>
      <c r="AF132" s="415"/>
      <c r="AG132" s="416"/>
      <c r="AH132" s="416" t="s">
        <v>1924</v>
      </c>
      <c r="AM132" s="416"/>
    </row>
    <row r="133" spans="1:41" customFormat="1" ht="14.4" x14ac:dyDescent="0.3">
      <c r="A133" s="444"/>
      <c r="B133" s="445"/>
      <c r="C133" s="907" t="s">
        <v>1925</v>
      </c>
      <c r="D133" s="907"/>
      <c r="E133" s="907"/>
      <c r="F133" s="907"/>
      <c r="G133" s="907"/>
      <c r="H133" s="907"/>
      <c r="I133" s="907"/>
      <c r="J133" s="907"/>
      <c r="K133" s="907"/>
      <c r="L133" s="907"/>
      <c r="M133" s="907"/>
      <c r="N133" s="919"/>
      <c r="R133" s="3"/>
      <c r="S133" s="3"/>
      <c r="AF133" s="415"/>
      <c r="AG133" s="416"/>
      <c r="AH133" s="416"/>
      <c r="AM133" s="416"/>
      <c r="AN133" s="426" t="s">
        <v>1925</v>
      </c>
    </row>
    <row r="134" spans="1:41" customFormat="1" ht="14.4" x14ac:dyDescent="0.3">
      <c r="A134" s="444"/>
      <c r="B134" s="445"/>
      <c r="C134" s="916" t="s">
        <v>1715</v>
      </c>
      <c r="D134" s="916"/>
      <c r="E134" s="916"/>
      <c r="F134" s="419"/>
      <c r="G134" s="420"/>
      <c r="H134" s="420"/>
      <c r="I134" s="420"/>
      <c r="J134" s="422"/>
      <c r="K134" s="420"/>
      <c r="L134" s="446">
        <v>2215.08</v>
      </c>
      <c r="M134" s="439"/>
      <c r="N134" s="447">
        <v>30169.39</v>
      </c>
      <c r="R134" s="3"/>
      <c r="S134" s="3"/>
      <c r="AF134" s="415"/>
      <c r="AG134" s="416"/>
      <c r="AH134" s="416"/>
      <c r="AM134" s="416" t="s">
        <v>1715</v>
      </c>
    </row>
    <row r="135" spans="1:41" customFormat="1" ht="31.8" x14ac:dyDescent="0.3">
      <c r="A135" s="417" t="s">
        <v>612</v>
      </c>
      <c r="B135" s="418" t="s">
        <v>1926</v>
      </c>
      <c r="C135" s="916" t="s">
        <v>1927</v>
      </c>
      <c r="D135" s="916"/>
      <c r="E135" s="916"/>
      <c r="F135" s="419" t="s">
        <v>1723</v>
      </c>
      <c r="G135" s="420">
        <v>252</v>
      </c>
      <c r="H135" s="421">
        <v>1</v>
      </c>
      <c r="I135" s="421">
        <v>252</v>
      </c>
      <c r="J135" s="449">
        <v>10.71</v>
      </c>
      <c r="K135" s="420"/>
      <c r="L135" s="446">
        <v>2698.92</v>
      </c>
      <c r="M135" s="448">
        <v>13.24</v>
      </c>
      <c r="N135" s="447">
        <v>35733.699999999997</v>
      </c>
      <c r="R135" s="3"/>
      <c r="S135" s="3"/>
      <c r="AF135" s="415"/>
      <c r="AG135" s="416"/>
      <c r="AH135" s="416" t="s">
        <v>1927</v>
      </c>
      <c r="AM135" s="416"/>
    </row>
    <row r="136" spans="1:41" customFormat="1" ht="14.4" x14ac:dyDescent="0.3">
      <c r="A136" s="444"/>
      <c r="B136" s="445"/>
      <c r="C136" s="907" t="s">
        <v>1724</v>
      </c>
      <c r="D136" s="907"/>
      <c r="E136" s="907"/>
      <c r="F136" s="907"/>
      <c r="G136" s="907"/>
      <c r="H136" s="907"/>
      <c r="I136" s="907"/>
      <c r="J136" s="907"/>
      <c r="K136" s="907"/>
      <c r="L136" s="907"/>
      <c r="M136" s="907"/>
      <c r="N136" s="919"/>
      <c r="R136" s="3"/>
      <c r="S136" s="3"/>
      <c r="AF136" s="415"/>
      <c r="AG136" s="416"/>
      <c r="AH136" s="416"/>
      <c r="AM136" s="416"/>
      <c r="AN136" s="426" t="s">
        <v>1724</v>
      </c>
    </row>
    <row r="137" spans="1:41" customFormat="1" ht="14.4" x14ac:dyDescent="0.3">
      <c r="A137" s="450"/>
      <c r="B137" s="451"/>
      <c r="C137" s="907" t="s">
        <v>1922</v>
      </c>
      <c r="D137" s="907"/>
      <c r="E137" s="907"/>
      <c r="F137" s="907"/>
      <c r="G137" s="907"/>
      <c r="H137" s="907"/>
      <c r="I137" s="907"/>
      <c r="J137" s="907"/>
      <c r="K137" s="907"/>
      <c r="L137" s="907"/>
      <c r="M137" s="907"/>
      <c r="N137" s="919"/>
      <c r="R137" s="3"/>
      <c r="S137" s="3"/>
      <c r="AF137" s="415"/>
      <c r="AG137" s="416"/>
      <c r="AH137" s="416"/>
      <c r="AI137" s="426" t="s">
        <v>1922</v>
      </c>
      <c r="AM137" s="416"/>
    </row>
    <row r="138" spans="1:41" customFormat="1" ht="14.4" x14ac:dyDescent="0.3">
      <c r="A138" s="444"/>
      <c r="B138" s="445"/>
      <c r="C138" s="916" t="s">
        <v>1715</v>
      </c>
      <c r="D138" s="916"/>
      <c r="E138" s="916"/>
      <c r="F138" s="419"/>
      <c r="G138" s="420"/>
      <c r="H138" s="420"/>
      <c r="I138" s="420"/>
      <c r="J138" s="422"/>
      <c r="K138" s="420"/>
      <c r="L138" s="446">
        <v>2698.92</v>
      </c>
      <c r="M138" s="439"/>
      <c r="N138" s="447">
        <v>35733.699999999997</v>
      </c>
      <c r="R138" s="3"/>
      <c r="S138" s="3"/>
      <c r="AF138" s="415"/>
      <c r="AG138" s="416"/>
      <c r="AH138" s="416"/>
      <c r="AM138" s="416" t="s">
        <v>1715</v>
      </c>
    </row>
    <row r="139" spans="1:41" customFormat="1" ht="21.6" x14ac:dyDescent="0.3">
      <c r="A139" s="417" t="s">
        <v>834</v>
      </c>
      <c r="B139" s="418" t="s">
        <v>1928</v>
      </c>
      <c r="C139" s="916" t="s">
        <v>1929</v>
      </c>
      <c r="D139" s="916"/>
      <c r="E139" s="916"/>
      <c r="F139" s="419" t="s">
        <v>1916</v>
      </c>
      <c r="G139" s="420">
        <v>0.16</v>
      </c>
      <c r="H139" s="421">
        <v>1</v>
      </c>
      <c r="I139" s="448">
        <v>0.16</v>
      </c>
      <c r="J139" s="422"/>
      <c r="K139" s="420"/>
      <c r="L139" s="422"/>
      <c r="M139" s="420"/>
      <c r="N139" s="423"/>
      <c r="R139" s="3"/>
      <c r="S139" s="3"/>
      <c r="AF139" s="415"/>
      <c r="AG139" s="416"/>
      <c r="AH139" s="416" t="s">
        <v>1929</v>
      </c>
      <c r="AM139" s="416"/>
    </row>
    <row r="140" spans="1:41" customFormat="1" ht="14.4" x14ac:dyDescent="0.3">
      <c r="A140" s="450"/>
      <c r="B140" s="451"/>
      <c r="C140" s="907" t="s">
        <v>1930</v>
      </c>
      <c r="D140" s="907"/>
      <c r="E140" s="907"/>
      <c r="F140" s="907"/>
      <c r="G140" s="907"/>
      <c r="H140" s="907"/>
      <c r="I140" s="907"/>
      <c r="J140" s="907"/>
      <c r="K140" s="907"/>
      <c r="L140" s="907"/>
      <c r="M140" s="907"/>
      <c r="N140" s="919"/>
      <c r="R140" s="3"/>
      <c r="S140" s="3"/>
      <c r="AF140" s="415"/>
      <c r="AG140" s="416"/>
      <c r="AH140" s="416"/>
      <c r="AI140" s="426" t="s">
        <v>1930</v>
      </c>
      <c r="AM140" s="416"/>
    </row>
    <row r="141" spans="1:41" customFormat="1" ht="20.399999999999999" x14ac:dyDescent="0.3">
      <c r="A141" s="424"/>
      <c r="B141" s="425" t="s">
        <v>1736</v>
      </c>
      <c r="C141" s="917" t="s">
        <v>1737</v>
      </c>
      <c r="D141" s="917"/>
      <c r="E141" s="917"/>
      <c r="F141" s="917"/>
      <c r="G141" s="917"/>
      <c r="H141" s="917"/>
      <c r="I141" s="917"/>
      <c r="J141" s="917"/>
      <c r="K141" s="917"/>
      <c r="L141" s="917"/>
      <c r="M141" s="917"/>
      <c r="N141" s="918"/>
      <c r="R141" s="3"/>
      <c r="S141" s="3"/>
      <c r="AF141" s="415"/>
      <c r="AG141" s="416"/>
      <c r="AH141" s="416"/>
      <c r="AM141" s="416"/>
      <c r="AO141" s="426" t="s">
        <v>1737</v>
      </c>
    </row>
    <row r="142" spans="1:41" customFormat="1" ht="52.2" x14ac:dyDescent="0.3">
      <c r="A142" s="424"/>
      <c r="B142" s="425" t="s">
        <v>1703</v>
      </c>
      <c r="C142" s="917" t="s">
        <v>1704</v>
      </c>
      <c r="D142" s="917"/>
      <c r="E142" s="917"/>
      <c r="F142" s="917"/>
      <c r="G142" s="917"/>
      <c r="H142" s="917"/>
      <c r="I142" s="917"/>
      <c r="J142" s="917"/>
      <c r="K142" s="917"/>
      <c r="L142" s="917"/>
      <c r="M142" s="917"/>
      <c r="N142" s="918"/>
      <c r="R142" s="3"/>
      <c r="S142" s="3"/>
      <c r="AF142" s="415"/>
      <c r="AG142" s="416"/>
      <c r="AH142" s="416"/>
      <c r="AM142" s="416"/>
      <c r="AO142" s="426" t="s">
        <v>1704</v>
      </c>
    </row>
    <row r="143" spans="1:41" customFormat="1" ht="14.4" x14ac:dyDescent="0.3">
      <c r="A143" s="427"/>
      <c r="B143" s="425" t="s">
        <v>758</v>
      </c>
      <c r="C143" s="907" t="s">
        <v>1705</v>
      </c>
      <c r="D143" s="907"/>
      <c r="E143" s="907"/>
      <c r="F143" s="428"/>
      <c r="G143" s="429"/>
      <c r="H143" s="429"/>
      <c r="I143" s="429"/>
      <c r="J143" s="432">
        <v>1616.46</v>
      </c>
      <c r="K143" s="431">
        <v>0.92</v>
      </c>
      <c r="L143" s="430">
        <v>237.94</v>
      </c>
      <c r="M143" s="431">
        <v>44.77</v>
      </c>
      <c r="N143" s="433">
        <v>10652.57</v>
      </c>
      <c r="R143" s="3"/>
      <c r="S143" s="3"/>
      <c r="AF143" s="415"/>
      <c r="AG143" s="416"/>
      <c r="AH143" s="416"/>
      <c r="AJ143" s="426" t="s">
        <v>1705</v>
      </c>
      <c r="AM143" s="416"/>
    </row>
    <row r="144" spans="1:41" customFormat="1" ht="14.4" x14ac:dyDescent="0.3">
      <c r="A144" s="427"/>
      <c r="B144" s="425" t="s">
        <v>761</v>
      </c>
      <c r="C144" s="907" t="s">
        <v>1718</v>
      </c>
      <c r="D144" s="907"/>
      <c r="E144" s="907"/>
      <c r="F144" s="428"/>
      <c r="G144" s="429"/>
      <c r="H144" s="429"/>
      <c r="I144" s="429"/>
      <c r="J144" s="432">
        <v>1481.81</v>
      </c>
      <c r="K144" s="431">
        <v>0.92</v>
      </c>
      <c r="L144" s="430">
        <v>218.12</v>
      </c>
      <c r="M144" s="431">
        <v>13.24</v>
      </c>
      <c r="N144" s="433">
        <v>2887.91</v>
      </c>
      <c r="R144" s="3"/>
      <c r="S144" s="3"/>
      <c r="AF144" s="415"/>
      <c r="AG144" s="416"/>
      <c r="AH144" s="416"/>
      <c r="AJ144" s="426" t="s">
        <v>1718</v>
      </c>
      <c r="AM144" s="416"/>
    </row>
    <row r="145" spans="1:40" customFormat="1" ht="14.4" x14ac:dyDescent="0.3">
      <c r="A145" s="427"/>
      <c r="B145" s="425" t="s">
        <v>1144</v>
      </c>
      <c r="C145" s="907" t="s">
        <v>1719</v>
      </c>
      <c r="D145" s="907"/>
      <c r="E145" s="907"/>
      <c r="F145" s="428"/>
      <c r="G145" s="429"/>
      <c r="H145" s="429"/>
      <c r="I145" s="429"/>
      <c r="J145" s="430">
        <v>216.37</v>
      </c>
      <c r="K145" s="431">
        <v>0.92</v>
      </c>
      <c r="L145" s="430">
        <v>31.85</v>
      </c>
      <c r="M145" s="431">
        <v>44.77</v>
      </c>
      <c r="N145" s="433">
        <v>1425.92</v>
      </c>
      <c r="R145" s="3"/>
      <c r="S145" s="3"/>
      <c r="AF145" s="415"/>
      <c r="AG145" s="416"/>
      <c r="AH145" s="416"/>
      <c r="AJ145" s="426" t="s">
        <v>1719</v>
      </c>
      <c r="AM145" s="416"/>
    </row>
    <row r="146" spans="1:40" customFormat="1" ht="14.4" x14ac:dyDescent="0.3">
      <c r="A146" s="427"/>
      <c r="B146" s="425" t="s">
        <v>586</v>
      </c>
      <c r="C146" s="907" t="s">
        <v>1738</v>
      </c>
      <c r="D146" s="907"/>
      <c r="E146" s="907"/>
      <c r="F146" s="428"/>
      <c r="G146" s="429"/>
      <c r="H146" s="429"/>
      <c r="I146" s="429"/>
      <c r="J146" s="432">
        <v>3312.81</v>
      </c>
      <c r="K146" s="443">
        <v>0</v>
      </c>
      <c r="L146" s="430">
        <v>0</v>
      </c>
      <c r="M146" s="431">
        <v>8.16</v>
      </c>
      <c r="N146" s="437"/>
      <c r="R146" s="3"/>
      <c r="S146" s="3"/>
      <c r="AF146" s="415"/>
      <c r="AG146" s="416"/>
      <c r="AH146" s="416"/>
      <c r="AJ146" s="426" t="s">
        <v>1738</v>
      </c>
      <c r="AM146" s="416"/>
    </row>
    <row r="147" spans="1:40" customFormat="1" ht="14.4" x14ac:dyDescent="0.3">
      <c r="A147" s="434"/>
      <c r="B147" s="425"/>
      <c r="C147" s="907" t="s">
        <v>1706</v>
      </c>
      <c r="D147" s="907"/>
      <c r="E147" s="907"/>
      <c r="F147" s="428" t="s">
        <v>1707</v>
      </c>
      <c r="G147" s="443">
        <v>174</v>
      </c>
      <c r="H147" s="431">
        <v>0.92</v>
      </c>
      <c r="I147" s="453">
        <v>25.6128</v>
      </c>
      <c r="J147" s="436"/>
      <c r="K147" s="429"/>
      <c r="L147" s="436"/>
      <c r="M147" s="429"/>
      <c r="N147" s="437"/>
      <c r="R147" s="3"/>
      <c r="S147" s="3"/>
      <c r="AF147" s="415"/>
      <c r="AG147" s="416"/>
      <c r="AH147" s="416"/>
      <c r="AK147" s="426" t="s">
        <v>1706</v>
      </c>
      <c r="AM147" s="416"/>
    </row>
    <row r="148" spans="1:40" customFormat="1" ht="14.4" x14ac:dyDescent="0.3">
      <c r="A148" s="434"/>
      <c r="B148" s="425"/>
      <c r="C148" s="907" t="s">
        <v>1720</v>
      </c>
      <c r="D148" s="907"/>
      <c r="E148" s="907"/>
      <c r="F148" s="428" t="s">
        <v>1707</v>
      </c>
      <c r="G148" s="431">
        <v>16.13</v>
      </c>
      <c r="H148" s="431">
        <v>0.92</v>
      </c>
      <c r="I148" s="457">
        <v>2.374336</v>
      </c>
      <c r="J148" s="436"/>
      <c r="K148" s="429"/>
      <c r="L148" s="436"/>
      <c r="M148" s="429"/>
      <c r="N148" s="437"/>
      <c r="R148" s="3"/>
      <c r="S148" s="3"/>
      <c r="AF148" s="415"/>
      <c r="AG148" s="416"/>
      <c r="AH148" s="416"/>
      <c r="AK148" s="426" t="s">
        <v>1720</v>
      </c>
      <c r="AM148" s="416"/>
    </row>
    <row r="149" spans="1:40" customFormat="1" ht="14.4" x14ac:dyDescent="0.3">
      <c r="A149" s="427"/>
      <c r="B149" s="425"/>
      <c r="C149" s="908" t="s">
        <v>1708</v>
      </c>
      <c r="D149" s="908"/>
      <c r="E149" s="908"/>
      <c r="F149" s="438"/>
      <c r="G149" s="439"/>
      <c r="H149" s="439"/>
      <c r="I149" s="439"/>
      <c r="J149" s="441">
        <v>6411.08</v>
      </c>
      <c r="K149" s="439"/>
      <c r="L149" s="440">
        <v>456.06</v>
      </c>
      <c r="M149" s="439"/>
      <c r="N149" s="442">
        <v>13540.48</v>
      </c>
      <c r="R149" s="3"/>
      <c r="S149" s="3"/>
      <c r="AF149" s="415"/>
      <c r="AG149" s="416"/>
      <c r="AH149" s="416"/>
      <c r="AL149" s="426" t="s">
        <v>1708</v>
      </c>
      <c r="AM149" s="416"/>
    </row>
    <row r="150" spans="1:40" customFormat="1" ht="14.4" x14ac:dyDescent="0.3">
      <c r="A150" s="434"/>
      <c r="B150" s="425"/>
      <c r="C150" s="907" t="s">
        <v>1709</v>
      </c>
      <c r="D150" s="907"/>
      <c r="E150" s="907"/>
      <c r="F150" s="428"/>
      <c r="G150" s="429"/>
      <c r="H150" s="429"/>
      <c r="I150" s="429"/>
      <c r="J150" s="436"/>
      <c r="K150" s="429"/>
      <c r="L150" s="430">
        <v>269.79000000000002</v>
      </c>
      <c r="M150" s="429"/>
      <c r="N150" s="433">
        <v>12078.49</v>
      </c>
      <c r="R150" s="3"/>
      <c r="S150" s="3"/>
      <c r="AF150" s="415"/>
      <c r="AG150" s="416"/>
      <c r="AH150" s="416"/>
      <c r="AK150" s="426" t="s">
        <v>1709</v>
      </c>
      <c r="AM150" s="416"/>
    </row>
    <row r="151" spans="1:40" customFormat="1" ht="31.8" x14ac:dyDescent="0.3">
      <c r="A151" s="434"/>
      <c r="B151" s="425" t="s">
        <v>1918</v>
      </c>
      <c r="C151" s="907" t="s">
        <v>1919</v>
      </c>
      <c r="D151" s="907"/>
      <c r="E151" s="907"/>
      <c r="F151" s="428" t="s">
        <v>1712</v>
      </c>
      <c r="G151" s="443">
        <v>116</v>
      </c>
      <c r="H151" s="429"/>
      <c r="I151" s="443">
        <v>116</v>
      </c>
      <c r="J151" s="436"/>
      <c r="K151" s="429"/>
      <c r="L151" s="430">
        <v>312.95999999999998</v>
      </c>
      <c r="M151" s="429"/>
      <c r="N151" s="433">
        <v>14011.05</v>
      </c>
      <c r="R151" s="3"/>
      <c r="S151" s="3"/>
      <c r="AF151" s="415"/>
      <c r="AG151" s="416"/>
      <c r="AH151" s="416"/>
      <c r="AK151" s="426" t="s">
        <v>1919</v>
      </c>
      <c r="AM151" s="416"/>
    </row>
    <row r="152" spans="1:40" customFormat="1" ht="31.8" x14ac:dyDescent="0.3">
      <c r="A152" s="434"/>
      <c r="B152" s="425" t="s">
        <v>1920</v>
      </c>
      <c r="C152" s="907" t="s">
        <v>1921</v>
      </c>
      <c r="D152" s="907"/>
      <c r="E152" s="907"/>
      <c r="F152" s="428" t="s">
        <v>1712</v>
      </c>
      <c r="G152" s="443">
        <v>80</v>
      </c>
      <c r="H152" s="429"/>
      <c r="I152" s="443">
        <v>80</v>
      </c>
      <c r="J152" s="436"/>
      <c r="K152" s="429"/>
      <c r="L152" s="430">
        <v>215.83</v>
      </c>
      <c r="M152" s="429"/>
      <c r="N152" s="433">
        <v>9662.7900000000009</v>
      </c>
      <c r="R152" s="3"/>
      <c r="S152" s="3"/>
      <c r="AF152" s="415"/>
      <c r="AG152" s="416"/>
      <c r="AH152" s="416"/>
      <c r="AK152" s="426" t="s">
        <v>1921</v>
      </c>
      <c r="AM152" s="416"/>
    </row>
    <row r="153" spans="1:40" customFormat="1" ht="14.4" x14ac:dyDescent="0.3">
      <c r="A153" s="444"/>
      <c r="B153" s="445"/>
      <c r="C153" s="916" t="s">
        <v>1715</v>
      </c>
      <c r="D153" s="916"/>
      <c r="E153" s="916"/>
      <c r="F153" s="419"/>
      <c r="G153" s="420"/>
      <c r="H153" s="420"/>
      <c r="I153" s="420"/>
      <c r="J153" s="422"/>
      <c r="K153" s="420"/>
      <c r="L153" s="449">
        <v>984.85</v>
      </c>
      <c r="M153" s="439"/>
      <c r="N153" s="447">
        <v>37214.32</v>
      </c>
      <c r="R153" s="3"/>
      <c r="S153" s="3"/>
      <c r="AF153" s="415"/>
      <c r="AG153" s="416"/>
      <c r="AH153" s="416"/>
      <c r="AM153" s="416" t="s">
        <v>1715</v>
      </c>
    </row>
    <row r="154" spans="1:40" customFormat="1" ht="31.8" x14ac:dyDescent="0.3">
      <c r="A154" s="417" t="s">
        <v>1774</v>
      </c>
      <c r="B154" s="418" t="s">
        <v>1743</v>
      </c>
      <c r="C154" s="916" t="s">
        <v>1744</v>
      </c>
      <c r="D154" s="916"/>
      <c r="E154" s="916"/>
      <c r="F154" s="419" t="s">
        <v>1723</v>
      </c>
      <c r="G154" s="420">
        <v>20.6</v>
      </c>
      <c r="H154" s="421">
        <v>1</v>
      </c>
      <c r="I154" s="456">
        <v>20.6</v>
      </c>
      <c r="J154" s="449">
        <v>10.71</v>
      </c>
      <c r="K154" s="420"/>
      <c r="L154" s="449">
        <v>220.63</v>
      </c>
      <c r="M154" s="448">
        <v>13.24</v>
      </c>
      <c r="N154" s="447">
        <v>2921.14</v>
      </c>
      <c r="R154" s="3"/>
      <c r="S154" s="3"/>
      <c r="AF154" s="415"/>
      <c r="AG154" s="416"/>
      <c r="AH154" s="416" t="s">
        <v>1744</v>
      </c>
      <c r="AM154" s="416"/>
    </row>
    <row r="155" spans="1:40" customFormat="1" ht="14.4" x14ac:dyDescent="0.3">
      <c r="A155" s="444"/>
      <c r="B155" s="445"/>
      <c r="C155" s="907" t="s">
        <v>1724</v>
      </c>
      <c r="D155" s="907"/>
      <c r="E155" s="907"/>
      <c r="F155" s="907"/>
      <c r="G155" s="907"/>
      <c r="H155" s="907"/>
      <c r="I155" s="907"/>
      <c r="J155" s="907"/>
      <c r="K155" s="907"/>
      <c r="L155" s="907"/>
      <c r="M155" s="907"/>
      <c r="N155" s="919"/>
      <c r="R155" s="3"/>
      <c r="S155" s="3"/>
      <c r="AF155" s="415"/>
      <c r="AG155" s="416"/>
      <c r="AH155" s="416"/>
      <c r="AM155" s="416"/>
      <c r="AN155" s="426" t="s">
        <v>1724</v>
      </c>
    </row>
    <row r="156" spans="1:40" customFormat="1" ht="14.4" x14ac:dyDescent="0.3">
      <c r="A156" s="450"/>
      <c r="B156" s="451"/>
      <c r="C156" s="907" t="s">
        <v>1931</v>
      </c>
      <c r="D156" s="907"/>
      <c r="E156" s="907"/>
      <c r="F156" s="907"/>
      <c r="G156" s="907"/>
      <c r="H156" s="907"/>
      <c r="I156" s="907"/>
      <c r="J156" s="907"/>
      <c r="K156" s="907"/>
      <c r="L156" s="907"/>
      <c r="M156" s="907"/>
      <c r="N156" s="919"/>
      <c r="R156" s="3"/>
      <c r="S156" s="3"/>
      <c r="AF156" s="415"/>
      <c r="AG156" s="416"/>
      <c r="AH156" s="416"/>
      <c r="AI156" s="426" t="s">
        <v>1931</v>
      </c>
      <c r="AM156" s="416"/>
    </row>
    <row r="157" spans="1:40" customFormat="1" ht="14.4" x14ac:dyDescent="0.3">
      <c r="A157" s="444"/>
      <c r="B157" s="445"/>
      <c r="C157" s="916" t="s">
        <v>1715</v>
      </c>
      <c r="D157" s="916"/>
      <c r="E157" s="916"/>
      <c r="F157" s="419"/>
      <c r="G157" s="420"/>
      <c r="H157" s="420"/>
      <c r="I157" s="420"/>
      <c r="J157" s="422"/>
      <c r="K157" s="420"/>
      <c r="L157" s="449">
        <v>220.63</v>
      </c>
      <c r="M157" s="439"/>
      <c r="N157" s="447">
        <v>2921.14</v>
      </c>
      <c r="R157" s="3"/>
      <c r="S157" s="3"/>
      <c r="AF157" s="415"/>
      <c r="AG157" s="416"/>
      <c r="AH157" s="416"/>
      <c r="AM157" s="416" t="s">
        <v>1715</v>
      </c>
    </row>
    <row r="158" spans="1:40" customFormat="1" ht="31.8" x14ac:dyDescent="0.3">
      <c r="A158" s="417" t="s">
        <v>1775</v>
      </c>
      <c r="B158" s="418" t="s">
        <v>1923</v>
      </c>
      <c r="C158" s="916" t="s">
        <v>1924</v>
      </c>
      <c r="D158" s="916"/>
      <c r="E158" s="916"/>
      <c r="F158" s="419" t="s">
        <v>1723</v>
      </c>
      <c r="G158" s="420">
        <v>20.6</v>
      </c>
      <c r="H158" s="421">
        <v>1</v>
      </c>
      <c r="I158" s="456">
        <v>20.6</v>
      </c>
      <c r="J158" s="449">
        <v>8.7899999999999991</v>
      </c>
      <c r="K158" s="420"/>
      <c r="L158" s="449">
        <v>181.07</v>
      </c>
      <c r="M158" s="448">
        <v>13.62</v>
      </c>
      <c r="N158" s="447">
        <v>2466.17</v>
      </c>
      <c r="R158" s="3"/>
      <c r="S158" s="3"/>
      <c r="AF158" s="415"/>
      <c r="AG158" s="416"/>
      <c r="AH158" s="416" t="s">
        <v>1924</v>
      </c>
      <c r="AM158" s="416"/>
    </row>
    <row r="159" spans="1:40" customFormat="1" ht="14.4" x14ac:dyDescent="0.3">
      <c r="A159" s="444"/>
      <c r="B159" s="445"/>
      <c r="C159" s="907" t="s">
        <v>1925</v>
      </c>
      <c r="D159" s="907"/>
      <c r="E159" s="907"/>
      <c r="F159" s="907"/>
      <c r="G159" s="907"/>
      <c r="H159" s="907"/>
      <c r="I159" s="907"/>
      <c r="J159" s="907"/>
      <c r="K159" s="907"/>
      <c r="L159" s="907"/>
      <c r="M159" s="907"/>
      <c r="N159" s="919"/>
      <c r="R159" s="3"/>
      <c r="S159" s="3"/>
      <c r="AF159" s="415"/>
      <c r="AG159" s="416"/>
      <c r="AH159" s="416"/>
      <c r="AM159" s="416"/>
      <c r="AN159" s="426" t="s">
        <v>1925</v>
      </c>
    </row>
    <row r="160" spans="1:40" customFormat="1" ht="14.4" x14ac:dyDescent="0.3">
      <c r="A160" s="444"/>
      <c r="B160" s="445"/>
      <c r="C160" s="916" t="s">
        <v>1715</v>
      </c>
      <c r="D160" s="916"/>
      <c r="E160" s="916"/>
      <c r="F160" s="419"/>
      <c r="G160" s="420"/>
      <c r="H160" s="420"/>
      <c r="I160" s="420"/>
      <c r="J160" s="422"/>
      <c r="K160" s="420"/>
      <c r="L160" s="449">
        <v>181.07</v>
      </c>
      <c r="M160" s="439"/>
      <c r="N160" s="447">
        <v>2466.17</v>
      </c>
      <c r="R160" s="3"/>
      <c r="S160" s="3"/>
      <c r="AF160" s="415"/>
      <c r="AG160" s="416"/>
      <c r="AH160" s="416"/>
      <c r="AM160" s="416" t="s">
        <v>1715</v>
      </c>
    </row>
    <row r="161" spans="1:42" customFormat="1" ht="31.8" x14ac:dyDescent="0.3">
      <c r="A161" s="417" t="s">
        <v>1777</v>
      </c>
      <c r="B161" s="418" t="s">
        <v>1926</v>
      </c>
      <c r="C161" s="916" t="s">
        <v>1927</v>
      </c>
      <c r="D161" s="916"/>
      <c r="E161" s="916"/>
      <c r="F161" s="419" t="s">
        <v>1723</v>
      </c>
      <c r="G161" s="420">
        <v>20.6</v>
      </c>
      <c r="H161" s="421">
        <v>1</v>
      </c>
      <c r="I161" s="456">
        <v>20.6</v>
      </c>
      <c r="J161" s="449">
        <v>10.71</v>
      </c>
      <c r="K161" s="420"/>
      <c r="L161" s="449">
        <v>220.63</v>
      </c>
      <c r="M161" s="448">
        <v>13.24</v>
      </c>
      <c r="N161" s="447">
        <v>2921.14</v>
      </c>
      <c r="R161" s="3"/>
      <c r="S161" s="3"/>
      <c r="AF161" s="415"/>
      <c r="AG161" s="416"/>
      <c r="AH161" s="416" t="s">
        <v>1927</v>
      </c>
      <c r="AM161" s="416"/>
    </row>
    <row r="162" spans="1:42" customFormat="1" ht="14.4" x14ac:dyDescent="0.3">
      <c r="A162" s="444"/>
      <c r="B162" s="445"/>
      <c r="C162" s="907" t="s">
        <v>1724</v>
      </c>
      <c r="D162" s="907"/>
      <c r="E162" s="907"/>
      <c r="F162" s="907"/>
      <c r="G162" s="907"/>
      <c r="H162" s="907"/>
      <c r="I162" s="907"/>
      <c r="J162" s="907"/>
      <c r="K162" s="907"/>
      <c r="L162" s="907"/>
      <c r="M162" s="907"/>
      <c r="N162" s="919"/>
      <c r="R162" s="3"/>
      <c r="S162" s="3"/>
      <c r="AF162" s="415"/>
      <c r="AG162" s="416"/>
      <c r="AH162" s="416"/>
      <c r="AM162" s="416"/>
      <c r="AN162" s="426" t="s">
        <v>1724</v>
      </c>
    </row>
    <row r="163" spans="1:42" customFormat="1" ht="14.4" x14ac:dyDescent="0.3">
      <c r="A163" s="444"/>
      <c r="B163" s="445"/>
      <c r="C163" s="916" t="s">
        <v>1715</v>
      </c>
      <c r="D163" s="916"/>
      <c r="E163" s="916"/>
      <c r="F163" s="419"/>
      <c r="G163" s="420"/>
      <c r="H163" s="420"/>
      <c r="I163" s="420"/>
      <c r="J163" s="422"/>
      <c r="K163" s="420"/>
      <c r="L163" s="449">
        <v>220.63</v>
      </c>
      <c r="M163" s="439"/>
      <c r="N163" s="447">
        <v>2921.14</v>
      </c>
      <c r="R163" s="3"/>
      <c r="S163" s="3"/>
      <c r="AF163" s="415"/>
      <c r="AG163" s="416"/>
      <c r="AH163" s="416"/>
      <c r="AM163" s="416" t="s">
        <v>1715</v>
      </c>
    </row>
    <row r="164" spans="1:42" customFormat="1" ht="31.8" x14ac:dyDescent="0.3">
      <c r="A164" s="417" t="s">
        <v>1132</v>
      </c>
      <c r="B164" s="418" t="s">
        <v>1743</v>
      </c>
      <c r="C164" s="916" t="s">
        <v>1744</v>
      </c>
      <c r="D164" s="916"/>
      <c r="E164" s="916"/>
      <c r="F164" s="419" t="s">
        <v>1723</v>
      </c>
      <c r="G164" s="420">
        <v>272.60000000000002</v>
      </c>
      <c r="H164" s="421">
        <v>1</v>
      </c>
      <c r="I164" s="456">
        <v>272.60000000000002</v>
      </c>
      <c r="J164" s="449">
        <v>10.71</v>
      </c>
      <c r="K164" s="420"/>
      <c r="L164" s="446">
        <v>2919.55</v>
      </c>
      <c r="M164" s="448">
        <v>13.24</v>
      </c>
      <c r="N164" s="447">
        <v>38654.839999999997</v>
      </c>
      <c r="R164" s="3"/>
      <c r="S164" s="3"/>
      <c r="AF164" s="415"/>
      <c r="AG164" s="416"/>
      <c r="AH164" s="416" t="s">
        <v>1744</v>
      </c>
      <c r="AM164" s="416"/>
    </row>
    <row r="165" spans="1:42" customFormat="1" ht="14.4" x14ac:dyDescent="0.3">
      <c r="A165" s="444"/>
      <c r="B165" s="445"/>
      <c r="C165" s="907" t="s">
        <v>1724</v>
      </c>
      <c r="D165" s="907"/>
      <c r="E165" s="907"/>
      <c r="F165" s="907"/>
      <c r="G165" s="907"/>
      <c r="H165" s="907"/>
      <c r="I165" s="907"/>
      <c r="J165" s="907"/>
      <c r="K165" s="907"/>
      <c r="L165" s="907"/>
      <c r="M165" s="907"/>
      <c r="N165" s="919"/>
      <c r="R165" s="3"/>
      <c r="S165" s="3"/>
      <c r="AF165" s="415"/>
      <c r="AG165" s="416"/>
      <c r="AH165" s="416"/>
      <c r="AM165" s="416"/>
      <c r="AN165" s="426" t="s">
        <v>1724</v>
      </c>
    </row>
    <row r="166" spans="1:42" customFormat="1" ht="14.4" x14ac:dyDescent="0.3">
      <c r="A166" s="450"/>
      <c r="B166" s="451"/>
      <c r="C166" s="907" t="s">
        <v>1932</v>
      </c>
      <c r="D166" s="907"/>
      <c r="E166" s="907"/>
      <c r="F166" s="907"/>
      <c r="G166" s="907"/>
      <c r="H166" s="907"/>
      <c r="I166" s="907"/>
      <c r="J166" s="907"/>
      <c r="K166" s="907"/>
      <c r="L166" s="907"/>
      <c r="M166" s="907"/>
      <c r="N166" s="919"/>
      <c r="R166" s="3"/>
      <c r="S166" s="3"/>
      <c r="AF166" s="415"/>
      <c r="AG166" s="416"/>
      <c r="AH166" s="416"/>
      <c r="AI166" s="426" t="s">
        <v>1932</v>
      </c>
      <c r="AM166" s="416"/>
    </row>
    <row r="167" spans="1:42" customFormat="1" ht="14.4" x14ac:dyDescent="0.3">
      <c r="A167" s="444"/>
      <c r="B167" s="445"/>
      <c r="C167" s="916" t="s">
        <v>1715</v>
      </c>
      <c r="D167" s="916"/>
      <c r="E167" s="916"/>
      <c r="F167" s="419"/>
      <c r="G167" s="420"/>
      <c r="H167" s="420"/>
      <c r="I167" s="420"/>
      <c r="J167" s="422"/>
      <c r="K167" s="420"/>
      <c r="L167" s="446">
        <v>2919.55</v>
      </c>
      <c r="M167" s="439"/>
      <c r="N167" s="447">
        <v>38654.839999999997</v>
      </c>
      <c r="R167" s="3"/>
      <c r="S167" s="3"/>
      <c r="AF167" s="415"/>
      <c r="AG167" s="416"/>
      <c r="AH167" s="416"/>
      <c r="AM167" s="416" t="s">
        <v>1715</v>
      </c>
    </row>
    <row r="168" spans="1:42" customFormat="1" ht="21.6" x14ac:dyDescent="0.3">
      <c r="A168" s="417" t="s">
        <v>1780</v>
      </c>
      <c r="B168" s="418" t="s">
        <v>1726</v>
      </c>
      <c r="C168" s="916" t="s">
        <v>1727</v>
      </c>
      <c r="D168" s="916"/>
      <c r="E168" s="916"/>
      <c r="F168" s="419" t="s">
        <v>193</v>
      </c>
      <c r="G168" s="420">
        <v>112.49</v>
      </c>
      <c r="H168" s="421">
        <v>1</v>
      </c>
      <c r="I168" s="448">
        <v>112.49</v>
      </c>
      <c r="J168" s="449">
        <v>162.38</v>
      </c>
      <c r="K168" s="420"/>
      <c r="L168" s="446">
        <v>18266.13</v>
      </c>
      <c r="M168" s="448">
        <v>8.16</v>
      </c>
      <c r="N168" s="447">
        <v>149051.62</v>
      </c>
      <c r="R168" s="3"/>
      <c r="S168" s="3"/>
      <c r="AF168" s="415"/>
      <c r="AG168" s="416"/>
      <c r="AH168" s="416" t="s">
        <v>1727</v>
      </c>
      <c r="AM168" s="416"/>
    </row>
    <row r="169" spans="1:42" customFormat="1" ht="14.4" x14ac:dyDescent="0.3">
      <c r="A169" s="444"/>
      <c r="B169" s="445"/>
      <c r="C169" s="907" t="s">
        <v>1728</v>
      </c>
      <c r="D169" s="907"/>
      <c r="E169" s="907"/>
      <c r="F169" s="907"/>
      <c r="G169" s="907"/>
      <c r="H169" s="907"/>
      <c r="I169" s="907"/>
      <c r="J169" s="907"/>
      <c r="K169" s="907"/>
      <c r="L169" s="907"/>
      <c r="M169" s="907"/>
      <c r="N169" s="919"/>
      <c r="R169" s="3"/>
      <c r="S169" s="3"/>
      <c r="AF169" s="415"/>
      <c r="AG169" s="416"/>
      <c r="AH169" s="416"/>
      <c r="AM169" s="416"/>
      <c r="AN169" s="426" t="s">
        <v>1728</v>
      </c>
    </row>
    <row r="170" spans="1:42" customFormat="1" ht="14.4" x14ac:dyDescent="0.3">
      <c r="A170" s="450"/>
      <c r="B170" s="451"/>
      <c r="C170" s="907" t="s">
        <v>1933</v>
      </c>
      <c r="D170" s="907"/>
      <c r="E170" s="907"/>
      <c r="F170" s="907"/>
      <c r="G170" s="907"/>
      <c r="H170" s="907"/>
      <c r="I170" s="907"/>
      <c r="J170" s="907"/>
      <c r="K170" s="907"/>
      <c r="L170" s="907"/>
      <c r="M170" s="907"/>
      <c r="N170" s="919"/>
      <c r="R170" s="3"/>
      <c r="S170" s="3"/>
      <c r="AF170" s="415"/>
      <c r="AG170" s="416"/>
      <c r="AH170" s="416"/>
      <c r="AI170" s="426" t="s">
        <v>1933</v>
      </c>
      <c r="AM170" s="416"/>
    </row>
    <row r="171" spans="1:42" customFormat="1" ht="14.4" x14ac:dyDescent="0.3">
      <c r="A171" s="450"/>
      <c r="B171" s="451"/>
      <c r="C171" s="907" t="s">
        <v>1730</v>
      </c>
      <c r="D171" s="907"/>
      <c r="E171" s="907"/>
      <c r="F171" s="907"/>
      <c r="G171" s="907"/>
      <c r="H171" s="907"/>
      <c r="I171" s="907"/>
      <c r="J171" s="907"/>
      <c r="K171" s="907"/>
      <c r="L171" s="907"/>
      <c r="M171" s="907"/>
      <c r="N171" s="919"/>
      <c r="R171" s="3"/>
      <c r="S171" s="3"/>
      <c r="AF171" s="415"/>
      <c r="AG171" s="416"/>
      <c r="AH171" s="416"/>
      <c r="AM171" s="416"/>
      <c r="AP171" s="426" t="s">
        <v>1730</v>
      </c>
    </row>
    <row r="172" spans="1:42" customFormat="1" ht="14.4" x14ac:dyDescent="0.3">
      <c r="A172" s="444"/>
      <c r="B172" s="445"/>
      <c r="C172" s="916" t="s">
        <v>1715</v>
      </c>
      <c r="D172" s="916"/>
      <c r="E172" s="916"/>
      <c r="F172" s="419"/>
      <c r="G172" s="420"/>
      <c r="H172" s="420"/>
      <c r="I172" s="420"/>
      <c r="J172" s="422"/>
      <c r="K172" s="420"/>
      <c r="L172" s="446">
        <v>18266.13</v>
      </c>
      <c r="M172" s="439"/>
      <c r="N172" s="447">
        <v>149051.62</v>
      </c>
      <c r="R172" s="3"/>
      <c r="S172" s="3"/>
      <c r="AF172" s="415"/>
      <c r="AG172" s="416"/>
      <c r="AH172" s="416"/>
      <c r="AM172" s="416" t="s">
        <v>1715</v>
      </c>
    </row>
    <row r="173" spans="1:42" customFormat="1" ht="14.4" x14ac:dyDescent="0.3">
      <c r="A173" s="913" t="s">
        <v>1934</v>
      </c>
      <c r="B173" s="914"/>
      <c r="C173" s="914"/>
      <c r="D173" s="914"/>
      <c r="E173" s="914"/>
      <c r="F173" s="914"/>
      <c r="G173" s="914"/>
      <c r="H173" s="914"/>
      <c r="I173" s="914"/>
      <c r="J173" s="914"/>
      <c r="K173" s="914"/>
      <c r="L173" s="914"/>
      <c r="M173" s="914"/>
      <c r="N173" s="915"/>
      <c r="R173" s="3"/>
      <c r="S173" s="3"/>
      <c r="AF173" s="415"/>
      <c r="AG173" s="416" t="s">
        <v>1934</v>
      </c>
      <c r="AH173" s="416"/>
      <c r="AM173" s="416"/>
    </row>
    <row r="174" spans="1:42" customFormat="1" ht="42" x14ac:dyDescent="0.3">
      <c r="A174" s="417" t="s">
        <v>816</v>
      </c>
      <c r="B174" s="418" t="s">
        <v>1935</v>
      </c>
      <c r="C174" s="916" t="s">
        <v>1936</v>
      </c>
      <c r="D174" s="916"/>
      <c r="E174" s="916"/>
      <c r="F174" s="419" t="s">
        <v>1916</v>
      </c>
      <c r="G174" s="420">
        <v>0.13</v>
      </c>
      <c r="H174" s="421">
        <v>1</v>
      </c>
      <c r="I174" s="448">
        <v>0.13</v>
      </c>
      <c r="J174" s="422"/>
      <c r="K174" s="420"/>
      <c r="L174" s="422"/>
      <c r="M174" s="420"/>
      <c r="N174" s="423"/>
      <c r="R174" s="3"/>
      <c r="S174" s="3"/>
      <c r="AF174" s="415"/>
      <c r="AG174" s="416"/>
      <c r="AH174" s="416" t="s">
        <v>1936</v>
      </c>
      <c r="AM174" s="416"/>
    </row>
    <row r="175" spans="1:42" customFormat="1" ht="14.4" x14ac:dyDescent="0.3">
      <c r="A175" s="450"/>
      <c r="B175" s="451"/>
      <c r="C175" s="907" t="s">
        <v>1937</v>
      </c>
      <c r="D175" s="907"/>
      <c r="E175" s="907"/>
      <c r="F175" s="907"/>
      <c r="G175" s="907"/>
      <c r="H175" s="907"/>
      <c r="I175" s="907"/>
      <c r="J175" s="907"/>
      <c r="K175" s="907"/>
      <c r="L175" s="907"/>
      <c r="M175" s="907"/>
      <c r="N175" s="919"/>
      <c r="R175" s="3"/>
      <c r="S175" s="3"/>
      <c r="AF175" s="415"/>
      <c r="AG175" s="416"/>
      <c r="AH175" s="416"/>
      <c r="AI175" s="426" t="s">
        <v>1937</v>
      </c>
      <c r="AM175" s="416"/>
    </row>
    <row r="176" spans="1:42" customFormat="1" ht="20.399999999999999" x14ac:dyDescent="0.3">
      <c r="A176" s="424"/>
      <c r="B176" s="425" t="s">
        <v>1736</v>
      </c>
      <c r="C176" s="917" t="s">
        <v>1737</v>
      </c>
      <c r="D176" s="917"/>
      <c r="E176" s="917"/>
      <c r="F176" s="917"/>
      <c r="G176" s="917"/>
      <c r="H176" s="917"/>
      <c r="I176" s="917"/>
      <c r="J176" s="917"/>
      <c r="K176" s="917"/>
      <c r="L176" s="917"/>
      <c r="M176" s="917"/>
      <c r="N176" s="918"/>
      <c r="R176" s="3"/>
      <c r="S176" s="3"/>
      <c r="AF176" s="415"/>
      <c r="AG176" s="416"/>
      <c r="AH176" s="416"/>
      <c r="AM176" s="416"/>
      <c r="AO176" s="426" t="s">
        <v>1737</v>
      </c>
    </row>
    <row r="177" spans="1:41" customFormat="1" ht="52.2" x14ac:dyDescent="0.3">
      <c r="A177" s="424"/>
      <c r="B177" s="425" t="s">
        <v>1703</v>
      </c>
      <c r="C177" s="917" t="s">
        <v>1704</v>
      </c>
      <c r="D177" s="917"/>
      <c r="E177" s="917"/>
      <c r="F177" s="917"/>
      <c r="G177" s="917"/>
      <c r="H177" s="917"/>
      <c r="I177" s="917"/>
      <c r="J177" s="917"/>
      <c r="K177" s="917"/>
      <c r="L177" s="917"/>
      <c r="M177" s="917"/>
      <c r="N177" s="918"/>
      <c r="R177" s="3"/>
      <c r="S177" s="3"/>
      <c r="AF177" s="415"/>
      <c r="AG177" s="416"/>
      <c r="AH177" s="416"/>
      <c r="AM177" s="416"/>
      <c r="AO177" s="426" t="s">
        <v>1704</v>
      </c>
    </row>
    <row r="178" spans="1:41" customFormat="1" ht="14.4" x14ac:dyDescent="0.3">
      <c r="A178" s="427"/>
      <c r="B178" s="425" t="s">
        <v>758</v>
      </c>
      <c r="C178" s="907" t="s">
        <v>1705</v>
      </c>
      <c r="D178" s="907"/>
      <c r="E178" s="907"/>
      <c r="F178" s="428"/>
      <c r="G178" s="429"/>
      <c r="H178" s="429"/>
      <c r="I178" s="429"/>
      <c r="J178" s="432">
        <v>14294</v>
      </c>
      <c r="K178" s="431">
        <v>0.92</v>
      </c>
      <c r="L178" s="432">
        <v>1709.56</v>
      </c>
      <c r="M178" s="431">
        <v>44.77</v>
      </c>
      <c r="N178" s="433">
        <v>76537</v>
      </c>
      <c r="R178" s="3"/>
      <c r="S178" s="3"/>
      <c r="AF178" s="415"/>
      <c r="AG178" s="416"/>
      <c r="AH178" s="416"/>
      <c r="AJ178" s="426" t="s">
        <v>1705</v>
      </c>
      <c r="AM178" s="416"/>
    </row>
    <row r="179" spans="1:41" customFormat="1" ht="14.4" x14ac:dyDescent="0.3">
      <c r="A179" s="427"/>
      <c r="B179" s="425" t="s">
        <v>761</v>
      </c>
      <c r="C179" s="907" t="s">
        <v>1718</v>
      </c>
      <c r="D179" s="907"/>
      <c r="E179" s="907"/>
      <c r="F179" s="428"/>
      <c r="G179" s="429"/>
      <c r="H179" s="429"/>
      <c r="I179" s="429"/>
      <c r="J179" s="432">
        <v>34575.980000000003</v>
      </c>
      <c r="K179" s="431">
        <v>0.92</v>
      </c>
      <c r="L179" s="432">
        <v>4135.29</v>
      </c>
      <c r="M179" s="431">
        <v>13.24</v>
      </c>
      <c r="N179" s="433">
        <v>54751.24</v>
      </c>
      <c r="R179" s="3"/>
      <c r="S179" s="3"/>
      <c r="AF179" s="415"/>
      <c r="AG179" s="416"/>
      <c r="AH179" s="416"/>
      <c r="AJ179" s="426" t="s">
        <v>1718</v>
      </c>
      <c r="AM179" s="416"/>
    </row>
    <row r="180" spans="1:41" customFormat="1" ht="14.4" x14ac:dyDescent="0.3">
      <c r="A180" s="427"/>
      <c r="B180" s="425" t="s">
        <v>1144</v>
      </c>
      <c r="C180" s="907" t="s">
        <v>1719</v>
      </c>
      <c r="D180" s="907"/>
      <c r="E180" s="907"/>
      <c r="F180" s="428"/>
      <c r="G180" s="429"/>
      <c r="H180" s="429"/>
      <c r="I180" s="429"/>
      <c r="J180" s="432">
        <v>3810.97</v>
      </c>
      <c r="K180" s="431">
        <v>0.92</v>
      </c>
      <c r="L180" s="430">
        <v>455.79</v>
      </c>
      <c r="M180" s="431">
        <v>44.77</v>
      </c>
      <c r="N180" s="433">
        <v>20405.72</v>
      </c>
      <c r="R180" s="3"/>
      <c r="S180" s="3"/>
      <c r="AF180" s="415"/>
      <c r="AG180" s="416"/>
      <c r="AH180" s="416"/>
      <c r="AJ180" s="426" t="s">
        <v>1719</v>
      </c>
      <c r="AM180" s="416"/>
    </row>
    <row r="181" spans="1:41" customFormat="1" ht="14.4" x14ac:dyDescent="0.3">
      <c r="A181" s="427"/>
      <c r="B181" s="425" t="s">
        <v>586</v>
      </c>
      <c r="C181" s="907" t="s">
        <v>1738</v>
      </c>
      <c r="D181" s="907"/>
      <c r="E181" s="907"/>
      <c r="F181" s="428"/>
      <c r="G181" s="429"/>
      <c r="H181" s="429"/>
      <c r="I181" s="429"/>
      <c r="J181" s="432">
        <v>36937.43</v>
      </c>
      <c r="K181" s="443">
        <v>0</v>
      </c>
      <c r="L181" s="430">
        <v>0</v>
      </c>
      <c r="M181" s="431">
        <v>8.16</v>
      </c>
      <c r="N181" s="437"/>
      <c r="R181" s="3"/>
      <c r="S181" s="3"/>
      <c r="AF181" s="415"/>
      <c r="AG181" s="416"/>
      <c r="AH181" s="416"/>
      <c r="AJ181" s="426" t="s">
        <v>1738</v>
      </c>
      <c r="AM181" s="416"/>
    </row>
    <row r="182" spans="1:41" customFormat="1" ht="14.4" x14ac:dyDescent="0.3">
      <c r="A182" s="434"/>
      <c r="B182" s="425"/>
      <c r="C182" s="907" t="s">
        <v>1706</v>
      </c>
      <c r="D182" s="907"/>
      <c r="E182" s="907"/>
      <c r="F182" s="428" t="s">
        <v>1707</v>
      </c>
      <c r="G182" s="443">
        <v>1400</v>
      </c>
      <c r="H182" s="431">
        <v>0.92</v>
      </c>
      <c r="I182" s="431">
        <v>167.44</v>
      </c>
      <c r="J182" s="436"/>
      <c r="K182" s="429"/>
      <c r="L182" s="436"/>
      <c r="M182" s="429"/>
      <c r="N182" s="437"/>
      <c r="R182" s="3"/>
      <c r="S182" s="3"/>
      <c r="AF182" s="415"/>
      <c r="AG182" s="416"/>
      <c r="AH182" s="416"/>
      <c r="AK182" s="426" t="s">
        <v>1706</v>
      </c>
      <c r="AM182" s="416"/>
    </row>
    <row r="183" spans="1:41" customFormat="1" ht="14.4" x14ac:dyDescent="0.3">
      <c r="A183" s="434"/>
      <c r="B183" s="425"/>
      <c r="C183" s="907" t="s">
        <v>1720</v>
      </c>
      <c r="D183" s="907"/>
      <c r="E183" s="907"/>
      <c r="F183" s="428" t="s">
        <v>1707</v>
      </c>
      <c r="G183" s="431">
        <v>282.72000000000003</v>
      </c>
      <c r="H183" s="431">
        <v>0.92</v>
      </c>
      <c r="I183" s="457">
        <v>33.813312000000003</v>
      </c>
      <c r="J183" s="436"/>
      <c r="K183" s="429"/>
      <c r="L183" s="436"/>
      <c r="M183" s="429"/>
      <c r="N183" s="437"/>
      <c r="R183" s="3"/>
      <c r="S183" s="3"/>
      <c r="AF183" s="415"/>
      <c r="AG183" s="416"/>
      <c r="AH183" s="416"/>
      <c r="AK183" s="426" t="s">
        <v>1720</v>
      </c>
      <c r="AM183" s="416"/>
    </row>
    <row r="184" spans="1:41" customFormat="1" ht="14.4" x14ac:dyDescent="0.3">
      <c r="A184" s="427"/>
      <c r="B184" s="425"/>
      <c r="C184" s="908" t="s">
        <v>1708</v>
      </c>
      <c r="D184" s="908"/>
      <c r="E184" s="908"/>
      <c r="F184" s="438"/>
      <c r="G184" s="439"/>
      <c r="H184" s="439"/>
      <c r="I184" s="439"/>
      <c r="J184" s="441">
        <v>85807.41</v>
      </c>
      <c r="K184" s="439"/>
      <c r="L184" s="441">
        <v>5844.85</v>
      </c>
      <c r="M184" s="439"/>
      <c r="N184" s="442">
        <v>131288.24</v>
      </c>
      <c r="R184" s="3"/>
      <c r="S184" s="3"/>
      <c r="AF184" s="415"/>
      <c r="AG184" s="416"/>
      <c r="AH184" s="416"/>
      <c r="AL184" s="426" t="s">
        <v>1708</v>
      </c>
      <c r="AM184" s="416"/>
    </row>
    <row r="185" spans="1:41" customFormat="1" ht="14.4" x14ac:dyDescent="0.3">
      <c r="A185" s="434"/>
      <c r="B185" s="425"/>
      <c r="C185" s="907" t="s">
        <v>1709</v>
      </c>
      <c r="D185" s="907"/>
      <c r="E185" s="907"/>
      <c r="F185" s="428"/>
      <c r="G185" s="429"/>
      <c r="H185" s="429"/>
      <c r="I185" s="429"/>
      <c r="J185" s="436"/>
      <c r="K185" s="429"/>
      <c r="L185" s="432">
        <v>2165.35</v>
      </c>
      <c r="M185" s="429"/>
      <c r="N185" s="433">
        <v>96942.720000000001</v>
      </c>
      <c r="R185" s="3"/>
      <c r="S185" s="3"/>
      <c r="AF185" s="415"/>
      <c r="AG185" s="416"/>
      <c r="AH185" s="416"/>
      <c r="AK185" s="426" t="s">
        <v>1709</v>
      </c>
      <c r="AM185" s="416"/>
    </row>
    <row r="186" spans="1:41" customFormat="1" ht="21.6" x14ac:dyDescent="0.3">
      <c r="A186" s="434"/>
      <c r="B186" s="425" t="s">
        <v>1739</v>
      </c>
      <c r="C186" s="907" t="s">
        <v>1740</v>
      </c>
      <c r="D186" s="907"/>
      <c r="E186" s="907"/>
      <c r="F186" s="428" t="s">
        <v>1712</v>
      </c>
      <c r="G186" s="443">
        <v>110</v>
      </c>
      <c r="H186" s="429"/>
      <c r="I186" s="443">
        <v>110</v>
      </c>
      <c r="J186" s="436"/>
      <c r="K186" s="429"/>
      <c r="L186" s="432">
        <v>2381.89</v>
      </c>
      <c r="M186" s="429"/>
      <c r="N186" s="433">
        <v>106636.99</v>
      </c>
      <c r="R186" s="3"/>
      <c r="S186" s="3"/>
      <c r="AF186" s="415"/>
      <c r="AG186" s="416"/>
      <c r="AH186" s="416"/>
      <c r="AK186" s="426" t="s">
        <v>1740</v>
      </c>
      <c r="AM186" s="416"/>
    </row>
    <row r="187" spans="1:41" customFormat="1" ht="21.6" x14ac:dyDescent="0.3">
      <c r="A187" s="434"/>
      <c r="B187" s="425" t="s">
        <v>1741</v>
      </c>
      <c r="C187" s="907" t="s">
        <v>1742</v>
      </c>
      <c r="D187" s="907"/>
      <c r="E187" s="907"/>
      <c r="F187" s="428" t="s">
        <v>1712</v>
      </c>
      <c r="G187" s="443">
        <v>73</v>
      </c>
      <c r="H187" s="429"/>
      <c r="I187" s="443">
        <v>73</v>
      </c>
      <c r="J187" s="436"/>
      <c r="K187" s="429"/>
      <c r="L187" s="432">
        <v>1580.71</v>
      </c>
      <c r="M187" s="429"/>
      <c r="N187" s="433">
        <v>70768.19</v>
      </c>
      <c r="R187" s="3"/>
      <c r="S187" s="3"/>
      <c r="AF187" s="415"/>
      <c r="AG187" s="416"/>
      <c r="AH187" s="416"/>
      <c r="AK187" s="426" t="s">
        <v>1742</v>
      </c>
      <c r="AM187" s="416"/>
    </row>
    <row r="188" spans="1:41" customFormat="1" ht="14.4" x14ac:dyDescent="0.3">
      <c r="A188" s="444"/>
      <c r="B188" s="445"/>
      <c r="C188" s="916" t="s">
        <v>1715</v>
      </c>
      <c r="D188" s="916"/>
      <c r="E188" s="916"/>
      <c r="F188" s="419"/>
      <c r="G188" s="420"/>
      <c r="H188" s="420"/>
      <c r="I188" s="420"/>
      <c r="J188" s="422"/>
      <c r="K188" s="420"/>
      <c r="L188" s="446">
        <v>9807.4500000000007</v>
      </c>
      <c r="M188" s="439"/>
      <c r="N188" s="447">
        <v>308693.42</v>
      </c>
      <c r="R188" s="3"/>
      <c r="S188" s="3"/>
      <c r="AF188" s="415"/>
      <c r="AG188" s="416"/>
      <c r="AH188" s="416"/>
      <c r="AM188" s="416" t="s">
        <v>1715</v>
      </c>
    </row>
    <row r="189" spans="1:41" customFormat="1" ht="31.8" x14ac:dyDescent="0.3">
      <c r="A189" s="417" t="s">
        <v>1786</v>
      </c>
      <c r="B189" s="418" t="s">
        <v>1938</v>
      </c>
      <c r="C189" s="916" t="s">
        <v>1939</v>
      </c>
      <c r="D189" s="916"/>
      <c r="E189" s="916"/>
      <c r="F189" s="419" t="s">
        <v>1916</v>
      </c>
      <c r="G189" s="420">
        <v>0.22</v>
      </c>
      <c r="H189" s="421">
        <v>1</v>
      </c>
      <c r="I189" s="448">
        <v>0.22</v>
      </c>
      <c r="J189" s="422"/>
      <c r="K189" s="420"/>
      <c r="L189" s="422"/>
      <c r="M189" s="420"/>
      <c r="N189" s="423"/>
      <c r="R189" s="3"/>
      <c r="S189" s="3"/>
      <c r="AF189" s="415"/>
      <c r="AG189" s="416"/>
      <c r="AH189" s="416" t="s">
        <v>1939</v>
      </c>
      <c r="AM189" s="416"/>
    </row>
    <row r="190" spans="1:41" customFormat="1" ht="14.4" x14ac:dyDescent="0.3">
      <c r="A190" s="450"/>
      <c r="B190" s="451"/>
      <c r="C190" s="907" t="s">
        <v>1940</v>
      </c>
      <c r="D190" s="907"/>
      <c r="E190" s="907"/>
      <c r="F190" s="907"/>
      <c r="G190" s="907"/>
      <c r="H190" s="907"/>
      <c r="I190" s="907"/>
      <c r="J190" s="907"/>
      <c r="K190" s="907"/>
      <c r="L190" s="907"/>
      <c r="M190" s="907"/>
      <c r="N190" s="919"/>
      <c r="R190" s="3"/>
      <c r="S190" s="3"/>
      <c r="AF190" s="415"/>
      <c r="AG190" s="416"/>
      <c r="AH190" s="416"/>
      <c r="AI190" s="426" t="s">
        <v>1940</v>
      </c>
      <c r="AM190" s="416"/>
    </row>
    <row r="191" spans="1:41" customFormat="1" ht="20.399999999999999" x14ac:dyDescent="0.3">
      <c r="A191" s="424"/>
      <c r="B191" s="425" t="s">
        <v>1736</v>
      </c>
      <c r="C191" s="917" t="s">
        <v>1737</v>
      </c>
      <c r="D191" s="917"/>
      <c r="E191" s="917"/>
      <c r="F191" s="917"/>
      <c r="G191" s="917"/>
      <c r="H191" s="917"/>
      <c r="I191" s="917"/>
      <c r="J191" s="917"/>
      <c r="K191" s="917"/>
      <c r="L191" s="917"/>
      <c r="M191" s="917"/>
      <c r="N191" s="918"/>
      <c r="R191" s="3"/>
      <c r="S191" s="3"/>
      <c r="AF191" s="415"/>
      <c r="AG191" s="416"/>
      <c r="AH191" s="416"/>
      <c r="AM191" s="416"/>
      <c r="AO191" s="426" t="s">
        <v>1737</v>
      </c>
    </row>
    <row r="192" spans="1:41" customFormat="1" ht="52.2" x14ac:dyDescent="0.3">
      <c r="A192" s="424"/>
      <c r="B192" s="425" t="s">
        <v>1703</v>
      </c>
      <c r="C192" s="917" t="s">
        <v>1704</v>
      </c>
      <c r="D192" s="917"/>
      <c r="E192" s="917"/>
      <c r="F192" s="917"/>
      <c r="G192" s="917"/>
      <c r="H192" s="917"/>
      <c r="I192" s="917"/>
      <c r="J192" s="917"/>
      <c r="K192" s="917"/>
      <c r="L192" s="917"/>
      <c r="M192" s="917"/>
      <c r="N192" s="918"/>
      <c r="R192" s="3"/>
      <c r="S192" s="3"/>
      <c r="AF192" s="415"/>
      <c r="AG192" s="416"/>
      <c r="AH192" s="416"/>
      <c r="AM192" s="416"/>
      <c r="AO192" s="426" t="s">
        <v>1704</v>
      </c>
    </row>
    <row r="193" spans="1:40" customFormat="1" ht="14.4" x14ac:dyDescent="0.3">
      <c r="A193" s="427"/>
      <c r="B193" s="425" t="s">
        <v>758</v>
      </c>
      <c r="C193" s="907" t="s">
        <v>1705</v>
      </c>
      <c r="D193" s="907"/>
      <c r="E193" s="907"/>
      <c r="F193" s="428"/>
      <c r="G193" s="429"/>
      <c r="H193" s="429"/>
      <c r="I193" s="429"/>
      <c r="J193" s="432">
        <v>9067.0400000000009</v>
      </c>
      <c r="K193" s="431">
        <v>0.92</v>
      </c>
      <c r="L193" s="432">
        <v>1835.17</v>
      </c>
      <c r="M193" s="431">
        <v>44.77</v>
      </c>
      <c r="N193" s="433">
        <v>82160.56</v>
      </c>
      <c r="R193" s="3"/>
      <c r="S193" s="3"/>
      <c r="AF193" s="415"/>
      <c r="AG193" s="416"/>
      <c r="AH193" s="416"/>
      <c r="AJ193" s="426" t="s">
        <v>1705</v>
      </c>
      <c r="AM193" s="416"/>
    </row>
    <row r="194" spans="1:40" customFormat="1" ht="14.4" x14ac:dyDescent="0.3">
      <c r="A194" s="427"/>
      <c r="B194" s="425" t="s">
        <v>761</v>
      </c>
      <c r="C194" s="907" t="s">
        <v>1718</v>
      </c>
      <c r="D194" s="907"/>
      <c r="E194" s="907"/>
      <c r="F194" s="428"/>
      <c r="G194" s="429"/>
      <c r="H194" s="429"/>
      <c r="I194" s="429"/>
      <c r="J194" s="432">
        <v>19148.189999999999</v>
      </c>
      <c r="K194" s="431">
        <v>0.92</v>
      </c>
      <c r="L194" s="432">
        <v>3875.59</v>
      </c>
      <c r="M194" s="431">
        <v>13.24</v>
      </c>
      <c r="N194" s="433">
        <v>51312.81</v>
      </c>
      <c r="R194" s="3"/>
      <c r="S194" s="3"/>
      <c r="AF194" s="415"/>
      <c r="AG194" s="416"/>
      <c r="AH194" s="416"/>
      <c r="AJ194" s="426" t="s">
        <v>1718</v>
      </c>
      <c r="AM194" s="416"/>
    </row>
    <row r="195" spans="1:40" customFormat="1" ht="14.4" x14ac:dyDescent="0.3">
      <c r="A195" s="427"/>
      <c r="B195" s="425" t="s">
        <v>1144</v>
      </c>
      <c r="C195" s="907" t="s">
        <v>1719</v>
      </c>
      <c r="D195" s="907"/>
      <c r="E195" s="907"/>
      <c r="F195" s="428"/>
      <c r="G195" s="429"/>
      <c r="H195" s="429"/>
      <c r="I195" s="429"/>
      <c r="J195" s="432">
        <v>2016.24</v>
      </c>
      <c r="K195" s="431">
        <v>0.92</v>
      </c>
      <c r="L195" s="430">
        <v>408.09</v>
      </c>
      <c r="M195" s="431">
        <v>44.77</v>
      </c>
      <c r="N195" s="433">
        <v>18270.189999999999</v>
      </c>
      <c r="R195" s="3"/>
      <c r="S195" s="3"/>
      <c r="AF195" s="415"/>
      <c r="AG195" s="416"/>
      <c r="AH195" s="416"/>
      <c r="AJ195" s="426" t="s">
        <v>1719</v>
      </c>
      <c r="AM195" s="416"/>
    </row>
    <row r="196" spans="1:40" customFormat="1" ht="14.4" x14ac:dyDescent="0.3">
      <c r="A196" s="427"/>
      <c r="B196" s="425" t="s">
        <v>586</v>
      </c>
      <c r="C196" s="907" t="s">
        <v>1738</v>
      </c>
      <c r="D196" s="907"/>
      <c r="E196" s="907"/>
      <c r="F196" s="428"/>
      <c r="G196" s="429"/>
      <c r="H196" s="429"/>
      <c r="I196" s="429"/>
      <c r="J196" s="432">
        <v>21380.35</v>
      </c>
      <c r="K196" s="443">
        <v>0</v>
      </c>
      <c r="L196" s="430">
        <v>0</v>
      </c>
      <c r="M196" s="431">
        <v>8.16</v>
      </c>
      <c r="N196" s="437"/>
      <c r="R196" s="3"/>
      <c r="S196" s="3"/>
      <c r="AF196" s="415"/>
      <c r="AG196" s="416"/>
      <c r="AH196" s="416"/>
      <c r="AJ196" s="426" t="s">
        <v>1738</v>
      </c>
      <c r="AM196" s="416"/>
    </row>
    <row r="197" spans="1:40" customFormat="1" ht="14.4" x14ac:dyDescent="0.3">
      <c r="A197" s="434"/>
      <c r="B197" s="425"/>
      <c r="C197" s="907" t="s">
        <v>1706</v>
      </c>
      <c r="D197" s="907"/>
      <c r="E197" s="907"/>
      <c r="F197" s="428" t="s">
        <v>1707</v>
      </c>
      <c r="G197" s="443">
        <v>929</v>
      </c>
      <c r="H197" s="431">
        <v>0.92</v>
      </c>
      <c r="I197" s="453">
        <v>188.02959999999999</v>
      </c>
      <c r="J197" s="436"/>
      <c r="K197" s="429"/>
      <c r="L197" s="436"/>
      <c r="M197" s="429"/>
      <c r="N197" s="437"/>
      <c r="R197" s="3"/>
      <c r="S197" s="3"/>
      <c r="AF197" s="415"/>
      <c r="AG197" s="416"/>
      <c r="AH197" s="416"/>
      <c r="AK197" s="426" t="s">
        <v>1706</v>
      </c>
      <c r="AM197" s="416"/>
    </row>
    <row r="198" spans="1:40" customFormat="1" ht="14.4" x14ac:dyDescent="0.3">
      <c r="A198" s="434"/>
      <c r="B198" s="425"/>
      <c r="C198" s="907" t="s">
        <v>1720</v>
      </c>
      <c r="D198" s="907"/>
      <c r="E198" s="907"/>
      <c r="F198" s="428" t="s">
        <v>1707</v>
      </c>
      <c r="G198" s="458">
        <v>149.6</v>
      </c>
      <c r="H198" s="431">
        <v>0.92</v>
      </c>
      <c r="I198" s="459">
        <v>30.279039999999998</v>
      </c>
      <c r="J198" s="436"/>
      <c r="K198" s="429"/>
      <c r="L198" s="436"/>
      <c r="M198" s="429"/>
      <c r="N198" s="437"/>
      <c r="R198" s="3"/>
      <c r="S198" s="3"/>
      <c r="AF198" s="415"/>
      <c r="AG198" s="416"/>
      <c r="AH198" s="416"/>
      <c r="AK198" s="426" t="s">
        <v>1720</v>
      </c>
      <c r="AM198" s="416"/>
    </row>
    <row r="199" spans="1:40" customFormat="1" ht="14.4" x14ac:dyDescent="0.3">
      <c r="A199" s="427"/>
      <c r="B199" s="425"/>
      <c r="C199" s="908" t="s">
        <v>1708</v>
      </c>
      <c r="D199" s="908"/>
      <c r="E199" s="908"/>
      <c r="F199" s="438"/>
      <c r="G199" s="439"/>
      <c r="H199" s="439"/>
      <c r="I199" s="439"/>
      <c r="J199" s="441">
        <v>49595.58</v>
      </c>
      <c r="K199" s="439"/>
      <c r="L199" s="441">
        <v>5710.76</v>
      </c>
      <c r="M199" s="439"/>
      <c r="N199" s="442">
        <v>133473.37</v>
      </c>
      <c r="R199" s="3"/>
      <c r="S199" s="3"/>
      <c r="AF199" s="415"/>
      <c r="AG199" s="416"/>
      <c r="AH199" s="416"/>
      <c r="AL199" s="426" t="s">
        <v>1708</v>
      </c>
      <c r="AM199" s="416"/>
    </row>
    <row r="200" spans="1:40" customFormat="1" ht="14.4" x14ac:dyDescent="0.3">
      <c r="A200" s="434"/>
      <c r="B200" s="425"/>
      <c r="C200" s="907" t="s">
        <v>1709</v>
      </c>
      <c r="D200" s="907"/>
      <c r="E200" s="907"/>
      <c r="F200" s="428"/>
      <c r="G200" s="429"/>
      <c r="H200" s="429"/>
      <c r="I200" s="429"/>
      <c r="J200" s="436"/>
      <c r="K200" s="429"/>
      <c r="L200" s="432">
        <v>2243.2600000000002</v>
      </c>
      <c r="M200" s="429"/>
      <c r="N200" s="433">
        <v>100430.75</v>
      </c>
      <c r="R200" s="3"/>
      <c r="S200" s="3"/>
      <c r="AF200" s="415"/>
      <c r="AG200" s="416"/>
      <c r="AH200" s="416"/>
      <c r="AK200" s="426" t="s">
        <v>1709</v>
      </c>
      <c r="AM200" s="416"/>
    </row>
    <row r="201" spans="1:40" customFormat="1" ht="21.6" x14ac:dyDescent="0.3">
      <c r="A201" s="434"/>
      <c r="B201" s="425" t="s">
        <v>1739</v>
      </c>
      <c r="C201" s="907" t="s">
        <v>1740</v>
      </c>
      <c r="D201" s="907"/>
      <c r="E201" s="907"/>
      <c r="F201" s="428" t="s">
        <v>1712</v>
      </c>
      <c r="G201" s="443">
        <v>110</v>
      </c>
      <c r="H201" s="429"/>
      <c r="I201" s="443">
        <v>110</v>
      </c>
      <c r="J201" s="436"/>
      <c r="K201" s="429"/>
      <c r="L201" s="432">
        <v>2467.59</v>
      </c>
      <c r="M201" s="429"/>
      <c r="N201" s="433">
        <v>110473.83</v>
      </c>
      <c r="R201" s="3"/>
      <c r="S201" s="3"/>
      <c r="AF201" s="415"/>
      <c r="AG201" s="416"/>
      <c r="AH201" s="416"/>
      <c r="AK201" s="426" t="s">
        <v>1740</v>
      </c>
      <c r="AM201" s="416"/>
    </row>
    <row r="202" spans="1:40" customFormat="1" ht="21.6" x14ac:dyDescent="0.3">
      <c r="A202" s="434"/>
      <c r="B202" s="425" t="s">
        <v>1741</v>
      </c>
      <c r="C202" s="907" t="s">
        <v>1742</v>
      </c>
      <c r="D202" s="907"/>
      <c r="E202" s="907"/>
      <c r="F202" s="428" t="s">
        <v>1712</v>
      </c>
      <c r="G202" s="443">
        <v>73</v>
      </c>
      <c r="H202" s="429"/>
      <c r="I202" s="443">
        <v>73</v>
      </c>
      <c r="J202" s="436"/>
      <c r="K202" s="429"/>
      <c r="L202" s="432">
        <v>1637.58</v>
      </c>
      <c r="M202" s="429"/>
      <c r="N202" s="433">
        <v>73314.45</v>
      </c>
      <c r="R202" s="3"/>
      <c r="S202" s="3"/>
      <c r="AF202" s="415"/>
      <c r="AG202" s="416"/>
      <c r="AH202" s="416"/>
      <c r="AK202" s="426" t="s">
        <v>1742</v>
      </c>
      <c r="AM202" s="416"/>
    </row>
    <row r="203" spans="1:40" customFormat="1" ht="14.4" x14ac:dyDescent="0.3">
      <c r="A203" s="444"/>
      <c r="B203" s="445"/>
      <c r="C203" s="916" t="s">
        <v>1715</v>
      </c>
      <c r="D203" s="916"/>
      <c r="E203" s="916"/>
      <c r="F203" s="419"/>
      <c r="G203" s="420"/>
      <c r="H203" s="420"/>
      <c r="I203" s="420"/>
      <c r="J203" s="422"/>
      <c r="K203" s="420"/>
      <c r="L203" s="446">
        <v>9815.93</v>
      </c>
      <c r="M203" s="439"/>
      <c r="N203" s="447">
        <v>317261.65000000002</v>
      </c>
      <c r="R203" s="3"/>
      <c r="S203" s="3"/>
      <c r="AF203" s="415"/>
      <c r="AG203" s="416"/>
      <c r="AH203" s="416"/>
      <c r="AM203" s="416" t="s">
        <v>1715</v>
      </c>
    </row>
    <row r="204" spans="1:40" customFormat="1" ht="31.8" x14ac:dyDescent="0.3">
      <c r="A204" s="417" t="s">
        <v>766</v>
      </c>
      <c r="B204" s="418" t="s">
        <v>1941</v>
      </c>
      <c r="C204" s="916" t="s">
        <v>1942</v>
      </c>
      <c r="D204" s="916"/>
      <c r="E204" s="916"/>
      <c r="F204" s="419" t="s">
        <v>1723</v>
      </c>
      <c r="G204" s="420">
        <v>204.36</v>
      </c>
      <c r="H204" s="421">
        <v>1</v>
      </c>
      <c r="I204" s="448">
        <v>204.36</v>
      </c>
      <c r="J204" s="449">
        <v>10.15</v>
      </c>
      <c r="K204" s="420"/>
      <c r="L204" s="446">
        <v>2074.25</v>
      </c>
      <c r="M204" s="448">
        <v>13.24</v>
      </c>
      <c r="N204" s="447">
        <v>27463.07</v>
      </c>
      <c r="R204" s="3"/>
      <c r="S204" s="3"/>
      <c r="AF204" s="415"/>
      <c r="AG204" s="416"/>
      <c r="AH204" s="416" t="s">
        <v>1942</v>
      </c>
      <c r="AM204" s="416"/>
    </row>
    <row r="205" spans="1:40" customFormat="1" ht="14.4" x14ac:dyDescent="0.3">
      <c r="A205" s="444"/>
      <c r="B205" s="445"/>
      <c r="C205" s="907" t="s">
        <v>1745</v>
      </c>
      <c r="D205" s="907"/>
      <c r="E205" s="907"/>
      <c r="F205" s="907"/>
      <c r="G205" s="907"/>
      <c r="H205" s="907"/>
      <c r="I205" s="907"/>
      <c r="J205" s="907"/>
      <c r="K205" s="907"/>
      <c r="L205" s="907"/>
      <c r="M205" s="907"/>
      <c r="N205" s="919"/>
      <c r="R205" s="3"/>
      <c r="S205" s="3"/>
      <c r="AF205" s="415"/>
      <c r="AG205" s="416"/>
      <c r="AH205" s="416"/>
      <c r="AM205" s="416"/>
      <c r="AN205" s="426" t="s">
        <v>1745</v>
      </c>
    </row>
    <row r="206" spans="1:40" customFormat="1" ht="14.4" x14ac:dyDescent="0.3">
      <c r="A206" s="450"/>
      <c r="B206" s="451"/>
      <c r="C206" s="907" t="s">
        <v>1943</v>
      </c>
      <c r="D206" s="907"/>
      <c r="E206" s="907"/>
      <c r="F206" s="907"/>
      <c r="G206" s="907"/>
      <c r="H206" s="907"/>
      <c r="I206" s="907"/>
      <c r="J206" s="907"/>
      <c r="K206" s="907"/>
      <c r="L206" s="907"/>
      <c r="M206" s="907"/>
      <c r="N206" s="919"/>
      <c r="R206" s="3"/>
      <c r="S206" s="3"/>
      <c r="AF206" s="415"/>
      <c r="AG206" s="416"/>
      <c r="AH206" s="416"/>
      <c r="AI206" s="426" t="s">
        <v>1943</v>
      </c>
      <c r="AM206" s="416"/>
    </row>
    <row r="207" spans="1:40" customFormat="1" ht="14.4" x14ac:dyDescent="0.3">
      <c r="A207" s="444"/>
      <c r="B207" s="445"/>
      <c r="C207" s="916" t="s">
        <v>1715</v>
      </c>
      <c r="D207" s="916"/>
      <c r="E207" s="916"/>
      <c r="F207" s="419"/>
      <c r="G207" s="420"/>
      <c r="H207" s="420"/>
      <c r="I207" s="420"/>
      <c r="J207" s="422"/>
      <c r="K207" s="420"/>
      <c r="L207" s="446">
        <v>2074.25</v>
      </c>
      <c r="M207" s="439"/>
      <c r="N207" s="447">
        <v>27463.07</v>
      </c>
      <c r="R207" s="3"/>
      <c r="S207" s="3"/>
      <c r="AF207" s="415"/>
      <c r="AG207" s="416"/>
      <c r="AH207" s="416"/>
      <c r="AM207" s="416" t="s">
        <v>1715</v>
      </c>
    </row>
    <row r="208" spans="1:40" customFormat="1" ht="31.8" x14ac:dyDescent="0.3">
      <c r="A208" s="417" t="s">
        <v>1789</v>
      </c>
      <c r="B208" s="418" t="s">
        <v>1923</v>
      </c>
      <c r="C208" s="916" t="s">
        <v>1924</v>
      </c>
      <c r="D208" s="916"/>
      <c r="E208" s="916"/>
      <c r="F208" s="419" t="s">
        <v>1723</v>
      </c>
      <c r="G208" s="420">
        <v>204.36</v>
      </c>
      <c r="H208" s="421">
        <v>1</v>
      </c>
      <c r="I208" s="448">
        <v>204.36</v>
      </c>
      <c r="J208" s="449">
        <v>8.7899999999999991</v>
      </c>
      <c r="K208" s="420"/>
      <c r="L208" s="446">
        <v>1796.32</v>
      </c>
      <c r="M208" s="448">
        <v>13.62</v>
      </c>
      <c r="N208" s="447">
        <v>24465.88</v>
      </c>
      <c r="R208" s="3"/>
      <c r="S208" s="3"/>
      <c r="AF208" s="415"/>
      <c r="AG208" s="416"/>
      <c r="AH208" s="416" t="s">
        <v>1924</v>
      </c>
      <c r="AM208" s="416"/>
    </row>
    <row r="209" spans="1:42" customFormat="1" ht="14.4" x14ac:dyDescent="0.3">
      <c r="A209" s="444"/>
      <c r="B209" s="445"/>
      <c r="C209" s="907" t="s">
        <v>1925</v>
      </c>
      <c r="D209" s="907"/>
      <c r="E209" s="907"/>
      <c r="F209" s="907"/>
      <c r="G209" s="907"/>
      <c r="H209" s="907"/>
      <c r="I209" s="907"/>
      <c r="J209" s="907"/>
      <c r="K209" s="907"/>
      <c r="L209" s="907"/>
      <c r="M209" s="907"/>
      <c r="N209" s="919"/>
      <c r="R209" s="3"/>
      <c r="S209" s="3"/>
      <c r="AF209" s="415"/>
      <c r="AG209" s="416"/>
      <c r="AH209" s="416"/>
      <c r="AM209" s="416"/>
      <c r="AN209" s="426" t="s">
        <v>1925</v>
      </c>
    </row>
    <row r="210" spans="1:42" customFormat="1" ht="14.4" x14ac:dyDescent="0.3">
      <c r="A210" s="444"/>
      <c r="B210" s="445"/>
      <c r="C210" s="916" t="s">
        <v>1715</v>
      </c>
      <c r="D210" s="916"/>
      <c r="E210" s="916"/>
      <c r="F210" s="419"/>
      <c r="G210" s="420"/>
      <c r="H210" s="420"/>
      <c r="I210" s="420"/>
      <c r="J210" s="422"/>
      <c r="K210" s="420"/>
      <c r="L210" s="446">
        <v>1796.32</v>
      </c>
      <c r="M210" s="439"/>
      <c r="N210" s="447">
        <v>24465.88</v>
      </c>
      <c r="R210" s="3"/>
      <c r="S210" s="3"/>
      <c r="AF210" s="415"/>
      <c r="AG210" s="416"/>
      <c r="AH210" s="416"/>
      <c r="AM210" s="416" t="s">
        <v>1715</v>
      </c>
    </row>
    <row r="211" spans="1:42" customFormat="1" ht="31.8" x14ac:dyDescent="0.3">
      <c r="A211" s="417" t="s">
        <v>1791</v>
      </c>
      <c r="B211" s="418" t="s">
        <v>1944</v>
      </c>
      <c r="C211" s="916" t="s">
        <v>1945</v>
      </c>
      <c r="D211" s="916"/>
      <c r="E211" s="916"/>
      <c r="F211" s="419" t="s">
        <v>1723</v>
      </c>
      <c r="G211" s="420">
        <v>204.36</v>
      </c>
      <c r="H211" s="421">
        <v>1</v>
      </c>
      <c r="I211" s="448">
        <v>204.36</v>
      </c>
      <c r="J211" s="449">
        <v>10.15</v>
      </c>
      <c r="K211" s="420"/>
      <c r="L211" s="446">
        <v>2074.25</v>
      </c>
      <c r="M211" s="448">
        <v>13.24</v>
      </c>
      <c r="N211" s="447">
        <v>27463.07</v>
      </c>
      <c r="R211" s="3"/>
      <c r="S211" s="3"/>
      <c r="AF211" s="415"/>
      <c r="AG211" s="416"/>
      <c r="AH211" s="416" t="s">
        <v>1945</v>
      </c>
      <c r="AM211" s="416"/>
    </row>
    <row r="212" spans="1:42" customFormat="1" ht="14.4" x14ac:dyDescent="0.3">
      <c r="A212" s="444"/>
      <c r="B212" s="445"/>
      <c r="C212" s="907" t="s">
        <v>1745</v>
      </c>
      <c r="D212" s="907"/>
      <c r="E212" s="907"/>
      <c r="F212" s="907"/>
      <c r="G212" s="907"/>
      <c r="H212" s="907"/>
      <c r="I212" s="907"/>
      <c r="J212" s="907"/>
      <c r="K212" s="907"/>
      <c r="L212" s="907"/>
      <c r="M212" s="907"/>
      <c r="N212" s="919"/>
      <c r="R212" s="3"/>
      <c r="S212" s="3"/>
      <c r="AF212" s="415"/>
      <c r="AG212" s="416"/>
      <c r="AH212" s="416"/>
      <c r="AM212" s="416"/>
      <c r="AN212" s="426" t="s">
        <v>1745</v>
      </c>
    </row>
    <row r="213" spans="1:42" customFormat="1" ht="14.4" x14ac:dyDescent="0.3">
      <c r="A213" s="444"/>
      <c r="B213" s="445"/>
      <c r="C213" s="916" t="s">
        <v>1715</v>
      </c>
      <c r="D213" s="916"/>
      <c r="E213" s="916"/>
      <c r="F213" s="419"/>
      <c r="G213" s="420"/>
      <c r="H213" s="420"/>
      <c r="I213" s="420"/>
      <c r="J213" s="422"/>
      <c r="K213" s="420"/>
      <c r="L213" s="446">
        <v>2074.25</v>
      </c>
      <c r="M213" s="439"/>
      <c r="N213" s="447">
        <v>27463.07</v>
      </c>
      <c r="R213" s="3"/>
      <c r="S213" s="3"/>
      <c r="AF213" s="415"/>
      <c r="AG213" s="416"/>
      <c r="AH213" s="416"/>
      <c r="AM213" s="416" t="s">
        <v>1715</v>
      </c>
    </row>
    <row r="214" spans="1:42" customFormat="1" ht="31.8" x14ac:dyDescent="0.3">
      <c r="A214" s="417" t="s">
        <v>1794</v>
      </c>
      <c r="B214" s="418" t="s">
        <v>1941</v>
      </c>
      <c r="C214" s="916" t="s">
        <v>1942</v>
      </c>
      <c r="D214" s="916"/>
      <c r="E214" s="916"/>
      <c r="F214" s="419" t="s">
        <v>1723</v>
      </c>
      <c r="G214" s="420">
        <v>204.36</v>
      </c>
      <c r="H214" s="421">
        <v>1</v>
      </c>
      <c r="I214" s="448">
        <v>204.36</v>
      </c>
      <c r="J214" s="449">
        <v>10.15</v>
      </c>
      <c r="K214" s="420"/>
      <c r="L214" s="446">
        <v>2074.25</v>
      </c>
      <c r="M214" s="448">
        <v>13.24</v>
      </c>
      <c r="N214" s="447">
        <v>27463.07</v>
      </c>
      <c r="R214" s="3"/>
      <c r="S214" s="3"/>
      <c r="AF214" s="415"/>
      <c r="AG214" s="416"/>
      <c r="AH214" s="416" t="s">
        <v>1942</v>
      </c>
      <c r="AM214" s="416"/>
    </row>
    <row r="215" spans="1:42" customFormat="1" ht="14.4" x14ac:dyDescent="0.3">
      <c r="A215" s="444"/>
      <c r="B215" s="445"/>
      <c r="C215" s="907" t="s">
        <v>1745</v>
      </c>
      <c r="D215" s="907"/>
      <c r="E215" s="907"/>
      <c r="F215" s="907"/>
      <c r="G215" s="907"/>
      <c r="H215" s="907"/>
      <c r="I215" s="907"/>
      <c r="J215" s="907"/>
      <c r="K215" s="907"/>
      <c r="L215" s="907"/>
      <c r="M215" s="907"/>
      <c r="N215" s="919"/>
      <c r="R215" s="3"/>
      <c r="S215" s="3"/>
      <c r="AF215" s="415"/>
      <c r="AG215" s="416"/>
      <c r="AH215" s="416"/>
      <c r="AM215" s="416"/>
      <c r="AN215" s="426" t="s">
        <v>1745</v>
      </c>
    </row>
    <row r="216" spans="1:42" customFormat="1" ht="14.4" x14ac:dyDescent="0.3">
      <c r="A216" s="444"/>
      <c r="B216" s="445"/>
      <c r="C216" s="916" t="s">
        <v>1715</v>
      </c>
      <c r="D216" s="916"/>
      <c r="E216" s="916"/>
      <c r="F216" s="419"/>
      <c r="G216" s="420"/>
      <c r="H216" s="420"/>
      <c r="I216" s="420"/>
      <c r="J216" s="422"/>
      <c r="K216" s="420"/>
      <c r="L216" s="446">
        <v>2074.25</v>
      </c>
      <c r="M216" s="439"/>
      <c r="N216" s="447">
        <v>27463.07</v>
      </c>
      <c r="R216" s="3"/>
      <c r="S216" s="3"/>
      <c r="AF216" s="415"/>
      <c r="AG216" s="416"/>
      <c r="AH216" s="416"/>
      <c r="AM216" s="416" t="s">
        <v>1715</v>
      </c>
    </row>
    <row r="217" spans="1:42" customFormat="1" ht="21.6" x14ac:dyDescent="0.3">
      <c r="A217" s="417" t="s">
        <v>1796</v>
      </c>
      <c r="B217" s="418" t="s">
        <v>1726</v>
      </c>
      <c r="C217" s="916" t="s">
        <v>1727</v>
      </c>
      <c r="D217" s="916"/>
      <c r="E217" s="916"/>
      <c r="F217" s="419" t="s">
        <v>193</v>
      </c>
      <c r="G217" s="420">
        <v>44.72</v>
      </c>
      <c r="H217" s="421">
        <v>1</v>
      </c>
      <c r="I217" s="448">
        <v>44.72</v>
      </c>
      <c r="J217" s="449">
        <v>162.38</v>
      </c>
      <c r="K217" s="420"/>
      <c r="L217" s="446">
        <v>7261.63</v>
      </c>
      <c r="M217" s="448">
        <v>8.16</v>
      </c>
      <c r="N217" s="447">
        <v>59254.9</v>
      </c>
      <c r="R217" s="3"/>
      <c r="S217" s="3"/>
      <c r="AF217" s="415"/>
      <c r="AG217" s="416"/>
      <c r="AH217" s="416" t="s">
        <v>1727</v>
      </c>
      <c r="AM217" s="416"/>
    </row>
    <row r="218" spans="1:42" customFormat="1" ht="14.4" x14ac:dyDescent="0.3">
      <c r="A218" s="444"/>
      <c r="B218" s="445"/>
      <c r="C218" s="907" t="s">
        <v>1911</v>
      </c>
      <c r="D218" s="907"/>
      <c r="E218" s="907"/>
      <c r="F218" s="907"/>
      <c r="G218" s="907"/>
      <c r="H218" s="907"/>
      <c r="I218" s="907"/>
      <c r="J218" s="907"/>
      <c r="K218" s="907"/>
      <c r="L218" s="907"/>
      <c r="M218" s="907"/>
      <c r="N218" s="919"/>
      <c r="R218" s="3"/>
      <c r="S218" s="3"/>
      <c r="AF218" s="415"/>
      <c r="AG218" s="416"/>
      <c r="AH218" s="416"/>
      <c r="AM218" s="416"/>
      <c r="AN218" s="426" t="s">
        <v>1911</v>
      </c>
    </row>
    <row r="219" spans="1:42" customFormat="1" ht="14.4" x14ac:dyDescent="0.3">
      <c r="A219" s="450"/>
      <c r="B219" s="451"/>
      <c r="C219" s="907" t="s">
        <v>1946</v>
      </c>
      <c r="D219" s="907"/>
      <c r="E219" s="907"/>
      <c r="F219" s="907"/>
      <c r="G219" s="907"/>
      <c r="H219" s="907"/>
      <c r="I219" s="907"/>
      <c r="J219" s="907"/>
      <c r="K219" s="907"/>
      <c r="L219" s="907"/>
      <c r="M219" s="907"/>
      <c r="N219" s="919"/>
      <c r="R219" s="3"/>
      <c r="S219" s="3"/>
      <c r="AF219" s="415"/>
      <c r="AG219" s="416"/>
      <c r="AH219" s="416"/>
      <c r="AI219" s="426" t="s">
        <v>1946</v>
      </c>
      <c r="AM219" s="416"/>
    </row>
    <row r="220" spans="1:42" customFormat="1" ht="14.4" x14ac:dyDescent="0.3">
      <c r="A220" s="450"/>
      <c r="B220" s="451"/>
      <c r="C220" s="907" t="s">
        <v>1730</v>
      </c>
      <c r="D220" s="907"/>
      <c r="E220" s="907"/>
      <c r="F220" s="907"/>
      <c r="G220" s="907"/>
      <c r="H220" s="907"/>
      <c r="I220" s="907"/>
      <c r="J220" s="907"/>
      <c r="K220" s="907"/>
      <c r="L220" s="907"/>
      <c r="M220" s="907"/>
      <c r="N220" s="919"/>
      <c r="R220" s="3"/>
      <c r="S220" s="3"/>
      <c r="AF220" s="415"/>
      <c r="AG220" s="416"/>
      <c r="AH220" s="416"/>
      <c r="AM220" s="416"/>
      <c r="AP220" s="426" t="s">
        <v>1730</v>
      </c>
    </row>
    <row r="221" spans="1:42" customFormat="1" ht="14.4" x14ac:dyDescent="0.3">
      <c r="A221" s="444"/>
      <c r="B221" s="445"/>
      <c r="C221" s="916" t="s">
        <v>1715</v>
      </c>
      <c r="D221" s="916"/>
      <c r="E221" s="916"/>
      <c r="F221" s="419"/>
      <c r="G221" s="420"/>
      <c r="H221" s="420"/>
      <c r="I221" s="420"/>
      <c r="J221" s="422"/>
      <c r="K221" s="420"/>
      <c r="L221" s="446">
        <v>7261.63</v>
      </c>
      <c r="M221" s="439"/>
      <c r="N221" s="447">
        <v>59254.9</v>
      </c>
      <c r="R221" s="3"/>
      <c r="S221" s="3"/>
      <c r="AF221" s="415"/>
      <c r="AG221" s="416"/>
      <c r="AH221" s="416"/>
      <c r="AM221" s="416" t="s">
        <v>1715</v>
      </c>
    </row>
    <row r="222" spans="1:42" customFormat="1" ht="14.4" x14ac:dyDescent="0.3">
      <c r="A222" s="913" t="s">
        <v>1947</v>
      </c>
      <c r="B222" s="914"/>
      <c r="C222" s="914"/>
      <c r="D222" s="914"/>
      <c r="E222" s="914"/>
      <c r="F222" s="914"/>
      <c r="G222" s="914"/>
      <c r="H222" s="914"/>
      <c r="I222" s="914"/>
      <c r="J222" s="914"/>
      <c r="K222" s="914"/>
      <c r="L222" s="914"/>
      <c r="M222" s="914"/>
      <c r="N222" s="915"/>
      <c r="R222" s="3"/>
      <c r="S222" s="3"/>
      <c r="AF222" s="415"/>
      <c r="AG222" s="416" t="s">
        <v>1947</v>
      </c>
      <c r="AH222" s="416"/>
      <c r="AM222" s="416"/>
    </row>
    <row r="223" spans="1:42" customFormat="1" ht="52.2" x14ac:dyDescent="0.3">
      <c r="A223" s="417" t="s">
        <v>1797</v>
      </c>
      <c r="B223" s="418" t="s">
        <v>1948</v>
      </c>
      <c r="C223" s="916" t="s">
        <v>1949</v>
      </c>
      <c r="D223" s="916"/>
      <c r="E223" s="916"/>
      <c r="F223" s="419" t="s">
        <v>239</v>
      </c>
      <c r="G223" s="420">
        <v>11.999000000000001</v>
      </c>
      <c r="H223" s="421">
        <v>1</v>
      </c>
      <c r="I223" s="452">
        <v>11.999000000000001</v>
      </c>
      <c r="J223" s="422"/>
      <c r="K223" s="420"/>
      <c r="L223" s="422"/>
      <c r="M223" s="420"/>
      <c r="N223" s="423"/>
      <c r="R223" s="3"/>
      <c r="S223" s="3"/>
      <c r="AF223" s="415"/>
      <c r="AG223" s="416"/>
      <c r="AH223" s="416" t="s">
        <v>1949</v>
      </c>
      <c r="AM223" s="416"/>
    </row>
    <row r="224" spans="1:42" customFormat="1" ht="14.4" x14ac:dyDescent="0.3">
      <c r="A224" s="450"/>
      <c r="B224" s="451"/>
      <c r="C224" s="907" t="s">
        <v>1950</v>
      </c>
      <c r="D224" s="907"/>
      <c r="E224" s="907"/>
      <c r="F224" s="907"/>
      <c r="G224" s="907"/>
      <c r="H224" s="907"/>
      <c r="I224" s="907"/>
      <c r="J224" s="907"/>
      <c r="K224" s="907"/>
      <c r="L224" s="907"/>
      <c r="M224" s="907"/>
      <c r="N224" s="919"/>
      <c r="R224" s="3"/>
      <c r="S224" s="3"/>
      <c r="AF224" s="415"/>
      <c r="AG224" s="416"/>
      <c r="AH224" s="416"/>
      <c r="AI224" s="426" t="s">
        <v>1950</v>
      </c>
      <c r="AM224" s="416"/>
    </row>
    <row r="225" spans="1:41" customFormat="1" ht="20.399999999999999" x14ac:dyDescent="0.3">
      <c r="A225" s="424"/>
      <c r="B225" s="425" t="s">
        <v>1951</v>
      </c>
      <c r="C225" s="917" t="s">
        <v>1952</v>
      </c>
      <c r="D225" s="917"/>
      <c r="E225" s="917"/>
      <c r="F225" s="917"/>
      <c r="G225" s="917"/>
      <c r="H225" s="917"/>
      <c r="I225" s="917"/>
      <c r="J225" s="917"/>
      <c r="K225" s="917"/>
      <c r="L225" s="917"/>
      <c r="M225" s="917"/>
      <c r="N225" s="918"/>
      <c r="R225" s="3"/>
      <c r="S225" s="3"/>
      <c r="AF225" s="415"/>
      <c r="AG225" s="416"/>
      <c r="AH225" s="416"/>
      <c r="AM225" s="416"/>
      <c r="AO225" s="426" t="s">
        <v>1952</v>
      </c>
    </row>
    <row r="226" spans="1:41" customFormat="1" ht="52.2" x14ac:dyDescent="0.3">
      <c r="A226" s="424"/>
      <c r="B226" s="425" t="s">
        <v>1703</v>
      </c>
      <c r="C226" s="917" t="s">
        <v>1704</v>
      </c>
      <c r="D226" s="917"/>
      <c r="E226" s="917"/>
      <c r="F226" s="917"/>
      <c r="G226" s="917"/>
      <c r="H226" s="917"/>
      <c r="I226" s="917"/>
      <c r="J226" s="917"/>
      <c r="K226" s="917"/>
      <c r="L226" s="917"/>
      <c r="M226" s="917"/>
      <c r="N226" s="918"/>
      <c r="R226" s="3"/>
      <c r="S226" s="3"/>
      <c r="AF226" s="415"/>
      <c r="AG226" s="416"/>
      <c r="AH226" s="416"/>
      <c r="AM226" s="416"/>
      <c r="AO226" s="426" t="s">
        <v>1704</v>
      </c>
    </row>
    <row r="227" spans="1:41" customFormat="1" ht="14.4" x14ac:dyDescent="0.3">
      <c r="A227" s="427"/>
      <c r="B227" s="425" t="s">
        <v>758</v>
      </c>
      <c r="C227" s="907" t="s">
        <v>1705</v>
      </c>
      <c r="D227" s="907"/>
      <c r="E227" s="907"/>
      <c r="F227" s="428"/>
      <c r="G227" s="429"/>
      <c r="H227" s="429"/>
      <c r="I227" s="429"/>
      <c r="J227" s="430">
        <v>183.74</v>
      </c>
      <c r="K227" s="435">
        <v>0.80500000000000005</v>
      </c>
      <c r="L227" s="432">
        <v>1774.78</v>
      </c>
      <c r="M227" s="431">
        <v>44.77</v>
      </c>
      <c r="N227" s="433">
        <v>79456.899999999994</v>
      </c>
      <c r="R227" s="3"/>
      <c r="S227" s="3"/>
      <c r="AF227" s="415"/>
      <c r="AG227" s="416"/>
      <c r="AH227" s="416"/>
      <c r="AJ227" s="426" t="s">
        <v>1705</v>
      </c>
      <c r="AM227" s="416"/>
    </row>
    <row r="228" spans="1:41" customFormat="1" ht="14.4" x14ac:dyDescent="0.3">
      <c r="A228" s="427"/>
      <c r="B228" s="425" t="s">
        <v>761</v>
      </c>
      <c r="C228" s="907" t="s">
        <v>1718</v>
      </c>
      <c r="D228" s="907"/>
      <c r="E228" s="907"/>
      <c r="F228" s="428"/>
      <c r="G228" s="429"/>
      <c r="H228" s="429"/>
      <c r="I228" s="429"/>
      <c r="J228" s="430">
        <v>472.04</v>
      </c>
      <c r="K228" s="435">
        <v>0.80500000000000005</v>
      </c>
      <c r="L228" s="432">
        <v>4559.53</v>
      </c>
      <c r="M228" s="431">
        <v>13.24</v>
      </c>
      <c r="N228" s="433">
        <v>60368.18</v>
      </c>
      <c r="R228" s="3"/>
      <c r="S228" s="3"/>
      <c r="AF228" s="415"/>
      <c r="AG228" s="416"/>
      <c r="AH228" s="416"/>
      <c r="AJ228" s="426" t="s">
        <v>1718</v>
      </c>
      <c r="AM228" s="416"/>
    </row>
    <row r="229" spans="1:41" customFormat="1" ht="14.4" x14ac:dyDescent="0.3">
      <c r="A229" s="427"/>
      <c r="B229" s="425" t="s">
        <v>1144</v>
      </c>
      <c r="C229" s="907" t="s">
        <v>1719</v>
      </c>
      <c r="D229" s="907"/>
      <c r="E229" s="907"/>
      <c r="F229" s="428"/>
      <c r="G229" s="429"/>
      <c r="H229" s="429"/>
      <c r="I229" s="429"/>
      <c r="J229" s="430">
        <v>41.59</v>
      </c>
      <c r="K229" s="435">
        <v>0.80500000000000005</v>
      </c>
      <c r="L229" s="430">
        <v>401.73</v>
      </c>
      <c r="M229" s="431">
        <v>44.77</v>
      </c>
      <c r="N229" s="433">
        <v>17985.45</v>
      </c>
      <c r="R229" s="3"/>
      <c r="S229" s="3"/>
      <c r="AF229" s="415"/>
      <c r="AG229" s="416"/>
      <c r="AH229" s="416"/>
      <c r="AJ229" s="426" t="s">
        <v>1719</v>
      </c>
      <c r="AM229" s="416"/>
    </row>
    <row r="230" spans="1:41" customFormat="1" ht="14.4" x14ac:dyDescent="0.3">
      <c r="A230" s="427"/>
      <c r="B230" s="425" t="s">
        <v>586</v>
      </c>
      <c r="C230" s="907" t="s">
        <v>1738</v>
      </c>
      <c r="D230" s="907"/>
      <c r="E230" s="907"/>
      <c r="F230" s="428"/>
      <c r="G230" s="429"/>
      <c r="H230" s="429"/>
      <c r="I230" s="429"/>
      <c r="J230" s="430">
        <v>202.15</v>
      </c>
      <c r="K230" s="443">
        <v>0</v>
      </c>
      <c r="L230" s="430">
        <v>0</v>
      </c>
      <c r="M230" s="431">
        <v>8.16</v>
      </c>
      <c r="N230" s="437"/>
      <c r="R230" s="3"/>
      <c r="S230" s="3"/>
      <c r="AF230" s="415"/>
      <c r="AG230" s="416"/>
      <c r="AH230" s="416"/>
      <c r="AJ230" s="426" t="s">
        <v>1738</v>
      </c>
      <c r="AM230" s="416"/>
    </row>
    <row r="231" spans="1:41" customFormat="1" ht="14.4" x14ac:dyDescent="0.3">
      <c r="A231" s="434"/>
      <c r="B231" s="425"/>
      <c r="C231" s="907" t="s">
        <v>1706</v>
      </c>
      <c r="D231" s="907"/>
      <c r="E231" s="907"/>
      <c r="F231" s="428" t="s">
        <v>1707</v>
      </c>
      <c r="G231" s="458">
        <v>19.100000000000001</v>
      </c>
      <c r="H231" s="435">
        <v>0.80500000000000005</v>
      </c>
      <c r="I231" s="454">
        <v>184.4906245</v>
      </c>
      <c r="J231" s="436"/>
      <c r="K231" s="429"/>
      <c r="L231" s="436"/>
      <c r="M231" s="429"/>
      <c r="N231" s="437"/>
      <c r="R231" s="3"/>
      <c r="S231" s="3"/>
      <c r="AF231" s="415"/>
      <c r="AG231" s="416"/>
      <c r="AH231" s="416"/>
      <c r="AK231" s="426" t="s">
        <v>1706</v>
      </c>
      <c r="AM231" s="416"/>
    </row>
    <row r="232" spans="1:41" customFormat="1" ht="14.4" x14ac:dyDescent="0.3">
      <c r="A232" s="434"/>
      <c r="B232" s="425"/>
      <c r="C232" s="907" t="s">
        <v>1720</v>
      </c>
      <c r="D232" s="907"/>
      <c r="E232" s="907"/>
      <c r="F232" s="428" t="s">
        <v>1707</v>
      </c>
      <c r="G232" s="431">
        <v>2.96</v>
      </c>
      <c r="H232" s="435">
        <v>0.80500000000000005</v>
      </c>
      <c r="I232" s="454">
        <v>28.591217199999999</v>
      </c>
      <c r="J232" s="436"/>
      <c r="K232" s="429"/>
      <c r="L232" s="436"/>
      <c r="M232" s="429"/>
      <c r="N232" s="437"/>
      <c r="R232" s="3"/>
      <c r="S232" s="3"/>
      <c r="AF232" s="415"/>
      <c r="AG232" s="416"/>
      <c r="AH232" s="416"/>
      <c r="AK232" s="426" t="s">
        <v>1720</v>
      </c>
      <c r="AM232" s="416"/>
    </row>
    <row r="233" spans="1:41" customFormat="1" ht="14.4" x14ac:dyDescent="0.3">
      <c r="A233" s="427"/>
      <c r="B233" s="425"/>
      <c r="C233" s="908" t="s">
        <v>1708</v>
      </c>
      <c r="D233" s="908"/>
      <c r="E233" s="908"/>
      <c r="F233" s="438"/>
      <c r="G233" s="439"/>
      <c r="H233" s="439"/>
      <c r="I233" s="439"/>
      <c r="J233" s="440">
        <v>857.93</v>
      </c>
      <c r="K233" s="439"/>
      <c r="L233" s="441">
        <v>6334.31</v>
      </c>
      <c r="M233" s="439"/>
      <c r="N233" s="442">
        <v>139825.07999999999</v>
      </c>
      <c r="R233" s="3"/>
      <c r="S233" s="3"/>
      <c r="AF233" s="415"/>
      <c r="AG233" s="416"/>
      <c r="AH233" s="416"/>
      <c r="AL233" s="426" t="s">
        <v>1708</v>
      </c>
      <c r="AM233" s="416"/>
    </row>
    <row r="234" spans="1:41" customFormat="1" ht="14.4" x14ac:dyDescent="0.3">
      <c r="A234" s="434"/>
      <c r="B234" s="425"/>
      <c r="C234" s="907" t="s">
        <v>1709</v>
      </c>
      <c r="D234" s="907"/>
      <c r="E234" s="907"/>
      <c r="F234" s="428"/>
      <c r="G234" s="429"/>
      <c r="H234" s="429"/>
      <c r="I234" s="429"/>
      <c r="J234" s="436"/>
      <c r="K234" s="429"/>
      <c r="L234" s="432">
        <v>2176.5100000000002</v>
      </c>
      <c r="M234" s="429"/>
      <c r="N234" s="433">
        <v>97442.35</v>
      </c>
      <c r="R234" s="3"/>
      <c r="S234" s="3"/>
      <c r="AF234" s="415"/>
      <c r="AG234" s="416"/>
      <c r="AH234" s="416"/>
      <c r="AK234" s="426" t="s">
        <v>1709</v>
      </c>
      <c r="AM234" s="416"/>
    </row>
    <row r="235" spans="1:41" customFormat="1" ht="20.399999999999999" x14ac:dyDescent="0.3">
      <c r="A235" s="434"/>
      <c r="B235" s="425" t="s">
        <v>1953</v>
      </c>
      <c r="C235" s="907" t="s">
        <v>1954</v>
      </c>
      <c r="D235" s="907"/>
      <c r="E235" s="907"/>
      <c r="F235" s="428" t="s">
        <v>1712</v>
      </c>
      <c r="G235" s="443">
        <v>93</v>
      </c>
      <c r="H235" s="429"/>
      <c r="I235" s="443">
        <v>93</v>
      </c>
      <c r="J235" s="436"/>
      <c r="K235" s="429"/>
      <c r="L235" s="432">
        <v>2024.15</v>
      </c>
      <c r="M235" s="429"/>
      <c r="N235" s="433">
        <v>90621.39</v>
      </c>
      <c r="R235" s="3"/>
      <c r="S235" s="3"/>
      <c r="AF235" s="415"/>
      <c r="AG235" s="416"/>
      <c r="AH235" s="416"/>
      <c r="AK235" s="426" t="s">
        <v>1954</v>
      </c>
      <c r="AM235" s="416"/>
    </row>
    <row r="236" spans="1:41" customFormat="1" ht="20.399999999999999" x14ac:dyDescent="0.3">
      <c r="A236" s="434"/>
      <c r="B236" s="425" t="s">
        <v>1955</v>
      </c>
      <c r="C236" s="907" t="s">
        <v>1956</v>
      </c>
      <c r="D236" s="907"/>
      <c r="E236" s="907"/>
      <c r="F236" s="428" t="s">
        <v>1712</v>
      </c>
      <c r="G236" s="443">
        <v>62</v>
      </c>
      <c r="H236" s="429"/>
      <c r="I236" s="443">
        <v>62</v>
      </c>
      <c r="J236" s="436"/>
      <c r="K236" s="429"/>
      <c r="L236" s="432">
        <v>1349.44</v>
      </c>
      <c r="M236" s="429"/>
      <c r="N236" s="433">
        <v>60414.26</v>
      </c>
      <c r="R236" s="3"/>
      <c r="S236" s="3"/>
      <c r="AF236" s="415"/>
      <c r="AG236" s="416"/>
      <c r="AH236" s="416"/>
      <c r="AK236" s="426" t="s">
        <v>1956</v>
      </c>
      <c r="AM236" s="416"/>
    </row>
    <row r="237" spans="1:41" customFormat="1" ht="14.4" x14ac:dyDescent="0.3">
      <c r="A237" s="444"/>
      <c r="B237" s="445"/>
      <c r="C237" s="916" t="s">
        <v>1715</v>
      </c>
      <c r="D237" s="916"/>
      <c r="E237" s="916"/>
      <c r="F237" s="419"/>
      <c r="G237" s="420"/>
      <c r="H237" s="420"/>
      <c r="I237" s="420"/>
      <c r="J237" s="422"/>
      <c r="K237" s="420"/>
      <c r="L237" s="446">
        <v>9707.9</v>
      </c>
      <c r="M237" s="439"/>
      <c r="N237" s="447">
        <v>290860.73</v>
      </c>
      <c r="R237" s="3"/>
      <c r="S237" s="3"/>
      <c r="AF237" s="415"/>
      <c r="AG237" s="416"/>
      <c r="AH237" s="416"/>
      <c r="AM237" s="416" t="s">
        <v>1715</v>
      </c>
    </row>
    <row r="238" spans="1:41" customFormat="1" ht="21.6" x14ac:dyDescent="0.3">
      <c r="A238" s="417" t="s">
        <v>1806</v>
      </c>
      <c r="B238" s="418" t="s">
        <v>1957</v>
      </c>
      <c r="C238" s="916" t="s">
        <v>1958</v>
      </c>
      <c r="D238" s="916"/>
      <c r="E238" s="916"/>
      <c r="F238" s="419" t="s">
        <v>239</v>
      </c>
      <c r="G238" s="420">
        <v>1.9</v>
      </c>
      <c r="H238" s="421">
        <v>1</v>
      </c>
      <c r="I238" s="456">
        <v>1.9</v>
      </c>
      <c r="J238" s="422"/>
      <c r="K238" s="420"/>
      <c r="L238" s="422"/>
      <c r="M238" s="420"/>
      <c r="N238" s="423"/>
      <c r="R238" s="3"/>
      <c r="S238" s="3"/>
      <c r="AF238" s="415"/>
      <c r="AG238" s="416"/>
      <c r="AH238" s="416" t="s">
        <v>1958</v>
      </c>
      <c r="AM238" s="416"/>
    </row>
    <row r="239" spans="1:41" customFormat="1" ht="20.399999999999999" x14ac:dyDescent="0.3">
      <c r="A239" s="424"/>
      <c r="B239" s="425" t="s">
        <v>1951</v>
      </c>
      <c r="C239" s="917" t="s">
        <v>1952</v>
      </c>
      <c r="D239" s="917"/>
      <c r="E239" s="917"/>
      <c r="F239" s="917"/>
      <c r="G239" s="917"/>
      <c r="H239" s="917"/>
      <c r="I239" s="917"/>
      <c r="J239" s="917"/>
      <c r="K239" s="917"/>
      <c r="L239" s="917"/>
      <c r="M239" s="917"/>
      <c r="N239" s="918"/>
      <c r="R239" s="3"/>
      <c r="S239" s="3"/>
      <c r="AF239" s="415"/>
      <c r="AG239" s="416"/>
      <c r="AH239" s="416"/>
      <c r="AM239" s="416"/>
      <c r="AO239" s="426" t="s">
        <v>1952</v>
      </c>
    </row>
    <row r="240" spans="1:41" customFormat="1" ht="52.2" x14ac:dyDescent="0.3">
      <c r="A240" s="424"/>
      <c r="B240" s="425" t="s">
        <v>1703</v>
      </c>
      <c r="C240" s="917" t="s">
        <v>1704</v>
      </c>
      <c r="D240" s="917"/>
      <c r="E240" s="917"/>
      <c r="F240" s="917"/>
      <c r="G240" s="917"/>
      <c r="H240" s="917"/>
      <c r="I240" s="917"/>
      <c r="J240" s="917"/>
      <c r="K240" s="917"/>
      <c r="L240" s="917"/>
      <c r="M240" s="917"/>
      <c r="N240" s="918"/>
      <c r="R240" s="3"/>
      <c r="S240" s="3"/>
      <c r="AF240" s="415"/>
      <c r="AG240" s="416"/>
      <c r="AH240" s="416"/>
      <c r="AM240" s="416"/>
      <c r="AO240" s="426" t="s">
        <v>1704</v>
      </c>
    </row>
    <row r="241" spans="1:40" customFormat="1" ht="14.4" x14ac:dyDescent="0.3">
      <c r="A241" s="427"/>
      <c r="B241" s="425" t="s">
        <v>758</v>
      </c>
      <c r="C241" s="907" t="s">
        <v>1705</v>
      </c>
      <c r="D241" s="907"/>
      <c r="E241" s="907"/>
      <c r="F241" s="428"/>
      <c r="G241" s="429"/>
      <c r="H241" s="429"/>
      <c r="I241" s="429"/>
      <c r="J241" s="430">
        <v>271.66000000000003</v>
      </c>
      <c r="K241" s="435">
        <v>0.80500000000000005</v>
      </c>
      <c r="L241" s="430">
        <v>415.5</v>
      </c>
      <c r="M241" s="431">
        <v>44.77</v>
      </c>
      <c r="N241" s="433">
        <v>18601.939999999999</v>
      </c>
      <c r="R241" s="3"/>
      <c r="S241" s="3"/>
      <c r="AF241" s="415"/>
      <c r="AG241" s="416"/>
      <c r="AH241" s="416"/>
      <c r="AJ241" s="426" t="s">
        <v>1705</v>
      </c>
      <c r="AM241" s="416"/>
    </row>
    <row r="242" spans="1:40" customFormat="1" ht="14.4" x14ac:dyDescent="0.3">
      <c r="A242" s="427"/>
      <c r="B242" s="425" t="s">
        <v>761</v>
      </c>
      <c r="C242" s="907" t="s">
        <v>1718</v>
      </c>
      <c r="D242" s="907"/>
      <c r="E242" s="907"/>
      <c r="F242" s="428"/>
      <c r="G242" s="429"/>
      <c r="H242" s="429"/>
      <c r="I242" s="429"/>
      <c r="J242" s="430">
        <v>671.33</v>
      </c>
      <c r="K242" s="435">
        <v>0.80500000000000005</v>
      </c>
      <c r="L242" s="432">
        <v>1026.8</v>
      </c>
      <c r="M242" s="431">
        <v>13.24</v>
      </c>
      <c r="N242" s="433">
        <v>13594.83</v>
      </c>
      <c r="R242" s="3"/>
      <c r="S242" s="3"/>
      <c r="AF242" s="415"/>
      <c r="AG242" s="416"/>
      <c r="AH242" s="416"/>
      <c r="AJ242" s="426" t="s">
        <v>1718</v>
      </c>
      <c r="AM242" s="416"/>
    </row>
    <row r="243" spans="1:40" customFormat="1" ht="14.4" x14ac:dyDescent="0.3">
      <c r="A243" s="427"/>
      <c r="B243" s="425" t="s">
        <v>1144</v>
      </c>
      <c r="C243" s="907" t="s">
        <v>1719</v>
      </c>
      <c r="D243" s="907"/>
      <c r="E243" s="907"/>
      <c r="F243" s="428"/>
      <c r="G243" s="429"/>
      <c r="H243" s="429"/>
      <c r="I243" s="429"/>
      <c r="J243" s="430">
        <v>78.48</v>
      </c>
      <c r="K243" s="435">
        <v>0.80500000000000005</v>
      </c>
      <c r="L243" s="430">
        <v>120.04</v>
      </c>
      <c r="M243" s="431">
        <v>44.77</v>
      </c>
      <c r="N243" s="433">
        <v>5374.19</v>
      </c>
      <c r="R243" s="3"/>
      <c r="S243" s="3"/>
      <c r="AF243" s="415"/>
      <c r="AG243" s="416"/>
      <c r="AH243" s="416"/>
      <c r="AJ243" s="426" t="s">
        <v>1719</v>
      </c>
      <c r="AM243" s="416"/>
    </row>
    <row r="244" spans="1:40" customFormat="1" ht="14.4" x14ac:dyDescent="0.3">
      <c r="A244" s="427"/>
      <c r="B244" s="425" t="s">
        <v>586</v>
      </c>
      <c r="C244" s="907" t="s">
        <v>1738</v>
      </c>
      <c r="D244" s="907"/>
      <c r="E244" s="907"/>
      <c r="F244" s="428"/>
      <c r="G244" s="429"/>
      <c r="H244" s="429"/>
      <c r="I244" s="429"/>
      <c r="J244" s="430">
        <v>88.49</v>
      </c>
      <c r="K244" s="443">
        <v>0</v>
      </c>
      <c r="L244" s="430">
        <v>0</v>
      </c>
      <c r="M244" s="431">
        <v>8.16</v>
      </c>
      <c r="N244" s="437"/>
      <c r="R244" s="3"/>
      <c r="S244" s="3"/>
      <c r="AF244" s="415"/>
      <c r="AG244" s="416"/>
      <c r="AH244" s="416"/>
      <c r="AJ244" s="426" t="s">
        <v>1738</v>
      </c>
      <c r="AM244" s="416"/>
    </row>
    <row r="245" spans="1:40" customFormat="1" ht="14.4" x14ac:dyDescent="0.3">
      <c r="A245" s="434"/>
      <c r="B245" s="425"/>
      <c r="C245" s="907" t="s">
        <v>1706</v>
      </c>
      <c r="D245" s="907"/>
      <c r="E245" s="907"/>
      <c r="F245" s="428" t="s">
        <v>1707</v>
      </c>
      <c r="G245" s="458">
        <v>28.9</v>
      </c>
      <c r="H245" s="435">
        <v>0.80500000000000005</v>
      </c>
      <c r="I245" s="459">
        <v>44.202550000000002</v>
      </c>
      <c r="J245" s="436"/>
      <c r="K245" s="429"/>
      <c r="L245" s="436"/>
      <c r="M245" s="429"/>
      <c r="N245" s="437"/>
      <c r="R245" s="3"/>
      <c r="S245" s="3"/>
      <c r="AF245" s="415"/>
      <c r="AG245" s="416"/>
      <c r="AH245" s="416"/>
      <c r="AK245" s="426" t="s">
        <v>1706</v>
      </c>
      <c r="AM245" s="416"/>
    </row>
    <row r="246" spans="1:40" customFormat="1" ht="14.4" x14ac:dyDescent="0.3">
      <c r="A246" s="434"/>
      <c r="B246" s="425"/>
      <c r="C246" s="907" t="s">
        <v>1720</v>
      </c>
      <c r="D246" s="907"/>
      <c r="E246" s="907"/>
      <c r="F246" s="428" t="s">
        <v>1707</v>
      </c>
      <c r="G246" s="431">
        <v>5.83</v>
      </c>
      <c r="H246" s="435">
        <v>0.80500000000000005</v>
      </c>
      <c r="I246" s="457">
        <v>8.9169850000000004</v>
      </c>
      <c r="J246" s="436"/>
      <c r="K246" s="429"/>
      <c r="L246" s="436"/>
      <c r="M246" s="429"/>
      <c r="N246" s="437"/>
      <c r="R246" s="3"/>
      <c r="S246" s="3"/>
      <c r="AF246" s="415"/>
      <c r="AG246" s="416"/>
      <c r="AH246" s="416"/>
      <c r="AK246" s="426" t="s">
        <v>1720</v>
      </c>
      <c r="AM246" s="416"/>
    </row>
    <row r="247" spans="1:40" customFormat="1" ht="14.4" x14ac:dyDescent="0.3">
      <c r="A247" s="427"/>
      <c r="B247" s="425"/>
      <c r="C247" s="908" t="s">
        <v>1708</v>
      </c>
      <c r="D247" s="908"/>
      <c r="E247" s="908"/>
      <c r="F247" s="438"/>
      <c r="G247" s="439"/>
      <c r="H247" s="439"/>
      <c r="I247" s="439"/>
      <c r="J247" s="441">
        <v>1031.48</v>
      </c>
      <c r="K247" s="439"/>
      <c r="L247" s="441">
        <v>1442.3</v>
      </c>
      <c r="M247" s="439"/>
      <c r="N247" s="442">
        <v>32196.77</v>
      </c>
      <c r="R247" s="3"/>
      <c r="S247" s="3"/>
      <c r="AF247" s="415"/>
      <c r="AG247" s="416"/>
      <c r="AH247" s="416"/>
      <c r="AL247" s="426" t="s">
        <v>1708</v>
      </c>
      <c r="AM247" s="416"/>
    </row>
    <row r="248" spans="1:40" customFormat="1" ht="14.4" x14ac:dyDescent="0.3">
      <c r="A248" s="434"/>
      <c r="B248" s="425"/>
      <c r="C248" s="907" t="s">
        <v>1709</v>
      </c>
      <c r="D248" s="907"/>
      <c r="E248" s="907"/>
      <c r="F248" s="428"/>
      <c r="G248" s="429"/>
      <c r="H248" s="429"/>
      <c r="I248" s="429"/>
      <c r="J248" s="436"/>
      <c r="K248" s="429"/>
      <c r="L248" s="430">
        <v>535.54</v>
      </c>
      <c r="M248" s="429"/>
      <c r="N248" s="433">
        <v>23976.13</v>
      </c>
      <c r="R248" s="3"/>
      <c r="S248" s="3"/>
      <c r="AF248" s="415"/>
      <c r="AG248" s="416"/>
      <c r="AH248" s="416"/>
      <c r="AK248" s="426" t="s">
        <v>1709</v>
      </c>
      <c r="AM248" s="416"/>
    </row>
    <row r="249" spans="1:40" customFormat="1" ht="20.399999999999999" x14ac:dyDescent="0.3">
      <c r="A249" s="434"/>
      <c r="B249" s="425" t="s">
        <v>1953</v>
      </c>
      <c r="C249" s="907" t="s">
        <v>1954</v>
      </c>
      <c r="D249" s="907"/>
      <c r="E249" s="907"/>
      <c r="F249" s="428" t="s">
        <v>1712</v>
      </c>
      <c r="G249" s="443">
        <v>93</v>
      </c>
      <c r="H249" s="429"/>
      <c r="I249" s="443">
        <v>93</v>
      </c>
      <c r="J249" s="436"/>
      <c r="K249" s="429"/>
      <c r="L249" s="430">
        <v>498.05</v>
      </c>
      <c r="M249" s="429"/>
      <c r="N249" s="433">
        <v>22297.8</v>
      </c>
      <c r="R249" s="3"/>
      <c r="S249" s="3"/>
      <c r="AF249" s="415"/>
      <c r="AG249" s="416"/>
      <c r="AH249" s="416"/>
      <c r="AK249" s="426" t="s">
        <v>1954</v>
      </c>
      <c r="AM249" s="416"/>
    </row>
    <row r="250" spans="1:40" customFormat="1" ht="20.399999999999999" x14ac:dyDescent="0.3">
      <c r="A250" s="434"/>
      <c r="B250" s="425" t="s">
        <v>1955</v>
      </c>
      <c r="C250" s="907" t="s">
        <v>1956</v>
      </c>
      <c r="D250" s="907"/>
      <c r="E250" s="907"/>
      <c r="F250" s="428" t="s">
        <v>1712</v>
      </c>
      <c r="G250" s="443">
        <v>62</v>
      </c>
      <c r="H250" s="429"/>
      <c r="I250" s="443">
        <v>62</v>
      </c>
      <c r="J250" s="436"/>
      <c r="K250" s="429"/>
      <c r="L250" s="430">
        <v>332.03</v>
      </c>
      <c r="M250" s="429"/>
      <c r="N250" s="433">
        <v>14865.2</v>
      </c>
      <c r="R250" s="3"/>
      <c r="S250" s="3"/>
      <c r="AF250" s="415"/>
      <c r="AG250" s="416"/>
      <c r="AH250" s="416"/>
      <c r="AK250" s="426" t="s">
        <v>1956</v>
      </c>
      <c r="AM250" s="416"/>
    </row>
    <row r="251" spans="1:40" customFormat="1" ht="14.4" x14ac:dyDescent="0.3">
      <c r="A251" s="444"/>
      <c r="B251" s="445"/>
      <c r="C251" s="916" t="s">
        <v>1715</v>
      </c>
      <c r="D251" s="916"/>
      <c r="E251" s="916"/>
      <c r="F251" s="419"/>
      <c r="G251" s="420"/>
      <c r="H251" s="420"/>
      <c r="I251" s="420"/>
      <c r="J251" s="422"/>
      <c r="K251" s="420"/>
      <c r="L251" s="446">
        <v>2272.38</v>
      </c>
      <c r="M251" s="439"/>
      <c r="N251" s="447">
        <v>69359.77</v>
      </c>
      <c r="R251" s="3"/>
      <c r="S251" s="3"/>
      <c r="AF251" s="415"/>
      <c r="AG251" s="416"/>
      <c r="AH251" s="416"/>
      <c r="AM251" s="416" t="s">
        <v>1715</v>
      </c>
    </row>
    <row r="252" spans="1:40" customFormat="1" ht="31.8" x14ac:dyDescent="0.3">
      <c r="A252" s="417" t="s">
        <v>1811</v>
      </c>
      <c r="B252" s="418" t="s">
        <v>1959</v>
      </c>
      <c r="C252" s="916" t="s">
        <v>1960</v>
      </c>
      <c r="D252" s="916"/>
      <c r="E252" s="916"/>
      <c r="F252" s="419" t="s">
        <v>1723</v>
      </c>
      <c r="G252" s="420">
        <v>10.913</v>
      </c>
      <c r="H252" s="421">
        <v>1</v>
      </c>
      <c r="I252" s="452">
        <v>10.913</v>
      </c>
      <c r="J252" s="449">
        <v>22.33</v>
      </c>
      <c r="K252" s="420"/>
      <c r="L252" s="449">
        <v>243.69</v>
      </c>
      <c r="M252" s="448">
        <v>13.24</v>
      </c>
      <c r="N252" s="447">
        <v>3226.46</v>
      </c>
      <c r="R252" s="3"/>
      <c r="S252" s="3"/>
      <c r="AF252" s="415"/>
      <c r="AG252" s="416"/>
      <c r="AH252" s="416" t="s">
        <v>1960</v>
      </c>
      <c r="AM252" s="416"/>
    </row>
    <row r="253" spans="1:40" customFormat="1" ht="14.4" x14ac:dyDescent="0.3">
      <c r="A253" s="444"/>
      <c r="B253" s="445"/>
      <c r="C253" s="907" t="s">
        <v>1724</v>
      </c>
      <c r="D253" s="907"/>
      <c r="E253" s="907"/>
      <c r="F253" s="907"/>
      <c r="G253" s="907"/>
      <c r="H253" s="907"/>
      <c r="I253" s="907"/>
      <c r="J253" s="907"/>
      <c r="K253" s="907"/>
      <c r="L253" s="907"/>
      <c r="M253" s="907"/>
      <c r="N253" s="919"/>
      <c r="R253" s="3"/>
      <c r="S253" s="3"/>
      <c r="AF253" s="415"/>
      <c r="AG253" s="416"/>
      <c r="AH253" s="416"/>
      <c r="AM253" s="416"/>
      <c r="AN253" s="426" t="s">
        <v>1724</v>
      </c>
    </row>
    <row r="254" spans="1:40" customFormat="1" ht="14.4" x14ac:dyDescent="0.3">
      <c r="A254" s="450"/>
      <c r="B254" s="451"/>
      <c r="C254" s="907" t="s">
        <v>1961</v>
      </c>
      <c r="D254" s="907"/>
      <c r="E254" s="907"/>
      <c r="F254" s="907"/>
      <c r="G254" s="907"/>
      <c r="H254" s="907"/>
      <c r="I254" s="907"/>
      <c r="J254" s="907"/>
      <c r="K254" s="907"/>
      <c r="L254" s="907"/>
      <c r="M254" s="907"/>
      <c r="N254" s="919"/>
      <c r="R254" s="3"/>
      <c r="S254" s="3"/>
      <c r="AF254" s="415"/>
      <c r="AG254" s="416"/>
      <c r="AH254" s="416"/>
      <c r="AI254" s="426" t="s">
        <v>1961</v>
      </c>
      <c r="AM254" s="416"/>
    </row>
    <row r="255" spans="1:40" customFormat="1" ht="14.4" x14ac:dyDescent="0.3">
      <c r="A255" s="444"/>
      <c r="B255" s="445"/>
      <c r="C255" s="916" t="s">
        <v>1715</v>
      </c>
      <c r="D255" s="916"/>
      <c r="E255" s="916"/>
      <c r="F255" s="419"/>
      <c r="G255" s="420"/>
      <c r="H255" s="420"/>
      <c r="I255" s="420"/>
      <c r="J255" s="422"/>
      <c r="K255" s="420"/>
      <c r="L255" s="449">
        <v>243.69</v>
      </c>
      <c r="M255" s="439"/>
      <c r="N255" s="447">
        <v>3226.46</v>
      </c>
      <c r="R255" s="3"/>
      <c r="S255" s="3"/>
      <c r="AF255" s="415"/>
      <c r="AG255" s="416"/>
      <c r="AH255" s="416"/>
      <c r="AM255" s="416" t="s">
        <v>1715</v>
      </c>
    </row>
    <row r="256" spans="1:40" customFormat="1" ht="21.6" x14ac:dyDescent="0.3">
      <c r="A256" s="417" t="s">
        <v>808</v>
      </c>
      <c r="B256" s="418" t="s">
        <v>1962</v>
      </c>
      <c r="C256" s="916" t="s">
        <v>1963</v>
      </c>
      <c r="D256" s="916"/>
      <c r="E256" s="916"/>
      <c r="F256" s="419" t="s">
        <v>1723</v>
      </c>
      <c r="G256" s="420">
        <v>2.7669999999999999</v>
      </c>
      <c r="H256" s="421">
        <v>1</v>
      </c>
      <c r="I256" s="452">
        <v>2.7669999999999999</v>
      </c>
      <c r="J256" s="449">
        <v>10.45</v>
      </c>
      <c r="K256" s="420"/>
      <c r="L256" s="449">
        <v>28.92</v>
      </c>
      <c r="M256" s="448">
        <v>13.24</v>
      </c>
      <c r="N256" s="455">
        <v>382.9</v>
      </c>
      <c r="R256" s="3"/>
      <c r="S256" s="3"/>
      <c r="AF256" s="415"/>
      <c r="AG256" s="416"/>
      <c r="AH256" s="416" t="s">
        <v>1963</v>
      </c>
      <c r="AM256" s="416"/>
    </row>
    <row r="257" spans="1:40" customFormat="1" ht="14.4" x14ac:dyDescent="0.3">
      <c r="A257" s="444"/>
      <c r="B257" s="445"/>
      <c r="C257" s="907" t="s">
        <v>1745</v>
      </c>
      <c r="D257" s="907"/>
      <c r="E257" s="907"/>
      <c r="F257" s="907"/>
      <c r="G257" s="907"/>
      <c r="H257" s="907"/>
      <c r="I257" s="907"/>
      <c r="J257" s="907"/>
      <c r="K257" s="907"/>
      <c r="L257" s="907"/>
      <c r="M257" s="907"/>
      <c r="N257" s="919"/>
      <c r="R257" s="3"/>
      <c r="S257" s="3"/>
      <c r="AF257" s="415"/>
      <c r="AG257" s="416"/>
      <c r="AH257" s="416"/>
      <c r="AM257" s="416"/>
      <c r="AN257" s="426" t="s">
        <v>1745</v>
      </c>
    </row>
    <row r="258" spans="1:40" customFormat="1" ht="14.4" x14ac:dyDescent="0.3">
      <c r="A258" s="450"/>
      <c r="B258" s="451"/>
      <c r="C258" s="907" t="s">
        <v>1964</v>
      </c>
      <c r="D258" s="907"/>
      <c r="E258" s="907"/>
      <c r="F258" s="907"/>
      <c r="G258" s="907"/>
      <c r="H258" s="907"/>
      <c r="I258" s="907"/>
      <c r="J258" s="907"/>
      <c r="K258" s="907"/>
      <c r="L258" s="907"/>
      <c r="M258" s="907"/>
      <c r="N258" s="919"/>
      <c r="R258" s="3"/>
      <c r="S258" s="3"/>
      <c r="AF258" s="415"/>
      <c r="AG258" s="416"/>
      <c r="AH258" s="416"/>
      <c r="AI258" s="426" t="s">
        <v>1964</v>
      </c>
      <c r="AM258" s="416"/>
    </row>
    <row r="259" spans="1:40" customFormat="1" ht="14.4" x14ac:dyDescent="0.3">
      <c r="A259" s="444"/>
      <c r="B259" s="445"/>
      <c r="C259" s="916" t="s">
        <v>1715</v>
      </c>
      <c r="D259" s="916"/>
      <c r="E259" s="916"/>
      <c r="F259" s="419"/>
      <c r="G259" s="420"/>
      <c r="H259" s="420"/>
      <c r="I259" s="420"/>
      <c r="J259" s="422"/>
      <c r="K259" s="420"/>
      <c r="L259" s="449">
        <v>28.92</v>
      </c>
      <c r="M259" s="439"/>
      <c r="N259" s="455">
        <v>382.9</v>
      </c>
      <c r="R259" s="3"/>
      <c r="S259" s="3"/>
      <c r="AF259" s="415"/>
      <c r="AG259" s="416"/>
      <c r="AH259" s="416"/>
      <c r="AM259" s="416" t="s">
        <v>1715</v>
      </c>
    </row>
    <row r="260" spans="1:40" customFormat="1" ht="31.8" x14ac:dyDescent="0.3">
      <c r="A260" s="417" t="s">
        <v>1814</v>
      </c>
      <c r="B260" s="418" t="s">
        <v>1923</v>
      </c>
      <c r="C260" s="916" t="s">
        <v>1924</v>
      </c>
      <c r="D260" s="916"/>
      <c r="E260" s="916"/>
      <c r="F260" s="419" t="s">
        <v>1723</v>
      </c>
      <c r="G260" s="420">
        <v>13.898999999999999</v>
      </c>
      <c r="H260" s="421">
        <v>1</v>
      </c>
      <c r="I260" s="452">
        <v>13.898999999999999</v>
      </c>
      <c r="J260" s="449">
        <v>8.7899999999999991</v>
      </c>
      <c r="K260" s="420"/>
      <c r="L260" s="449">
        <v>122.17</v>
      </c>
      <c r="M260" s="448">
        <v>13.62</v>
      </c>
      <c r="N260" s="447">
        <v>1663.96</v>
      </c>
      <c r="R260" s="3"/>
      <c r="S260" s="3"/>
      <c r="AF260" s="415"/>
      <c r="AG260" s="416"/>
      <c r="AH260" s="416" t="s">
        <v>1924</v>
      </c>
      <c r="AM260" s="416"/>
    </row>
    <row r="261" spans="1:40" customFormat="1" ht="14.4" x14ac:dyDescent="0.3">
      <c r="A261" s="444"/>
      <c r="B261" s="445"/>
      <c r="C261" s="907" t="s">
        <v>1925</v>
      </c>
      <c r="D261" s="907"/>
      <c r="E261" s="907"/>
      <c r="F261" s="907"/>
      <c r="G261" s="907"/>
      <c r="H261" s="907"/>
      <c r="I261" s="907"/>
      <c r="J261" s="907"/>
      <c r="K261" s="907"/>
      <c r="L261" s="907"/>
      <c r="M261" s="907"/>
      <c r="N261" s="919"/>
      <c r="R261" s="3"/>
      <c r="S261" s="3"/>
      <c r="AF261" s="415"/>
      <c r="AG261" s="416"/>
      <c r="AH261" s="416"/>
      <c r="AM261" s="416"/>
      <c r="AN261" s="426" t="s">
        <v>1925</v>
      </c>
    </row>
    <row r="262" spans="1:40" customFormat="1" ht="14.4" x14ac:dyDescent="0.3">
      <c r="A262" s="450"/>
      <c r="B262" s="451"/>
      <c r="C262" s="907" t="s">
        <v>1965</v>
      </c>
      <c r="D262" s="907"/>
      <c r="E262" s="907"/>
      <c r="F262" s="907"/>
      <c r="G262" s="907"/>
      <c r="H262" s="907"/>
      <c r="I262" s="907"/>
      <c r="J262" s="907"/>
      <c r="K262" s="907"/>
      <c r="L262" s="907"/>
      <c r="M262" s="907"/>
      <c r="N262" s="919"/>
      <c r="R262" s="3"/>
      <c r="S262" s="3"/>
      <c r="AF262" s="415"/>
      <c r="AG262" s="416"/>
      <c r="AH262" s="416"/>
      <c r="AI262" s="426" t="s">
        <v>1965</v>
      </c>
      <c r="AM262" s="416"/>
    </row>
    <row r="263" spans="1:40" customFormat="1" ht="14.4" x14ac:dyDescent="0.3">
      <c r="A263" s="444"/>
      <c r="B263" s="445"/>
      <c r="C263" s="916" t="s">
        <v>1715</v>
      </c>
      <c r="D263" s="916"/>
      <c r="E263" s="916"/>
      <c r="F263" s="419"/>
      <c r="G263" s="420"/>
      <c r="H263" s="420"/>
      <c r="I263" s="420"/>
      <c r="J263" s="422"/>
      <c r="K263" s="420"/>
      <c r="L263" s="449">
        <v>122.17</v>
      </c>
      <c r="M263" s="439"/>
      <c r="N263" s="447">
        <v>1663.96</v>
      </c>
      <c r="R263" s="3"/>
      <c r="S263" s="3"/>
      <c r="AF263" s="415"/>
      <c r="AG263" s="416"/>
      <c r="AH263" s="416"/>
      <c r="AM263" s="416" t="s">
        <v>1715</v>
      </c>
    </row>
    <row r="264" spans="1:40" customFormat="1" ht="21.6" x14ac:dyDescent="0.3">
      <c r="A264" s="417" t="s">
        <v>1817</v>
      </c>
      <c r="B264" s="418" t="s">
        <v>1966</v>
      </c>
      <c r="C264" s="916" t="s">
        <v>1967</v>
      </c>
      <c r="D264" s="916"/>
      <c r="E264" s="916"/>
      <c r="F264" s="419" t="s">
        <v>1723</v>
      </c>
      <c r="G264" s="420">
        <v>10.913</v>
      </c>
      <c r="H264" s="421">
        <v>1</v>
      </c>
      <c r="I264" s="452">
        <v>10.913</v>
      </c>
      <c r="J264" s="449">
        <v>22.33</v>
      </c>
      <c r="K264" s="420"/>
      <c r="L264" s="449">
        <v>243.69</v>
      </c>
      <c r="M264" s="448">
        <v>13.24</v>
      </c>
      <c r="N264" s="447">
        <v>3226.46</v>
      </c>
      <c r="R264" s="3"/>
      <c r="S264" s="3"/>
      <c r="AF264" s="415"/>
      <c r="AG264" s="416"/>
      <c r="AH264" s="416" t="s">
        <v>1967</v>
      </c>
      <c r="AM264" s="416"/>
    </row>
    <row r="265" spans="1:40" customFormat="1" ht="14.4" x14ac:dyDescent="0.3">
      <c r="A265" s="444"/>
      <c r="B265" s="445"/>
      <c r="C265" s="907" t="s">
        <v>1745</v>
      </c>
      <c r="D265" s="907"/>
      <c r="E265" s="907"/>
      <c r="F265" s="907"/>
      <c r="G265" s="907"/>
      <c r="H265" s="907"/>
      <c r="I265" s="907"/>
      <c r="J265" s="907"/>
      <c r="K265" s="907"/>
      <c r="L265" s="907"/>
      <c r="M265" s="907"/>
      <c r="N265" s="919"/>
      <c r="R265" s="3"/>
      <c r="S265" s="3"/>
      <c r="AF265" s="415"/>
      <c r="AG265" s="416"/>
      <c r="AH265" s="416"/>
      <c r="AM265" s="416"/>
      <c r="AN265" s="426" t="s">
        <v>1745</v>
      </c>
    </row>
    <row r="266" spans="1:40" customFormat="1" ht="14.4" x14ac:dyDescent="0.3">
      <c r="A266" s="444"/>
      <c r="B266" s="445"/>
      <c r="C266" s="916" t="s">
        <v>1715</v>
      </c>
      <c r="D266" s="916"/>
      <c r="E266" s="916"/>
      <c r="F266" s="419"/>
      <c r="G266" s="420"/>
      <c r="H266" s="420"/>
      <c r="I266" s="420"/>
      <c r="J266" s="422"/>
      <c r="K266" s="420"/>
      <c r="L266" s="449">
        <v>243.69</v>
      </c>
      <c r="M266" s="439"/>
      <c r="N266" s="447">
        <v>3226.46</v>
      </c>
      <c r="R266" s="3"/>
      <c r="S266" s="3"/>
      <c r="AF266" s="415"/>
      <c r="AG266" s="416"/>
      <c r="AH266" s="416"/>
      <c r="AM266" s="416" t="s">
        <v>1715</v>
      </c>
    </row>
    <row r="267" spans="1:40" customFormat="1" ht="21.6" x14ac:dyDescent="0.3">
      <c r="A267" s="417" t="s">
        <v>771</v>
      </c>
      <c r="B267" s="418" t="s">
        <v>1968</v>
      </c>
      <c r="C267" s="916" t="s">
        <v>1969</v>
      </c>
      <c r="D267" s="916"/>
      <c r="E267" s="916"/>
      <c r="F267" s="419" t="s">
        <v>1723</v>
      </c>
      <c r="G267" s="420">
        <v>2.7669999999999999</v>
      </c>
      <c r="H267" s="421">
        <v>1</v>
      </c>
      <c r="I267" s="452">
        <v>2.7669999999999999</v>
      </c>
      <c r="J267" s="449">
        <v>10.45</v>
      </c>
      <c r="K267" s="420"/>
      <c r="L267" s="449">
        <v>28.92</v>
      </c>
      <c r="M267" s="448">
        <v>13.24</v>
      </c>
      <c r="N267" s="455">
        <v>382.9</v>
      </c>
      <c r="R267" s="3"/>
      <c r="S267" s="3"/>
      <c r="AF267" s="415"/>
      <c r="AG267" s="416"/>
      <c r="AH267" s="416" t="s">
        <v>1969</v>
      </c>
      <c r="AM267" s="416"/>
    </row>
    <row r="268" spans="1:40" customFormat="1" ht="14.4" x14ac:dyDescent="0.3">
      <c r="A268" s="444"/>
      <c r="B268" s="445"/>
      <c r="C268" s="907" t="s">
        <v>1745</v>
      </c>
      <c r="D268" s="907"/>
      <c r="E268" s="907"/>
      <c r="F268" s="907"/>
      <c r="G268" s="907"/>
      <c r="H268" s="907"/>
      <c r="I268" s="907"/>
      <c r="J268" s="907"/>
      <c r="K268" s="907"/>
      <c r="L268" s="907"/>
      <c r="M268" s="907"/>
      <c r="N268" s="919"/>
      <c r="R268" s="3"/>
      <c r="S268" s="3"/>
      <c r="AF268" s="415"/>
      <c r="AG268" s="416"/>
      <c r="AH268" s="416"/>
      <c r="AM268" s="416"/>
      <c r="AN268" s="426" t="s">
        <v>1745</v>
      </c>
    </row>
    <row r="269" spans="1:40" customFormat="1" ht="14.4" x14ac:dyDescent="0.3">
      <c r="A269" s="444"/>
      <c r="B269" s="445"/>
      <c r="C269" s="916" t="s">
        <v>1715</v>
      </c>
      <c r="D269" s="916"/>
      <c r="E269" s="916"/>
      <c r="F269" s="419"/>
      <c r="G269" s="420"/>
      <c r="H269" s="420"/>
      <c r="I269" s="420"/>
      <c r="J269" s="422"/>
      <c r="K269" s="420"/>
      <c r="L269" s="449">
        <v>28.92</v>
      </c>
      <c r="M269" s="439"/>
      <c r="N269" s="455">
        <v>382.9</v>
      </c>
      <c r="R269" s="3"/>
      <c r="S269" s="3"/>
      <c r="AF269" s="415"/>
      <c r="AG269" s="416"/>
      <c r="AH269" s="416"/>
      <c r="AM269" s="416" t="s">
        <v>1715</v>
      </c>
    </row>
    <row r="270" spans="1:40" customFormat="1" ht="14.4" x14ac:dyDescent="0.3">
      <c r="A270" s="913" t="s">
        <v>1970</v>
      </c>
      <c r="B270" s="914"/>
      <c r="C270" s="914"/>
      <c r="D270" s="914"/>
      <c r="E270" s="914"/>
      <c r="F270" s="914"/>
      <c r="G270" s="914"/>
      <c r="H270" s="914"/>
      <c r="I270" s="914"/>
      <c r="J270" s="914"/>
      <c r="K270" s="914"/>
      <c r="L270" s="914"/>
      <c r="M270" s="914"/>
      <c r="N270" s="915"/>
      <c r="R270" s="3"/>
      <c r="S270" s="3"/>
      <c r="AF270" s="415"/>
      <c r="AG270" s="416" t="s">
        <v>1970</v>
      </c>
      <c r="AH270" s="416"/>
      <c r="AM270" s="416"/>
    </row>
    <row r="271" spans="1:40" customFormat="1" ht="21.6" x14ac:dyDescent="0.3">
      <c r="A271" s="417" t="s">
        <v>1819</v>
      </c>
      <c r="B271" s="418" t="s">
        <v>1971</v>
      </c>
      <c r="C271" s="916" t="s">
        <v>1972</v>
      </c>
      <c r="D271" s="916"/>
      <c r="E271" s="916"/>
      <c r="F271" s="419" t="s">
        <v>193</v>
      </c>
      <c r="G271" s="420">
        <v>21.06</v>
      </c>
      <c r="H271" s="421">
        <v>1</v>
      </c>
      <c r="I271" s="448">
        <v>21.06</v>
      </c>
      <c r="J271" s="422"/>
      <c r="K271" s="420"/>
      <c r="L271" s="422"/>
      <c r="M271" s="420"/>
      <c r="N271" s="423"/>
      <c r="R271" s="3"/>
      <c r="S271" s="3"/>
      <c r="AF271" s="415"/>
      <c r="AG271" s="416"/>
      <c r="AH271" s="416" t="s">
        <v>1972</v>
      </c>
      <c r="AM271" s="416"/>
    </row>
    <row r="272" spans="1:40" customFormat="1" ht="14.4" x14ac:dyDescent="0.3">
      <c r="A272" s="450"/>
      <c r="B272" s="451"/>
      <c r="C272" s="907" t="s">
        <v>1973</v>
      </c>
      <c r="D272" s="907"/>
      <c r="E272" s="907"/>
      <c r="F272" s="907"/>
      <c r="G272" s="907"/>
      <c r="H272" s="907"/>
      <c r="I272" s="907"/>
      <c r="J272" s="907"/>
      <c r="K272" s="907"/>
      <c r="L272" s="907"/>
      <c r="M272" s="907"/>
      <c r="N272" s="919"/>
      <c r="R272" s="3"/>
      <c r="S272" s="3"/>
      <c r="AF272" s="415"/>
      <c r="AG272" s="416"/>
      <c r="AH272" s="416"/>
      <c r="AI272" s="426" t="s">
        <v>1973</v>
      </c>
      <c r="AM272" s="416"/>
    </row>
    <row r="273" spans="1:41" customFormat="1" ht="52.2" x14ac:dyDescent="0.3">
      <c r="A273" s="424"/>
      <c r="B273" s="425" t="s">
        <v>1703</v>
      </c>
      <c r="C273" s="917" t="s">
        <v>1704</v>
      </c>
      <c r="D273" s="917"/>
      <c r="E273" s="917"/>
      <c r="F273" s="917"/>
      <c r="G273" s="917"/>
      <c r="H273" s="917"/>
      <c r="I273" s="917"/>
      <c r="J273" s="917"/>
      <c r="K273" s="917"/>
      <c r="L273" s="917"/>
      <c r="M273" s="917"/>
      <c r="N273" s="918"/>
      <c r="R273" s="3"/>
      <c r="S273" s="3"/>
      <c r="AF273" s="415"/>
      <c r="AG273" s="416"/>
      <c r="AH273" s="416"/>
      <c r="AM273" s="416"/>
      <c r="AO273" s="426" t="s">
        <v>1704</v>
      </c>
    </row>
    <row r="274" spans="1:41" customFormat="1" ht="14.4" x14ac:dyDescent="0.3">
      <c r="A274" s="427"/>
      <c r="B274" s="425" t="s">
        <v>758</v>
      </c>
      <c r="C274" s="907" t="s">
        <v>1705</v>
      </c>
      <c r="D274" s="907"/>
      <c r="E274" s="907"/>
      <c r="F274" s="428"/>
      <c r="G274" s="429"/>
      <c r="H274" s="429"/>
      <c r="I274" s="429"/>
      <c r="J274" s="430">
        <v>89.39</v>
      </c>
      <c r="K274" s="431">
        <v>1.1499999999999999</v>
      </c>
      <c r="L274" s="432">
        <v>2164.94</v>
      </c>
      <c r="M274" s="431">
        <v>44.77</v>
      </c>
      <c r="N274" s="433">
        <v>96924.36</v>
      </c>
      <c r="R274" s="3"/>
      <c r="S274" s="3"/>
      <c r="AF274" s="415"/>
      <c r="AG274" s="416"/>
      <c r="AH274" s="416"/>
      <c r="AJ274" s="426" t="s">
        <v>1705</v>
      </c>
      <c r="AM274" s="416"/>
    </row>
    <row r="275" spans="1:41" customFormat="1" ht="14.4" x14ac:dyDescent="0.3">
      <c r="A275" s="427"/>
      <c r="B275" s="425" t="s">
        <v>761</v>
      </c>
      <c r="C275" s="907" t="s">
        <v>1718</v>
      </c>
      <c r="D275" s="907"/>
      <c r="E275" s="907"/>
      <c r="F275" s="428"/>
      <c r="G275" s="429"/>
      <c r="H275" s="429"/>
      <c r="I275" s="429"/>
      <c r="J275" s="430">
        <v>160.52000000000001</v>
      </c>
      <c r="K275" s="431">
        <v>1.1499999999999999</v>
      </c>
      <c r="L275" s="432">
        <v>3887.63</v>
      </c>
      <c r="M275" s="431">
        <v>13.24</v>
      </c>
      <c r="N275" s="433">
        <v>51472.22</v>
      </c>
      <c r="R275" s="3"/>
      <c r="S275" s="3"/>
      <c r="AF275" s="415"/>
      <c r="AG275" s="416"/>
      <c r="AH275" s="416"/>
      <c r="AJ275" s="426" t="s">
        <v>1718</v>
      </c>
      <c r="AM275" s="416"/>
    </row>
    <row r="276" spans="1:41" customFormat="1" ht="14.4" x14ac:dyDescent="0.3">
      <c r="A276" s="427"/>
      <c r="B276" s="425" t="s">
        <v>586</v>
      </c>
      <c r="C276" s="907" t="s">
        <v>1738</v>
      </c>
      <c r="D276" s="907"/>
      <c r="E276" s="907"/>
      <c r="F276" s="428"/>
      <c r="G276" s="429"/>
      <c r="H276" s="429"/>
      <c r="I276" s="429"/>
      <c r="J276" s="430">
        <v>22.45</v>
      </c>
      <c r="K276" s="429"/>
      <c r="L276" s="430">
        <v>472.8</v>
      </c>
      <c r="M276" s="431">
        <v>8.16</v>
      </c>
      <c r="N276" s="433">
        <v>3858.05</v>
      </c>
      <c r="R276" s="3"/>
      <c r="S276" s="3"/>
      <c r="AF276" s="415"/>
      <c r="AG276" s="416"/>
      <c r="AH276" s="416"/>
      <c r="AJ276" s="426" t="s">
        <v>1738</v>
      </c>
      <c r="AM276" s="416"/>
    </row>
    <row r="277" spans="1:41" customFormat="1" ht="14.4" x14ac:dyDescent="0.3">
      <c r="A277" s="434"/>
      <c r="B277" s="425"/>
      <c r="C277" s="907" t="s">
        <v>1706</v>
      </c>
      <c r="D277" s="907"/>
      <c r="E277" s="907"/>
      <c r="F277" s="428" t="s">
        <v>1707</v>
      </c>
      <c r="G277" s="431">
        <v>10.48</v>
      </c>
      <c r="H277" s="431">
        <v>1.1499999999999999</v>
      </c>
      <c r="I277" s="459">
        <v>253.81512000000001</v>
      </c>
      <c r="J277" s="436"/>
      <c r="K277" s="429"/>
      <c r="L277" s="436"/>
      <c r="M277" s="429"/>
      <c r="N277" s="437"/>
      <c r="R277" s="3"/>
      <c r="S277" s="3"/>
      <c r="AF277" s="415"/>
      <c r="AG277" s="416"/>
      <c r="AH277" s="416"/>
      <c r="AK277" s="426" t="s">
        <v>1706</v>
      </c>
      <c r="AM277" s="416"/>
    </row>
    <row r="278" spans="1:41" customFormat="1" ht="14.4" x14ac:dyDescent="0.3">
      <c r="A278" s="427"/>
      <c r="B278" s="425"/>
      <c r="C278" s="908" t="s">
        <v>1708</v>
      </c>
      <c r="D278" s="908"/>
      <c r="E278" s="908"/>
      <c r="F278" s="438"/>
      <c r="G278" s="439"/>
      <c r="H278" s="439"/>
      <c r="I278" s="439"/>
      <c r="J278" s="440">
        <v>272.36</v>
      </c>
      <c r="K278" s="439"/>
      <c r="L278" s="441">
        <v>6525.37</v>
      </c>
      <c r="M278" s="439"/>
      <c r="N278" s="442">
        <v>152254.63</v>
      </c>
      <c r="R278" s="3"/>
      <c r="S278" s="3"/>
      <c r="AF278" s="415"/>
      <c r="AG278" s="416"/>
      <c r="AH278" s="416"/>
      <c r="AL278" s="426" t="s">
        <v>1708</v>
      </c>
      <c r="AM278" s="416"/>
    </row>
    <row r="279" spans="1:41" customFormat="1" ht="14.4" x14ac:dyDescent="0.3">
      <c r="A279" s="434"/>
      <c r="B279" s="425"/>
      <c r="C279" s="907" t="s">
        <v>1709</v>
      </c>
      <c r="D279" s="907"/>
      <c r="E279" s="907"/>
      <c r="F279" s="428"/>
      <c r="G279" s="429"/>
      <c r="H279" s="429"/>
      <c r="I279" s="429"/>
      <c r="J279" s="436"/>
      <c r="K279" s="429"/>
      <c r="L279" s="432">
        <v>2164.94</v>
      </c>
      <c r="M279" s="429"/>
      <c r="N279" s="433">
        <v>96924.36</v>
      </c>
      <c r="R279" s="3"/>
      <c r="S279" s="3"/>
      <c r="AF279" s="415"/>
      <c r="AG279" s="416"/>
      <c r="AH279" s="416"/>
      <c r="AK279" s="426" t="s">
        <v>1709</v>
      </c>
      <c r="AM279" s="416"/>
    </row>
    <row r="280" spans="1:41" customFormat="1" ht="31.8" x14ac:dyDescent="0.3">
      <c r="A280" s="434"/>
      <c r="B280" s="425" t="s">
        <v>1761</v>
      </c>
      <c r="C280" s="907" t="s">
        <v>1762</v>
      </c>
      <c r="D280" s="907"/>
      <c r="E280" s="907"/>
      <c r="F280" s="428" t="s">
        <v>1712</v>
      </c>
      <c r="G280" s="443">
        <v>91</v>
      </c>
      <c r="H280" s="429"/>
      <c r="I280" s="443">
        <v>91</v>
      </c>
      <c r="J280" s="436"/>
      <c r="K280" s="429"/>
      <c r="L280" s="432">
        <v>1970.1</v>
      </c>
      <c r="M280" s="429"/>
      <c r="N280" s="433">
        <v>88201.17</v>
      </c>
      <c r="R280" s="3"/>
      <c r="S280" s="3"/>
      <c r="AF280" s="415"/>
      <c r="AG280" s="416"/>
      <c r="AH280" s="416"/>
      <c r="AK280" s="426" t="s">
        <v>1762</v>
      </c>
      <c r="AM280" s="416"/>
    </row>
    <row r="281" spans="1:41" customFormat="1" ht="31.8" x14ac:dyDescent="0.3">
      <c r="A281" s="434"/>
      <c r="B281" s="425" t="s">
        <v>1763</v>
      </c>
      <c r="C281" s="907" t="s">
        <v>1764</v>
      </c>
      <c r="D281" s="907"/>
      <c r="E281" s="907"/>
      <c r="F281" s="428" t="s">
        <v>1712</v>
      </c>
      <c r="G281" s="443">
        <v>52</v>
      </c>
      <c r="H281" s="429"/>
      <c r="I281" s="443">
        <v>52</v>
      </c>
      <c r="J281" s="436"/>
      <c r="K281" s="429"/>
      <c r="L281" s="432">
        <v>1125.77</v>
      </c>
      <c r="M281" s="429"/>
      <c r="N281" s="433">
        <v>50400.67</v>
      </c>
      <c r="R281" s="3"/>
      <c r="S281" s="3"/>
      <c r="AF281" s="415"/>
      <c r="AG281" s="416"/>
      <c r="AH281" s="416"/>
      <c r="AK281" s="426" t="s">
        <v>1764</v>
      </c>
      <c r="AM281" s="416"/>
    </row>
    <row r="282" spans="1:41" customFormat="1" ht="14.4" x14ac:dyDescent="0.3">
      <c r="A282" s="444"/>
      <c r="B282" s="445"/>
      <c r="C282" s="916" t="s">
        <v>1715</v>
      </c>
      <c r="D282" s="916"/>
      <c r="E282" s="916"/>
      <c r="F282" s="419"/>
      <c r="G282" s="420"/>
      <c r="H282" s="420"/>
      <c r="I282" s="420"/>
      <c r="J282" s="422"/>
      <c r="K282" s="420"/>
      <c r="L282" s="446">
        <v>9621.24</v>
      </c>
      <c r="M282" s="439"/>
      <c r="N282" s="447">
        <v>290856.46999999997</v>
      </c>
      <c r="R282" s="3"/>
      <c r="S282" s="3"/>
      <c r="AF282" s="415"/>
      <c r="AG282" s="416"/>
      <c r="AH282" s="416"/>
      <c r="AM282" s="416" t="s">
        <v>1715</v>
      </c>
    </row>
    <row r="283" spans="1:41" customFormat="1" ht="21.6" x14ac:dyDescent="0.3">
      <c r="A283" s="417" t="s">
        <v>1821</v>
      </c>
      <c r="B283" s="418" t="s">
        <v>1751</v>
      </c>
      <c r="C283" s="916" t="s">
        <v>1752</v>
      </c>
      <c r="D283" s="916"/>
      <c r="E283" s="916"/>
      <c r="F283" s="419" t="s">
        <v>1723</v>
      </c>
      <c r="G283" s="420">
        <v>10.884</v>
      </c>
      <c r="H283" s="421">
        <v>1</v>
      </c>
      <c r="I283" s="452">
        <v>10.884</v>
      </c>
      <c r="J283" s="449">
        <v>42.98</v>
      </c>
      <c r="K283" s="420"/>
      <c r="L283" s="449">
        <v>467.79</v>
      </c>
      <c r="M283" s="448">
        <v>13.24</v>
      </c>
      <c r="N283" s="447">
        <v>6193.54</v>
      </c>
      <c r="R283" s="3"/>
      <c r="S283" s="3"/>
      <c r="AF283" s="415"/>
      <c r="AG283" s="416"/>
      <c r="AH283" s="416" t="s">
        <v>1752</v>
      </c>
      <c r="AM283" s="416"/>
    </row>
    <row r="284" spans="1:41" customFormat="1" ht="14.4" x14ac:dyDescent="0.3">
      <c r="A284" s="450"/>
      <c r="B284" s="451"/>
      <c r="C284" s="907" t="s">
        <v>1974</v>
      </c>
      <c r="D284" s="907"/>
      <c r="E284" s="907"/>
      <c r="F284" s="907"/>
      <c r="G284" s="907"/>
      <c r="H284" s="907"/>
      <c r="I284" s="907"/>
      <c r="J284" s="907"/>
      <c r="K284" s="907"/>
      <c r="L284" s="907"/>
      <c r="M284" s="907"/>
      <c r="N284" s="919"/>
      <c r="R284" s="3"/>
      <c r="S284" s="3"/>
      <c r="AF284" s="415"/>
      <c r="AG284" s="416"/>
      <c r="AH284" s="416"/>
      <c r="AI284" s="426" t="s">
        <v>1974</v>
      </c>
      <c r="AM284" s="416"/>
    </row>
    <row r="285" spans="1:41" customFormat="1" ht="14.4" x14ac:dyDescent="0.3">
      <c r="A285" s="444"/>
      <c r="B285" s="445"/>
      <c r="C285" s="916" t="s">
        <v>1715</v>
      </c>
      <c r="D285" s="916"/>
      <c r="E285" s="916"/>
      <c r="F285" s="419"/>
      <c r="G285" s="420"/>
      <c r="H285" s="420"/>
      <c r="I285" s="420"/>
      <c r="J285" s="422"/>
      <c r="K285" s="420"/>
      <c r="L285" s="449">
        <v>467.79</v>
      </c>
      <c r="M285" s="439"/>
      <c r="N285" s="447">
        <v>6193.54</v>
      </c>
      <c r="R285" s="3"/>
      <c r="S285" s="3"/>
      <c r="AF285" s="415"/>
      <c r="AG285" s="416"/>
      <c r="AH285" s="416"/>
      <c r="AM285" s="416" t="s">
        <v>1715</v>
      </c>
    </row>
    <row r="286" spans="1:41" customFormat="1" ht="31.8" x14ac:dyDescent="0.3">
      <c r="A286" s="417" t="s">
        <v>1822</v>
      </c>
      <c r="B286" s="418" t="s">
        <v>1975</v>
      </c>
      <c r="C286" s="916" t="s">
        <v>1976</v>
      </c>
      <c r="D286" s="916"/>
      <c r="E286" s="916"/>
      <c r="F286" s="419" t="s">
        <v>1723</v>
      </c>
      <c r="G286" s="420">
        <v>54.42</v>
      </c>
      <c r="H286" s="421">
        <v>1</v>
      </c>
      <c r="I286" s="448">
        <v>54.42</v>
      </c>
      <c r="J286" s="449">
        <v>19.29</v>
      </c>
      <c r="K286" s="420"/>
      <c r="L286" s="446">
        <v>1049.76</v>
      </c>
      <c r="M286" s="448">
        <v>13.62</v>
      </c>
      <c r="N286" s="447">
        <v>14297.73</v>
      </c>
      <c r="R286" s="3"/>
      <c r="S286" s="3"/>
      <c r="AF286" s="415"/>
      <c r="AG286" s="416"/>
      <c r="AH286" s="416" t="s">
        <v>1976</v>
      </c>
      <c r="AM286" s="416"/>
    </row>
    <row r="287" spans="1:41" customFormat="1" ht="14.4" x14ac:dyDescent="0.3">
      <c r="A287" s="450"/>
      <c r="B287" s="451"/>
      <c r="C287" s="907" t="s">
        <v>1977</v>
      </c>
      <c r="D287" s="907"/>
      <c r="E287" s="907"/>
      <c r="F287" s="907"/>
      <c r="G287" s="907"/>
      <c r="H287" s="907"/>
      <c r="I287" s="907"/>
      <c r="J287" s="907"/>
      <c r="K287" s="907"/>
      <c r="L287" s="907"/>
      <c r="M287" s="907"/>
      <c r="N287" s="919"/>
      <c r="R287" s="3"/>
      <c r="S287" s="3"/>
      <c r="AF287" s="415"/>
      <c r="AG287" s="416"/>
      <c r="AH287" s="416"/>
      <c r="AI287" s="426" t="s">
        <v>1977</v>
      </c>
      <c r="AM287" s="416"/>
    </row>
    <row r="288" spans="1:41" customFormat="1" ht="14.4" x14ac:dyDescent="0.3">
      <c r="A288" s="444"/>
      <c r="B288" s="445"/>
      <c r="C288" s="916" t="s">
        <v>1715</v>
      </c>
      <c r="D288" s="916"/>
      <c r="E288" s="916"/>
      <c r="F288" s="419"/>
      <c r="G288" s="420"/>
      <c r="H288" s="420"/>
      <c r="I288" s="420"/>
      <c r="J288" s="422"/>
      <c r="K288" s="420"/>
      <c r="L288" s="446">
        <v>1049.76</v>
      </c>
      <c r="M288" s="439"/>
      <c r="N288" s="447">
        <v>14297.73</v>
      </c>
      <c r="R288" s="3"/>
      <c r="S288" s="3"/>
      <c r="AF288" s="415"/>
      <c r="AG288" s="416"/>
      <c r="AH288" s="416"/>
      <c r="AM288" s="416" t="s">
        <v>1715</v>
      </c>
    </row>
    <row r="289" spans="1:42" customFormat="1" ht="21.6" x14ac:dyDescent="0.3">
      <c r="A289" s="417" t="s">
        <v>1824</v>
      </c>
      <c r="B289" s="418" t="s">
        <v>1726</v>
      </c>
      <c r="C289" s="916" t="s">
        <v>1727</v>
      </c>
      <c r="D289" s="916"/>
      <c r="E289" s="916"/>
      <c r="F289" s="419" t="s">
        <v>193</v>
      </c>
      <c r="G289" s="420">
        <v>21.06</v>
      </c>
      <c r="H289" s="421">
        <v>1</v>
      </c>
      <c r="I289" s="448">
        <v>21.06</v>
      </c>
      <c r="J289" s="449">
        <v>162.38</v>
      </c>
      <c r="K289" s="420"/>
      <c r="L289" s="446">
        <v>3419.72</v>
      </c>
      <c r="M289" s="448">
        <v>8.16</v>
      </c>
      <c r="N289" s="447">
        <v>27904.92</v>
      </c>
      <c r="R289" s="3"/>
      <c r="S289" s="3"/>
      <c r="AF289" s="415"/>
      <c r="AG289" s="416"/>
      <c r="AH289" s="416" t="s">
        <v>1727</v>
      </c>
      <c r="AM289" s="416"/>
    </row>
    <row r="290" spans="1:42" customFormat="1" ht="14.4" x14ac:dyDescent="0.3">
      <c r="A290" s="444"/>
      <c r="B290" s="445"/>
      <c r="C290" s="907" t="s">
        <v>1911</v>
      </c>
      <c r="D290" s="907"/>
      <c r="E290" s="907"/>
      <c r="F290" s="907"/>
      <c r="G290" s="907"/>
      <c r="H290" s="907"/>
      <c r="I290" s="907"/>
      <c r="J290" s="907"/>
      <c r="K290" s="907"/>
      <c r="L290" s="907"/>
      <c r="M290" s="907"/>
      <c r="N290" s="919"/>
      <c r="R290" s="3"/>
      <c r="S290" s="3"/>
      <c r="AF290" s="415"/>
      <c r="AG290" s="416"/>
      <c r="AH290" s="416"/>
      <c r="AM290" s="416"/>
      <c r="AN290" s="426" t="s">
        <v>1911</v>
      </c>
    </row>
    <row r="291" spans="1:42" customFormat="1" ht="14.4" x14ac:dyDescent="0.3">
      <c r="A291" s="450"/>
      <c r="B291" s="451"/>
      <c r="C291" s="907" t="s">
        <v>1978</v>
      </c>
      <c r="D291" s="907"/>
      <c r="E291" s="907"/>
      <c r="F291" s="907"/>
      <c r="G291" s="907"/>
      <c r="H291" s="907"/>
      <c r="I291" s="907"/>
      <c r="J291" s="907"/>
      <c r="K291" s="907"/>
      <c r="L291" s="907"/>
      <c r="M291" s="907"/>
      <c r="N291" s="919"/>
      <c r="R291" s="3"/>
      <c r="S291" s="3"/>
      <c r="AF291" s="415"/>
      <c r="AG291" s="416"/>
      <c r="AH291" s="416"/>
      <c r="AI291" s="426" t="s">
        <v>1978</v>
      </c>
      <c r="AM291" s="416"/>
    </row>
    <row r="292" spans="1:42" customFormat="1" ht="14.4" x14ac:dyDescent="0.3">
      <c r="A292" s="450"/>
      <c r="B292" s="451"/>
      <c r="C292" s="907" t="s">
        <v>1730</v>
      </c>
      <c r="D292" s="907"/>
      <c r="E292" s="907"/>
      <c r="F292" s="907"/>
      <c r="G292" s="907"/>
      <c r="H292" s="907"/>
      <c r="I292" s="907"/>
      <c r="J292" s="907"/>
      <c r="K292" s="907"/>
      <c r="L292" s="907"/>
      <c r="M292" s="907"/>
      <c r="N292" s="919"/>
      <c r="R292" s="3"/>
      <c r="S292" s="3"/>
      <c r="AF292" s="415"/>
      <c r="AG292" s="416"/>
      <c r="AH292" s="416"/>
      <c r="AM292" s="416"/>
      <c r="AP292" s="426" t="s">
        <v>1730</v>
      </c>
    </row>
    <row r="293" spans="1:42" customFormat="1" ht="14.4" x14ac:dyDescent="0.3">
      <c r="A293" s="444"/>
      <c r="B293" s="445"/>
      <c r="C293" s="916" t="s">
        <v>1715</v>
      </c>
      <c r="D293" s="916"/>
      <c r="E293" s="916"/>
      <c r="F293" s="419"/>
      <c r="G293" s="420"/>
      <c r="H293" s="420"/>
      <c r="I293" s="420"/>
      <c r="J293" s="422"/>
      <c r="K293" s="420"/>
      <c r="L293" s="446">
        <v>3419.72</v>
      </c>
      <c r="M293" s="439"/>
      <c r="N293" s="447">
        <v>27904.92</v>
      </c>
      <c r="R293" s="3"/>
      <c r="S293" s="3"/>
      <c r="AF293" s="415"/>
      <c r="AG293" s="416"/>
      <c r="AH293" s="416"/>
      <c r="AM293" s="416" t="s">
        <v>1715</v>
      </c>
    </row>
    <row r="294" spans="1:42" customFormat="1" ht="14.4" x14ac:dyDescent="0.3">
      <c r="A294" s="913" t="s">
        <v>1979</v>
      </c>
      <c r="B294" s="914"/>
      <c r="C294" s="914"/>
      <c r="D294" s="914"/>
      <c r="E294" s="914"/>
      <c r="F294" s="914"/>
      <c r="G294" s="914"/>
      <c r="H294" s="914"/>
      <c r="I294" s="914"/>
      <c r="J294" s="914"/>
      <c r="K294" s="914"/>
      <c r="L294" s="914"/>
      <c r="M294" s="914"/>
      <c r="N294" s="915"/>
      <c r="R294" s="3"/>
      <c r="S294" s="3"/>
      <c r="AF294" s="415"/>
      <c r="AG294" s="416" t="s">
        <v>1979</v>
      </c>
      <c r="AH294" s="416"/>
      <c r="AM294" s="416"/>
    </row>
    <row r="295" spans="1:42" customFormat="1" ht="31.8" x14ac:dyDescent="0.3">
      <c r="A295" s="417" t="s">
        <v>1138</v>
      </c>
      <c r="B295" s="418" t="s">
        <v>1980</v>
      </c>
      <c r="C295" s="916" t="s">
        <v>1981</v>
      </c>
      <c r="D295" s="916"/>
      <c r="E295" s="916"/>
      <c r="F295" s="419" t="s">
        <v>1916</v>
      </c>
      <c r="G295" s="420">
        <v>0.26</v>
      </c>
      <c r="H295" s="421">
        <v>1</v>
      </c>
      <c r="I295" s="448">
        <v>0.26</v>
      </c>
      <c r="J295" s="422"/>
      <c r="K295" s="420"/>
      <c r="L295" s="422"/>
      <c r="M295" s="420"/>
      <c r="N295" s="423"/>
      <c r="R295" s="3"/>
      <c r="S295" s="3"/>
      <c r="AF295" s="415"/>
      <c r="AG295" s="416"/>
      <c r="AH295" s="416" t="s">
        <v>1981</v>
      </c>
      <c r="AM295" s="416"/>
    </row>
    <row r="296" spans="1:42" customFormat="1" ht="14.4" x14ac:dyDescent="0.3">
      <c r="A296" s="450"/>
      <c r="B296" s="451"/>
      <c r="C296" s="907" t="s">
        <v>1982</v>
      </c>
      <c r="D296" s="907"/>
      <c r="E296" s="907"/>
      <c r="F296" s="907"/>
      <c r="G296" s="907"/>
      <c r="H296" s="907"/>
      <c r="I296" s="907"/>
      <c r="J296" s="907"/>
      <c r="K296" s="907"/>
      <c r="L296" s="907"/>
      <c r="M296" s="907"/>
      <c r="N296" s="919"/>
      <c r="R296" s="3"/>
      <c r="S296" s="3"/>
      <c r="AF296" s="415"/>
      <c r="AG296" s="416"/>
      <c r="AH296" s="416"/>
      <c r="AI296" s="426" t="s">
        <v>1982</v>
      </c>
      <c r="AM296" s="416"/>
    </row>
    <row r="297" spans="1:42" customFormat="1" ht="20.399999999999999" x14ac:dyDescent="0.3">
      <c r="A297" s="424"/>
      <c r="B297" s="425" t="s">
        <v>1736</v>
      </c>
      <c r="C297" s="917" t="s">
        <v>1737</v>
      </c>
      <c r="D297" s="917"/>
      <c r="E297" s="917"/>
      <c r="F297" s="917"/>
      <c r="G297" s="917"/>
      <c r="H297" s="917"/>
      <c r="I297" s="917"/>
      <c r="J297" s="917"/>
      <c r="K297" s="917"/>
      <c r="L297" s="917"/>
      <c r="M297" s="917"/>
      <c r="N297" s="918"/>
      <c r="R297" s="3"/>
      <c r="S297" s="3"/>
      <c r="AF297" s="415"/>
      <c r="AG297" s="416"/>
      <c r="AH297" s="416"/>
      <c r="AM297" s="416"/>
      <c r="AO297" s="426" t="s">
        <v>1737</v>
      </c>
    </row>
    <row r="298" spans="1:42" customFormat="1" ht="52.2" x14ac:dyDescent="0.3">
      <c r="A298" s="424"/>
      <c r="B298" s="425" t="s">
        <v>1703</v>
      </c>
      <c r="C298" s="917" t="s">
        <v>1704</v>
      </c>
      <c r="D298" s="917"/>
      <c r="E298" s="917"/>
      <c r="F298" s="917"/>
      <c r="G298" s="917"/>
      <c r="H298" s="917"/>
      <c r="I298" s="917"/>
      <c r="J298" s="917"/>
      <c r="K298" s="917"/>
      <c r="L298" s="917"/>
      <c r="M298" s="917"/>
      <c r="N298" s="918"/>
      <c r="R298" s="3"/>
      <c r="S298" s="3"/>
      <c r="AF298" s="415"/>
      <c r="AG298" s="416"/>
      <c r="AH298" s="416"/>
      <c r="AM298" s="416"/>
      <c r="AO298" s="426" t="s">
        <v>1704</v>
      </c>
    </row>
    <row r="299" spans="1:42" customFormat="1" ht="14.4" x14ac:dyDescent="0.3">
      <c r="A299" s="427"/>
      <c r="B299" s="425" t="s">
        <v>758</v>
      </c>
      <c r="C299" s="907" t="s">
        <v>1705</v>
      </c>
      <c r="D299" s="907"/>
      <c r="E299" s="907"/>
      <c r="F299" s="428"/>
      <c r="G299" s="429"/>
      <c r="H299" s="429"/>
      <c r="I299" s="429"/>
      <c r="J299" s="432">
        <v>9215.68</v>
      </c>
      <c r="K299" s="431">
        <v>0.92</v>
      </c>
      <c r="L299" s="432">
        <v>2204.39</v>
      </c>
      <c r="M299" s="431">
        <v>44.77</v>
      </c>
      <c r="N299" s="433">
        <v>98690.54</v>
      </c>
      <c r="R299" s="3"/>
      <c r="S299" s="3"/>
      <c r="AF299" s="415"/>
      <c r="AG299" s="416"/>
      <c r="AH299" s="416"/>
      <c r="AJ299" s="426" t="s">
        <v>1705</v>
      </c>
      <c r="AM299" s="416"/>
    </row>
    <row r="300" spans="1:42" customFormat="1" ht="14.4" x14ac:dyDescent="0.3">
      <c r="A300" s="427"/>
      <c r="B300" s="425" t="s">
        <v>761</v>
      </c>
      <c r="C300" s="907" t="s">
        <v>1718</v>
      </c>
      <c r="D300" s="907"/>
      <c r="E300" s="907"/>
      <c r="F300" s="428"/>
      <c r="G300" s="429"/>
      <c r="H300" s="429"/>
      <c r="I300" s="429"/>
      <c r="J300" s="432">
        <v>21178.85</v>
      </c>
      <c r="K300" s="431">
        <v>0.92</v>
      </c>
      <c r="L300" s="432">
        <v>5065.9799999999996</v>
      </c>
      <c r="M300" s="431">
        <v>13.24</v>
      </c>
      <c r="N300" s="433">
        <v>67073.58</v>
      </c>
      <c r="R300" s="3"/>
      <c r="S300" s="3"/>
      <c r="AF300" s="415"/>
      <c r="AG300" s="416"/>
      <c r="AH300" s="416"/>
      <c r="AJ300" s="426" t="s">
        <v>1718</v>
      </c>
      <c r="AM300" s="416"/>
    </row>
    <row r="301" spans="1:42" customFormat="1" ht="14.4" x14ac:dyDescent="0.3">
      <c r="A301" s="427"/>
      <c r="B301" s="425" t="s">
        <v>1144</v>
      </c>
      <c r="C301" s="907" t="s">
        <v>1719</v>
      </c>
      <c r="D301" s="907"/>
      <c r="E301" s="907"/>
      <c r="F301" s="428"/>
      <c r="G301" s="429"/>
      <c r="H301" s="429"/>
      <c r="I301" s="429"/>
      <c r="J301" s="432">
        <v>2372.02</v>
      </c>
      <c r="K301" s="431">
        <v>0.92</v>
      </c>
      <c r="L301" s="430">
        <v>567.39</v>
      </c>
      <c r="M301" s="431">
        <v>44.77</v>
      </c>
      <c r="N301" s="433">
        <v>25402.05</v>
      </c>
      <c r="R301" s="3"/>
      <c r="S301" s="3"/>
      <c r="AF301" s="415"/>
      <c r="AG301" s="416"/>
      <c r="AH301" s="416"/>
      <c r="AJ301" s="426" t="s">
        <v>1719</v>
      </c>
      <c r="AM301" s="416"/>
    </row>
    <row r="302" spans="1:42" customFormat="1" ht="14.4" x14ac:dyDescent="0.3">
      <c r="A302" s="427"/>
      <c r="B302" s="425" t="s">
        <v>586</v>
      </c>
      <c r="C302" s="907" t="s">
        <v>1738</v>
      </c>
      <c r="D302" s="907"/>
      <c r="E302" s="907"/>
      <c r="F302" s="428"/>
      <c r="G302" s="429"/>
      <c r="H302" s="429"/>
      <c r="I302" s="429"/>
      <c r="J302" s="430">
        <v>399.04</v>
      </c>
      <c r="K302" s="443">
        <v>0</v>
      </c>
      <c r="L302" s="430">
        <v>0</v>
      </c>
      <c r="M302" s="431">
        <v>8.16</v>
      </c>
      <c r="N302" s="437"/>
      <c r="R302" s="3"/>
      <c r="S302" s="3"/>
      <c r="AF302" s="415"/>
      <c r="AG302" s="416"/>
      <c r="AH302" s="416"/>
      <c r="AJ302" s="426" t="s">
        <v>1738</v>
      </c>
      <c r="AM302" s="416"/>
    </row>
    <row r="303" spans="1:42" customFormat="1" ht="14.4" x14ac:dyDescent="0.3">
      <c r="A303" s="434"/>
      <c r="B303" s="425"/>
      <c r="C303" s="907" t="s">
        <v>1706</v>
      </c>
      <c r="D303" s="907"/>
      <c r="E303" s="907"/>
      <c r="F303" s="428" t="s">
        <v>1707</v>
      </c>
      <c r="G303" s="443">
        <v>992</v>
      </c>
      <c r="H303" s="431">
        <v>0.92</v>
      </c>
      <c r="I303" s="453">
        <v>237.28639999999999</v>
      </c>
      <c r="J303" s="436"/>
      <c r="K303" s="429"/>
      <c r="L303" s="436"/>
      <c r="M303" s="429"/>
      <c r="N303" s="437"/>
      <c r="R303" s="3"/>
      <c r="S303" s="3"/>
      <c r="AF303" s="415"/>
      <c r="AG303" s="416"/>
      <c r="AH303" s="416"/>
      <c r="AK303" s="426" t="s">
        <v>1706</v>
      </c>
      <c r="AM303" s="416"/>
    </row>
    <row r="304" spans="1:42" customFormat="1" ht="14.4" x14ac:dyDescent="0.3">
      <c r="A304" s="434"/>
      <c r="B304" s="425"/>
      <c r="C304" s="907" t="s">
        <v>1720</v>
      </c>
      <c r="D304" s="907"/>
      <c r="E304" s="907"/>
      <c r="F304" s="428" t="s">
        <v>1707</v>
      </c>
      <c r="G304" s="431">
        <v>175.73</v>
      </c>
      <c r="H304" s="431">
        <v>0.92</v>
      </c>
      <c r="I304" s="457">
        <v>42.034616</v>
      </c>
      <c r="J304" s="436"/>
      <c r="K304" s="429"/>
      <c r="L304" s="436"/>
      <c r="M304" s="429"/>
      <c r="N304" s="437"/>
      <c r="R304" s="3"/>
      <c r="S304" s="3"/>
      <c r="AF304" s="415"/>
      <c r="AG304" s="416"/>
      <c r="AH304" s="416"/>
      <c r="AK304" s="426" t="s">
        <v>1720</v>
      </c>
      <c r="AM304" s="416"/>
    </row>
    <row r="305" spans="1:41" customFormat="1" ht="14.4" x14ac:dyDescent="0.3">
      <c r="A305" s="427"/>
      <c r="B305" s="425"/>
      <c r="C305" s="908" t="s">
        <v>1708</v>
      </c>
      <c r="D305" s="908"/>
      <c r="E305" s="908"/>
      <c r="F305" s="438"/>
      <c r="G305" s="439"/>
      <c r="H305" s="439"/>
      <c r="I305" s="439"/>
      <c r="J305" s="441">
        <v>30793.57</v>
      </c>
      <c r="K305" s="439"/>
      <c r="L305" s="441">
        <v>7270.37</v>
      </c>
      <c r="M305" s="439"/>
      <c r="N305" s="442">
        <v>165764.12</v>
      </c>
      <c r="R305" s="3"/>
      <c r="S305" s="3"/>
      <c r="AF305" s="415"/>
      <c r="AG305" s="416"/>
      <c r="AH305" s="416"/>
      <c r="AL305" s="426" t="s">
        <v>1708</v>
      </c>
      <c r="AM305" s="416"/>
    </row>
    <row r="306" spans="1:41" customFormat="1" ht="14.4" x14ac:dyDescent="0.3">
      <c r="A306" s="434"/>
      <c r="B306" s="425"/>
      <c r="C306" s="907" t="s">
        <v>1709</v>
      </c>
      <c r="D306" s="907"/>
      <c r="E306" s="907"/>
      <c r="F306" s="428"/>
      <c r="G306" s="429"/>
      <c r="H306" s="429"/>
      <c r="I306" s="429"/>
      <c r="J306" s="436"/>
      <c r="K306" s="429"/>
      <c r="L306" s="432">
        <v>2771.78</v>
      </c>
      <c r="M306" s="429"/>
      <c r="N306" s="433">
        <v>124092.59</v>
      </c>
      <c r="R306" s="3"/>
      <c r="S306" s="3"/>
      <c r="AF306" s="415"/>
      <c r="AG306" s="416"/>
      <c r="AH306" s="416"/>
      <c r="AK306" s="426" t="s">
        <v>1709</v>
      </c>
      <c r="AM306" s="416"/>
    </row>
    <row r="307" spans="1:41" customFormat="1" ht="21.6" x14ac:dyDescent="0.3">
      <c r="A307" s="434"/>
      <c r="B307" s="425" t="s">
        <v>1739</v>
      </c>
      <c r="C307" s="907" t="s">
        <v>1740</v>
      </c>
      <c r="D307" s="907"/>
      <c r="E307" s="907"/>
      <c r="F307" s="428" t="s">
        <v>1712</v>
      </c>
      <c r="G307" s="443">
        <v>110</v>
      </c>
      <c r="H307" s="429"/>
      <c r="I307" s="443">
        <v>110</v>
      </c>
      <c r="J307" s="436"/>
      <c r="K307" s="429"/>
      <c r="L307" s="432">
        <v>3048.96</v>
      </c>
      <c r="M307" s="429"/>
      <c r="N307" s="433">
        <v>136501.85</v>
      </c>
      <c r="R307" s="3"/>
      <c r="S307" s="3"/>
      <c r="AF307" s="415"/>
      <c r="AG307" s="416"/>
      <c r="AH307" s="416"/>
      <c r="AK307" s="426" t="s">
        <v>1740</v>
      </c>
      <c r="AM307" s="416"/>
    </row>
    <row r="308" spans="1:41" customFormat="1" ht="21.6" x14ac:dyDescent="0.3">
      <c r="A308" s="434"/>
      <c r="B308" s="425" t="s">
        <v>1741</v>
      </c>
      <c r="C308" s="907" t="s">
        <v>1742</v>
      </c>
      <c r="D308" s="907"/>
      <c r="E308" s="907"/>
      <c r="F308" s="428" t="s">
        <v>1712</v>
      </c>
      <c r="G308" s="443">
        <v>73</v>
      </c>
      <c r="H308" s="429"/>
      <c r="I308" s="443">
        <v>73</v>
      </c>
      <c r="J308" s="436"/>
      <c r="K308" s="429"/>
      <c r="L308" s="432">
        <v>2023.4</v>
      </c>
      <c r="M308" s="429"/>
      <c r="N308" s="433">
        <v>90587.59</v>
      </c>
      <c r="R308" s="3"/>
      <c r="S308" s="3"/>
      <c r="AF308" s="415"/>
      <c r="AG308" s="416"/>
      <c r="AH308" s="416"/>
      <c r="AK308" s="426" t="s">
        <v>1742</v>
      </c>
      <c r="AM308" s="416"/>
    </row>
    <row r="309" spans="1:41" customFormat="1" ht="14.4" x14ac:dyDescent="0.3">
      <c r="A309" s="444"/>
      <c r="B309" s="445"/>
      <c r="C309" s="916" t="s">
        <v>1715</v>
      </c>
      <c r="D309" s="916"/>
      <c r="E309" s="916"/>
      <c r="F309" s="419"/>
      <c r="G309" s="420"/>
      <c r="H309" s="420"/>
      <c r="I309" s="420"/>
      <c r="J309" s="422"/>
      <c r="K309" s="420"/>
      <c r="L309" s="446">
        <v>12342.73</v>
      </c>
      <c r="M309" s="439"/>
      <c r="N309" s="447">
        <v>392853.56</v>
      </c>
      <c r="R309" s="3"/>
      <c r="S309" s="3"/>
      <c r="AF309" s="415"/>
      <c r="AG309" s="416"/>
      <c r="AH309" s="416"/>
      <c r="AM309" s="416" t="s">
        <v>1715</v>
      </c>
    </row>
    <row r="310" spans="1:41" customFormat="1" ht="31.8" x14ac:dyDescent="0.3">
      <c r="A310" s="417" t="s">
        <v>819</v>
      </c>
      <c r="B310" s="418" t="s">
        <v>1983</v>
      </c>
      <c r="C310" s="916" t="s">
        <v>1984</v>
      </c>
      <c r="D310" s="916"/>
      <c r="E310" s="916"/>
      <c r="F310" s="419" t="s">
        <v>1916</v>
      </c>
      <c r="G310" s="420">
        <v>0.02</v>
      </c>
      <c r="H310" s="421">
        <v>1</v>
      </c>
      <c r="I310" s="448">
        <v>0.02</v>
      </c>
      <c r="J310" s="422"/>
      <c r="K310" s="420"/>
      <c r="L310" s="422"/>
      <c r="M310" s="420"/>
      <c r="N310" s="423"/>
      <c r="R310" s="3"/>
      <c r="S310" s="3"/>
      <c r="AF310" s="415"/>
      <c r="AG310" s="416"/>
      <c r="AH310" s="416" t="s">
        <v>1984</v>
      </c>
      <c r="AM310" s="416"/>
    </row>
    <row r="311" spans="1:41" customFormat="1" ht="14.4" x14ac:dyDescent="0.3">
      <c r="A311" s="450"/>
      <c r="B311" s="451"/>
      <c r="C311" s="907" t="s">
        <v>1985</v>
      </c>
      <c r="D311" s="907"/>
      <c r="E311" s="907"/>
      <c r="F311" s="907"/>
      <c r="G311" s="907"/>
      <c r="H311" s="907"/>
      <c r="I311" s="907"/>
      <c r="J311" s="907"/>
      <c r="K311" s="907"/>
      <c r="L311" s="907"/>
      <c r="M311" s="907"/>
      <c r="N311" s="919"/>
      <c r="R311" s="3"/>
      <c r="S311" s="3"/>
      <c r="AF311" s="415"/>
      <c r="AG311" s="416"/>
      <c r="AH311" s="416"/>
      <c r="AI311" s="426" t="s">
        <v>1985</v>
      </c>
      <c r="AM311" s="416"/>
    </row>
    <row r="312" spans="1:41" customFormat="1" ht="20.399999999999999" x14ac:dyDescent="0.3">
      <c r="A312" s="424"/>
      <c r="B312" s="425" t="s">
        <v>1736</v>
      </c>
      <c r="C312" s="917" t="s">
        <v>1737</v>
      </c>
      <c r="D312" s="917"/>
      <c r="E312" s="917"/>
      <c r="F312" s="917"/>
      <c r="G312" s="917"/>
      <c r="H312" s="917"/>
      <c r="I312" s="917"/>
      <c r="J312" s="917"/>
      <c r="K312" s="917"/>
      <c r="L312" s="917"/>
      <c r="M312" s="917"/>
      <c r="N312" s="918"/>
      <c r="R312" s="3"/>
      <c r="S312" s="3"/>
      <c r="AF312" s="415"/>
      <c r="AG312" s="416"/>
      <c r="AH312" s="416"/>
      <c r="AM312" s="416"/>
      <c r="AO312" s="426" t="s">
        <v>1737</v>
      </c>
    </row>
    <row r="313" spans="1:41" customFormat="1" ht="52.2" x14ac:dyDescent="0.3">
      <c r="A313" s="424"/>
      <c r="B313" s="425" t="s">
        <v>1703</v>
      </c>
      <c r="C313" s="917" t="s">
        <v>1704</v>
      </c>
      <c r="D313" s="917"/>
      <c r="E313" s="917"/>
      <c r="F313" s="917"/>
      <c r="G313" s="917"/>
      <c r="H313" s="917"/>
      <c r="I313" s="917"/>
      <c r="J313" s="917"/>
      <c r="K313" s="917"/>
      <c r="L313" s="917"/>
      <c r="M313" s="917"/>
      <c r="N313" s="918"/>
      <c r="R313" s="3"/>
      <c r="S313" s="3"/>
      <c r="AF313" s="415"/>
      <c r="AG313" s="416"/>
      <c r="AH313" s="416"/>
      <c r="AM313" s="416"/>
      <c r="AO313" s="426" t="s">
        <v>1704</v>
      </c>
    </row>
    <row r="314" spans="1:41" customFormat="1" ht="14.4" x14ac:dyDescent="0.3">
      <c r="A314" s="427"/>
      <c r="B314" s="425" t="s">
        <v>758</v>
      </c>
      <c r="C314" s="907" t="s">
        <v>1705</v>
      </c>
      <c r="D314" s="907"/>
      <c r="E314" s="907"/>
      <c r="F314" s="428"/>
      <c r="G314" s="429"/>
      <c r="H314" s="429"/>
      <c r="I314" s="429"/>
      <c r="J314" s="432">
        <v>8295.9699999999993</v>
      </c>
      <c r="K314" s="431">
        <v>0.92</v>
      </c>
      <c r="L314" s="430">
        <v>152.65</v>
      </c>
      <c r="M314" s="431">
        <v>44.77</v>
      </c>
      <c r="N314" s="433">
        <v>6834.14</v>
      </c>
      <c r="R314" s="3"/>
      <c r="S314" s="3"/>
      <c r="AF314" s="415"/>
      <c r="AG314" s="416"/>
      <c r="AH314" s="416"/>
      <c r="AJ314" s="426" t="s">
        <v>1705</v>
      </c>
      <c r="AM314" s="416"/>
    </row>
    <row r="315" spans="1:41" customFormat="1" ht="14.4" x14ac:dyDescent="0.3">
      <c r="A315" s="427"/>
      <c r="B315" s="425" t="s">
        <v>761</v>
      </c>
      <c r="C315" s="907" t="s">
        <v>1718</v>
      </c>
      <c r="D315" s="907"/>
      <c r="E315" s="907"/>
      <c r="F315" s="428"/>
      <c r="G315" s="429"/>
      <c r="H315" s="429"/>
      <c r="I315" s="429"/>
      <c r="J315" s="432">
        <v>15566.2</v>
      </c>
      <c r="K315" s="431">
        <v>0.92</v>
      </c>
      <c r="L315" s="430">
        <v>286.42</v>
      </c>
      <c r="M315" s="431">
        <v>13.24</v>
      </c>
      <c r="N315" s="433">
        <v>3792.2</v>
      </c>
      <c r="R315" s="3"/>
      <c r="S315" s="3"/>
      <c r="AF315" s="415"/>
      <c r="AG315" s="416"/>
      <c r="AH315" s="416"/>
      <c r="AJ315" s="426" t="s">
        <v>1718</v>
      </c>
      <c r="AM315" s="416"/>
    </row>
    <row r="316" spans="1:41" customFormat="1" ht="14.4" x14ac:dyDescent="0.3">
      <c r="A316" s="427"/>
      <c r="B316" s="425" t="s">
        <v>1144</v>
      </c>
      <c r="C316" s="907" t="s">
        <v>1719</v>
      </c>
      <c r="D316" s="907"/>
      <c r="E316" s="907"/>
      <c r="F316" s="428"/>
      <c r="G316" s="429"/>
      <c r="H316" s="429"/>
      <c r="I316" s="429"/>
      <c r="J316" s="432">
        <v>2094.61</v>
      </c>
      <c r="K316" s="431">
        <v>0.92</v>
      </c>
      <c r="L316" s="430">
        <v>38.54</v>
      </c>
      <c r="M316" s="431">
        <v>44.77</v>
      </c>
      <c r="N316" s="433">
        <v>1725.44</v>
      </c>
      <c r="R316" s="3"/>
      <c r="S316" s="3"/>
      <c r="AF316" s="415"/>
      <c r="AG316" s="416"/>
      <c r="AH316" s="416"/>
      <c r="AJ316" s="426" t="s">
        <v>1719</v>
      </c>
      <c r="AM316" s="416"/>
    </row>
    <row r="317" spans="1:41" customFormat="1" ht="14.4" x14ac:dyDescent="0.3">
      <c r="A317" s="427"/>
      <c r="B317" s="425" t="s">
        <v>586</v>
      </c>
      <c r="C317" s="907" t="s">
        <v>1738</v>
      </c>
      <c r="D317" s="907"/>
      <c r="E317" s="907"/>
      <c r="F317" s="428"/>
      <c r="G317" s="429"/>
      <c r="H317" s="429"/>
      <c r="I317" s="429"/>
      <c r="J317" s="430">
        <v>374.1</v>
      </c>
      <c r="K317" s="443">
        <v>0</v>
      </c>
      <c r="L317" s="430">
        <v>0</v>
      </c>
      <c r="M317" s="431">
        <v>8.16</v>
      </c>
      <c r="N317" s="437"/>
      <c r="R317" s="3"/>
      <c r="S317" s="3"/>
      <c r="AF317" s="415"/>
      <c r="AG317" s="416"/>
      <c r="AH317" s="416"/>
      <c r="AJ317" s="426" t="s">
        <v>1738</v>
      </c>
      <c r="AM317" s="416"/>
    </row>
    <row r="318" spans="1:41" customFormat="1" ht="14.4" x14ac:dyDescent="0.3">
      <c r="A318" s="434"/>
      <c r="B318" s="425"/>
      <c r="C318" s="907" t="s">
        <v>1706</v>
      </c>
      <c r="D318" s="907"/>
      <c r="E318" s="907"/>
      <c r="F318" s="428" t="s">
        <v>1707</v>
      </c>
      <c r="G318" s="443">
        <v>893</v>
      </c>
      <c r="H318" s="431">
        <v>0.92</v>
      </c>
      <c r="I318" s="453">
        <v>16.4312</v>
      </c>
      <c r="J318" s="436"/>
      <c r="K318" s="429"/>
      <c r="L318" s="436"/>
      <c r="M318" s="429"/>
      <c r="N318" s="437"/>
      <c r="R318" s="3"/>
      <c r="S318" s="3"/>
      <c r="AF318" s="415"/>
      <c r="AG318" s="416"/>
      <c r="AH318" s="416"/>
      <c r="AK318" s="426" t="s">
        <v>1706</v>
      </c>
      <c r="AM318" s="416"/>
    </row>
    <row r="319" spans="1:41" customFormat="1" ht="14.4" x14ac:dyDescent="0.3">
      <c r="A319" s="434"/>
      <c r="B319" s="425"/>
      <c r="C319" s="907" t="s">
        <v>1720</v>
      </c>
      <c r="D319" s="907"/>
      <c r="E319" s="907"/>
      <c r="F319" s="428" t="s">
        <v>1707</v>
      </c>
      <c r="G319" s="431">
        <v>155.18</v>
      </c>
      <c r="H319" s="431">
        <v>0.92</v>
      </c>
      <c r="I319" s="457">
        <v>2.8553120000000001</v>
      </c>
      <c r="J319" s="436"/>
      <c r="K319" s="429"/>
      <c r="L319" s="436"/>
      <c r="M319" s="429"/>
      <c r="N319" s="437"/>
      <c r="R319" s="3"/>
      <c r="S319" s="3"/>
      <c r="AF319" s="415"/>
      <c r="AG319" s="416"/>
      <c r="AH319" s="416"/>
      <c r="AK319" s="426" t="s">
        <v>1720</v>
      </c>
      <c r="AM319" s="416"/>
    </row>
    <row r="320" spans="1:41" customFormat="1" ht="14.4" x14ac:dyDescent="0.3">
      <c r="A320" s="427"/>
      <c r="B320" s="425"/>
      <c r="C320" s="908" t="s">
        <v>1708</v>
      </c>
      <c r="D320" s="908"/>
      <c r="E320" s="908"/>
      <c r="F320" s="438"/>
      <c r="G320" s="439"/>
      <c r="H320" s="439"/>
      <c r="I320" s="439"/>
      <c r="J320" s="441">
        <v>24236.27</v>
      </c>
      <c r="K320" s="439"/>
      <c r="L320" s="440">
        <v>439.07</v>
      </c>
      <c r="M320" s="439"/>
      <c r="N320" s="442">
        <v>10626.34</v>
      </c>
      <c r="R320" s="3"/>
      <c r="S320" s="3"/>
      <c r="AF320" s="415"/>
      <c r="AG320" s="416"/>
      <c r="AH320" s="416"/>
      <c r="AL320" s="426" t="s">
        <v>1708</v>
      </c>
      <c r="AM320" s="416"/>
    </row>
    <row r="321" spans="1:41" customFormat="1" ht="14.4" x14ac:dyDescent="0.3">
      <c r="A321" s="434"/>
      <c r="B321" s="425"/>
      <c r="C321" s="907" t="s">
        <v>1709</v>
      </c>
      <c r="D321" s="907"/>
      <c r="E321" s="907"/>
      <c r="F321" s="428"/>
      <c r="G321" s="429"/>
      <c r="H321" s="429"/>
      <c r="I321" s="429"/>
      <c r="J321" s="436"/>
      <c r="K321" s="429"/>
      <c r="L321" s="430">
        <v>191.19</v>
      </c>
      <c r="M321" s="429"/>
      <c r="N321" s="433">
        <v>8559.58</v>
      </c>
      <c r="R321" s="3"/>
      <c r="S321" s="3"/>
      <c r="AF321" s="415"/>
      <c r="AG321" s="416"/>
      <c r="AH321" s="416"/>
      <c r="AK321" s="426" t="s">
        <v>1709</v>
      </c>
      <c r="AM321" s="416"/>
    </row>
    <row r="322" spans="1:41" customFormat="1" ht="21.6" x14ac:dyDescent="0.3">
      <c r="A322" s="434"/>
      <c r="B322" s="425" t="s">
        <v>1739</v>
      </c>
      <c r="C322" s="907" t="s">
        <v>1740</v>
      </c>
      <c r="D322" s="907"/>
      <c r="E322" s="907"/>
      <c r="F322" s="428" t="s">
        <v>1712</v>
      </c>
      <c r="G322" s="443">
        <v>110</v>
      </c>
      <c r="H322" s="429"/>
      <c r="I322" s="443">
        <v>110</v>
      </c>
      <c r="J322" s="436"/>
      <c r="K322" s="429"/>
      <c r="L322" s="430">
        <v>210.31</v>
      </c>
      <c r="M322" s="429"/>
      <c r="N322" s="433">
        <v>9415.5400000000009</v>
      </c>
      <c r="R322" s="3"/>
      <c r="S322" s="3"/>
      <c r="AF322" s="415"/>
      <c r="AG322" s="416"/>
      <c r="AH322" s="416"/>
      <c r="AK322" s="426" t="s">
        <v>1740</v>
      </c>
      <c r="AM322" s="416"/>
    </row>
    <row r="323" spans="1:41" customFormat="1" ht="21.6" x14ac:dyDescent="0.3">
      <c r="A323" s="434"/>
      <c r="B323" s="425" t="s">
        <v>1741</v>
      </c>
      <c r="C323" s="907" t="s">
        <v>1742</v>
      </c>
      <c r="D323" s="907"/>
      <c r="E323" s="907"/>
      <c r="F323" s="428" t="s">
        <v>1712</v>
      </c>
      <c r="G323" s="443">
        <v>73</v>
      </c>
      <c r="H323" s="429"/>
      <c r="I323" s="443">
        <v>73</v>
      </c>
      <c r="J323" s="436"/>
      <c r="K323" s="429"/>
      <c r="L323" s="430">
        <v>139.57</v>
      </c>
      <c r="M323" s="429"/>
      <c r="N323" s="433">
        <v>6248.49</v>
      </c>
      <c r="R323" s="3"/>
      <c r="S323" s="3"/>
      <c r="AF323" s="415"/>
      <c r="AG323" s="416"/>
      <c r="AH323" s="416"/>
      <c r="AK323" s="426" t="s">
        <v>1742</v>
      </c>
      <c r="AM323" s="416"/>
    </row>
    <row r="324" spans="1:41" customFormat="1" ht="14.4" x14ac:dyDescent="0.3">
      <c r="A324" s="444"/>
      <c r="B324" s="445"/>
      <c r="C324" s="916" t="s">
        <v>1715</v>
      </c>
      <c r="D324" s="916"/>
      <c r="E324" s="916"/>
      <c r="F324" s="419"/>
      <c r="G324" s="420"/>
      <c r="H324" s="420"/>
      <c r="I324" s="420"/>
      <c r="J324" s="422"/>
      <c r="K324" s="420"/>
      <c r="L324" s="449">
        <v>788.95</v>
      </c>
      <c r="M324" s="439"/>
      <c r="N324" s="447">
        <v>26290.37</v>
      </c>
      <c r="R324" s="3"/>
      <c r="S324" s="3"/>
      <c r="AF324" s="415"/>
      <c r="AG324" s="416"/>
      <c r="AH324" s="416"/>
      <c r="AM324" s="416" t="s">
        <v>1715</v>
      </c>
    </row>
    <row r="325" spans="1:41" customFormat="1" ht="30.6" x14ac:dyDescent="0.3">
      <c r="A325" s="417" t="s">
        <v>790</v>
      </c>
      <c r="B325" s="418" t="s">
        <v>1986</v>
      </c>
      <c r="C325" s="916" t="s">
        <v>1987</v>
      </c>
      <c r="D325" s="916"/>
      <c r="E325" s="916"/>
      <c r="F325" s="419" t="s">
        <v>1988</v>
      </c>
      <c r="G325" s="420">
        <v>8.8000000000000007</v>
      </c>
      <c r="H325" s="421">
        <v>1</v>
      </c>
      <c r="I325" s="456">
        <v>8.8000000000000007</v>
      </c>
      <c r="J325" s="422"/>
      <c r="K325" s="420"/>
      <c r="L325" s="422"/>
      <c r="M325" s="420"/>
      <c r="N325" s="423"/>
      <c r="R325" s="3"/>
      <c r="S325" s="3"/>
      <c r="AF325" s="415"/>
      <c r="AG325" s="416"/>
      <c r="AH325" s="416" t="s">
        <v>1987</v>
      </c>
      <c r="AM325" s="416"/>
    </row>
    <row r="326" spans="1:41" customFormat="1" ht="14.4" x14ac:dyDescent="0.3">
      <c r="A326" s="450"/>
      <c r="B326" s="451"/>
      <c r="C326" s="907" t="s">
        <v>1989</v>
      </c>
      <c r="D326" s="907"/>
      <c r="E326" s="907"/>
      <c r="F326" s="907"/>
      <c r="G326" s="907"/>
      <c r="H326" s="907"/>
      <c r="I326" s="907"/>
      <c r="J326" s="907"/>
      <c r="K326" s="907"/>
      <c r="L326" s="907"/>
      <c r="M326" s="907"/>
      <c r="N326" s="919"/>
      <c r="R326" s="3"/>
      <c r="S326" s="3"/>
      <c r="AF326" s="415"/>
      <c r="AG326" s="416"/>
      <c r="AH326" s="416"/>
      <c r="AI326" s="426" t="s">
        <v>1989</v>
      </c>
      <c r="AM326" s="416"/>
    </row>
    <row r="327" spans="1:41" customFormat="1" ht="52.2" x14ac:dyDescent="0.3">
      <c r="A327" s="424"/>
      <c r="B327" s="425" t="s">
        <v>1703</v>
      </c>
      <c r="C327" s="917" t="s">
        <v>1704</v>
      </c>
      <c r="D327" s="917"/>
      <c r="E327" s="917"/>
      <c r="F327" s="917"/>
      <c r="G327" s="917"/>
      <c r="H327" s="917"/>
      <c r="I327" s="917"/>
      <c r="J327" s="917"/>
      <c r="K327" s="917"/>
      <c r="L327" s="917"/>
      <c r="M327" s="917"/>
      <c r="N327" s="918"/>
      <c r="R327" s="3"/>
      <c r="S327" s="3"/>
      <c r="AF327" s="415"/>
      <c r="AG327" s="416"/>
      <c r="AH327" s="416"/>
      <c r="AM327" s="416"/>
      <c r="AO327" s="426" t="s">
        <v>1704</v>
      </c>
    </row>
    <row r="328" spans="1:41" customFormat="1" ht="14.4" x14ac:dyDescent="0.3">
      <c r="A328" s="427"/>
      <c r="B328" s="425" t="s">
        <v>758</v>
      </c>
      <c r="C328" s="907" t="s">
        <v>1705</v>
      </c>
      <c r="D328" s="907"/>
      <c r="E328" s="907"/>
      <c r="F328" s="428"/>
      <c r="G328" s="429"/>
      <c r="H328" s="429"/>
      <c r="I328" s="429"/>
      <c r="J328" s="430">
        <v>62.24</v>
      </c>
      <c r="K328" s="431">
        <v>1.1499999999999999</v>
      </c>
      <c r="L328" s="430">
        <v>629.87</v>
      </c>
      <c r="M328" s="431">
        <v>44.77</v>
      </c>
      <c r="N328" s="433">
        <v>28199.279999999999</v>
      </c>
      <c r="R328" s="3"/>
      <c r="S328" s="3"/>
      <c r="AF328" s="415"/>
      <c r="AG328" s="416"/>
      <c r="AH328" s="416"/>
      <c r="AJ328" s="426" t="s">
        <v>1705</v>
      </c>
      <c r="AM328" s="416"/>
    </row>
    <row r="329" spans="1:41" customFormat="1" ht="14.4" x14ac:dyDescent="0.3">
      <c r="A329" s="427"/>
      <c r="B329" s="425" t="s">
        <v>761</v>
      </c>
      <c r="C329" s="907" t="s">
        <v>1718</v>
      </c>
      <c r="D329" s="907"/>
      <c r="E329" s="907"/>
      <c r="F329" s="428"/>
      <c r="G329" s="429"/>
      <c r="H329" s="429"/>
      <c r="I329" s="429"/>
      <c r="J329" s="430">
        <v>588.09</v>
      </c>
      <c r="K329" s="431">
        <v>1.1499999999999999</v>
      </c>
      <c r="L329" s="432">
        <v>5951.47</v>
      </c>
      <c r="M329" s="431">
        <v>13.24</v>
      </c>
      <c r="N329" s="433">
        <v>78797.460000000006</v>
      </c>
      <c r="R329" s="3"/>
      <c r="S329" s="3"/>
      <c r="AF329" s="415"/>
      <c r="AG329" s="416"/>
      <c r="AH329" s="416"/>
      <c r="AJ329" s="426" t="s">
        <v>1718</v>
      </c>
      <c r="AM329" s="416"/>
    </row>
    <row r="330" spans="1:41" customFormat="1" ht="14.4" x14ac:dyDescent="0.3">
      <c r="A330" s="427"/>
      <c r="B330" s="425" t="s">
        <v>1144</v>
      </c>
      <c r="C330" s="907" t="s">
        <v>1719</v>
      </c>
      <c r="D330" s="907"/>
      <c r="E330" s="907"/>
      <c r="F330" s="428"/>
      <c r="G330" s="429"/>
      <c r="H330" s="429"/>
      <c r="I330" s="429"/>
      <c r="J330" s="430">
        <v>0.01</v>
      </c>
      <c r="K330" s="431">
        <v>1.1499999999999999</v>
      </c>
      <c r="L330" s="430">
        <v>0.1</v>
      </c>
      <c r="M330" s="431">
        <v>44.77</v>
      </c>
      <c r="N330" s="460">
        <v>4.4800000000000004</v>
      </c>
      <c r="R330" s="3"/>
      <c r="S330" s="3"/>
      <c r="AF330" s="415"/>
      <c r="AG330" s="416"/>
      <c r="AH330" s="416"/>
      <c r="AJ330" s="426" t="s">
        <v>1719</v>
      </c>
      <c r="AM330" s="416"/>
    </row>
    <row r="331" spans="1:41" customFormat="1" ht="14.4" x14ac:dyDescent="0.3">
      <c r="A331" s="427"/>
      <c r="B331" s="425" t="s">
        <v>586</v>
      </c>
      <c r="C331" s="907" t="s">
        <v>1738</v>
      </c>
      <c r="D331" s="907"/>
      <c r="E331" s="907"/>
      <c r="F331" s="428"/>
      <c r="G331" s="429"/>
      <c r="H331" s="429"/>
      <c r="I331" s="429"/>
      <c r="J331" s="430">
        <v>2.41</v>
      </c>
      <c r="K331" s="429"/>
      <c r="L331" s="430">
        <v>21.21</v>
      </c>
      <c r="M331" s="431">
        <v>8.16</v>
      </c>
      <c r="N331" s="460">
        <v>173.07</v>
      </c>
      <c r="R331" s="3"/>
      <c r="S331" s="3"/>
      <c r="AF331" s="415"/>
      <c r="AG331" s="416"/>
      <c r="AH331" s="416"/>
      <c r="AJ331" s="426" t="s">
        <v>1738</v>
      </c>
      <c r="AM331" s="416"/>
    </row>
    <row r="332" spans="1:41" customFormat="1" ht="14.4" x14ac:dyDescent="0.3">
      <c r="A332" s="434"/>
      <c r="B332" s="425"/>
      <c r="C332" s="907" t="s">
        <v>1706</v>
      </c>
      <c r="D332" s="907"/>
      <c r="E332" s="907"/>
      <c r="F332" s="428" t="s">
        <v>1707</v>
      </c>
      <c r="G332" s="431">
        <v>6.47</v>
      </c>
      <c r="H332" s="431">
        <v>1.1499999999999999</v>
      </c>
      <c r="I332" s="453">
        <v>65.476399999999998</v>
      </c>
      <c r="J332" s="436"/>
      <c r="K332" s="429"/>
      <c r="L332" s="436"/>
      <c r="M332" s="429"/>
      <c r="N332" s="437"/>
      <c r="R332" s="3"/>
      <c r="S332" s="3"/>
      <c r="AF332" s="415"/>
      <c r="AG332" s="416"/>
      <c r="AH332" s="416"/>
      <c r="AK332" s="426" t="s">
        <v>1706</v>
      </c>
      <c r="AM332" s="416"/>
    </row>
    <row r="333" spans="1:41" customFormat="1" ht="14.4" x14ac:dyDescent="0.3">
      <c r="A333" s="427"/>
      <c r="B333" s="425"/>
      <c r="C333" s="908" t="s">
        <v>1708</v>
      </c>
      <c r="D333" s="908"/>
      <c r="E333" s="908"/>
      <c r="F333" s="438"/>
      <c r="G333" s="439"/>
      <c r="H333" s="439"/>
      <c r="I333" s="439"/>
      <c r="J333" s="440">
        <v>652.74</v>
      </c>
      <c r="K333" s="439"/>
      <c r="L333" s="441">
        <v>6602.55</v>
      </c>
      <c r="M333" s="439"/>
      <c r="N333" s="442">
        <v>107169.81</v>
      </c>
      <c r="R333" s="3"/>
      <c r="S333" s="3"/>
      <c r="AF333" s="415"/>
      <c r="AG333" s="416"/>
      <c r="AH333" s="416"/>
      <c r="AL333" s="426" t="s">
        <v>1708</v>
      </c>
      <c r="AM333" s="416"/>
    </row>
    <row r="334" spans="1:41" customFormat="1" ht="14.4" x14ac:dyDescent="0.3">
      <c r="A334" s="434"/>
      <c r="B334" s="425"/>
      <c r="C334" s="907" t="s">
        <v>1709</v>
      </c>
      <c r="D334" s="907"/>
      <c r="E334" s="907"/>
      <c r="F334" s="428"/>
      <c r="G334" s="429"/>
      <c r="H334" s="429"/>
      <c r="I334" s="429"/>
      <c r="J334" s="436"/>
      <c r="K334" s="429"/>
      <c r="L334" s="430">
        <v>629.97</v>
      </c>
      <c r="M334" s="429"/>
      <c r="N334" s="433">
        <v>28203.759999999998</v>
      </c>
      <c r="R334" s="3"/>
      <c r="S334" s="3"/>
      <c r="AF334" s="415"/>
      <c r="AG334" s="416"/>
      <c r="AH334" s="416"/>
      <c r="AK334" s="426" t="s">
        <v>1709</v>
      </c>
      <c r="AM334" s="416"/>
    </row>
    <row r="335" spans="1:41" customFormat="1" ht="21.6" x14ac:dyDescent="0.3">
      <c r="A335" s="434"/>
      <c r="B335" s="425" t="s">
        <v>1990</v>
      </c>
      <c r="C335" s="907" t="s">
        <v>1991</v>
      </c>
      <c r="D335" s="907"/>
      <c r="E335" s="907"/>
      <c r="F335" s="428" t="s">
        <v>1712</v>
      </c>
      <c r="G335" s="443">
        <v>102</v>
      </c>
      <c r="H335" s="429"/>
      <c r="I335" s="443">
        <v>102</v>
      </c>
      <c r="J335" s="436"/>
      <c r="K335" s="429"/>
      <c r="L335" s="430">
        <v>642.57000000000005</v>
      </c>
      <c r="M335" s="429"/>
      <c r="N335" s="433">
        <v>28767.84</v>
      </c>
      <c r="R335" s="3"/>
      <c r="S335" s="3"/>
      <c r="AF335" s="415"/>
      <c r="AG335" s="416"/>
      <c r="AH335" s="416"/>
      <c r="AK335" s="426" t="s">
        <v>1991</v>
      </c>
      <c r="AM335" s="416"/>
    </row>
    <row r="336" spans="1:41" customFormat="1" ht="21.6" x14ac:dyDescent="0.3">
      <c r="A336" s="434"/>
      <c r="B336" s="425" t="s">
        <v>1992</v>
      </c>
      <c r="C336" s="907" t="s">
        <v>1993</v>
      </c>
      <c r="D336" s="907"/>
      <c r="E336" s="907"/>
      <c r="F336" s="428" t="s">
        <v>1712</v>
      </c>
      <c r="G336" s="443">
        <v>58</v>
      </c>
      <c r="H336" s="429"/>
      <c r="I336" s="443">
        <v>58</v>
      </c>
      <c r="J336" s="436"/>
      <c r="K336" s="429"/>
      <c r="L336" s="430">
        <v>365.38</v>
      </c>
      <c r="M336" s="429"/>
      <c r="N336" s="433">
        <v>16358.18</v>
      </c>
      <c r="R336" s="3"/>
      <c r="S336" s="3"/>
      <c r="AF336" s="415"/>
      <c r="AG336" s="416"/>
      <c r="AH336" s="416"/>
      <c r="AK336" s="426" t="s">
        <v>1993</v>
      </c>
      <c r="AM336" s="416"/>
    </row>
    <row r="337" spans="1:40" customFormat="1" ht="14.4" x14ac:dyDescent="0.3">
      <c r="A337" s="444"/>
      <c r="B337" s="445"/>
      <c r="C337" s="916" t="s">
        <v>1715</v>
      </c>
      <c r="D337" s="916"/>
      <c r="E337" s="916"/>
      <c r="F337" s="419"/>
      <c r="G337" s="420"/>
      <c r="H337" s="420"/>
      <c r="I337" s="420"/>
      <c r="J337" s="422"/>
      <c r="K337" s="420"/>
      <c r="L337" s="446">
        <v>7610.5</v>
      </c>
      <c r="M337" s="439"/>
      <c r="N337" s="447">
        <v>152295.82999999999</v>
      </c>
      <c r="R337" s="3"/>
      <c r="S337" s="3"/>
      <c r="AF337" s="415"/>
      <c r="AG337" s="416"/>
      <c r="AH337" s="416"/>
      <c r="AM337" s="416" t="s">
        <v>1715</v>
      </c>
    </row>
    <row r="338" spans="1:40" customFormat="1" ht="21.6" x14ac:dyDescent="0.3">
      <c r="A338" s="417" t="s">
        <v>801</v>
      </c>
      <c r="B338" s="418" t="s">
        <v>1994</v>
      </c>
      <c r="C338" s="916" t="s">
        <v>1995</v>
      </c>
      <c r="D338" s="916"/>
      <c r="E338" s="916"/>
      <c r="F338" s="419" t="s">
        <v>194</v>
      </c>
      <c r="G338" s="420">
        <v>8.8000000000000007</v>
      </c>
      <c r="H338" s="421">
        <v>1</v>
      </c>
      <c r="I338" s="456">
        <v>8.8000000000000007</v>
      </c>
      <c r="J338" s="446">
        <v>1094.48</v>
      </c>
      <c r="K338" s="420"/>
      <c r="L338" s="446">
        <v>9631.42</v>
      </c>
      <c r="M338" s="448">
        <v>8.16</v>
      </c>
      <c r="N338" s="447">
        <v>78592.39</v>
      </c>
      <c r="R338" s="3"/>
      <c r="S338" s="3"/>
      <c r="AF338" s="415"/>
      <c r="AG338" s="416"/>
      <c r="AH338" s="416" t="s">
        <v>1995</v>
      </c>
      <c r="AM338" s="416"/>
    </row>
    <row r="339" spans="1:40" customFormat="1" ht="14.4" x14ac:dyDescent="0.3">
      <c r="A339" s="444"/>
      <c r="B339" s="445"/>
      <c r="C339" s="907" t="s">
        <v>1996</v>
      </c>
      <c r="D339" s="907"/>
      <c r="E339" s="907"/>
      <c r="F339" s="907"/>
      <c r="G339" s="907"/>
      <c r="H339" s="907"/>
      <c r="I339" s="907"/>
      <c r="J339" s="907"/>
      <c r="K339" s="907"/>
      <c r="L339" s="907"/>
      <c r="M339" s="907"/>
      <c r="N339" s="919"/>
      <c r="R339" s="3"/>
      <c r="S339" s="3"/>
      <c r="AF339" s="415"/>
      <c r="AG339" s="416"/>
      <c r="AH339" s="416"/>
      <c r="AM339" s="416"/>
      <c r="AN339" s="426" t="s">
        <v>1996</v>
      </c>
    </row>
    <row r="340" spans="1:40" customFormat="1" ht="14.4" x14ac:dyDescent="0.3">
      <c r="A340" s="444"/>
      <c r="B340" s="445"/>
      <c r="C340" s="916" t="s">
        <v>1715</v>
      </c>
      <c r="D340" s="916"/>
      <c r="E340" s="916"/>
      <c r="F340" s="419"/>
      <c r="G340" s="420"/>
      <c r="H340" s="420"/>
      <c r="I340" s="420"/>
      <c r="J340" s="422"/>
      <c r="K340" s="420"/>
      <c r="L340" s="446">
        <v>9631.42</v>
      </c>
      <c r="M340" s="439"/>
      <c r="N340" s="447">
        <v>78592.39</v>
      </c>
      <c r="R340" s="3"/>
      <c r="S340" s="3"/>
      <c r="AF340" s="415"/>
      <c r="AG340" s="416"/>
      <c r="AH340" s="416"/>
      <c r="AM340" s="416" t="s">
        <v>1715</v>
      </c>
    </row>
    <row r="341" spans="1:40" customFormat="1" ht="31.8" x14ac:dyDescent="0.3">
      <c r="A341" s="417" t="s">
        <v>1839</v>
      </c>
      <c r="B341" s="418" t="s">
        <v>1941</v>
      </c>
      <c r="C341" s="916" t="s">
        <v>1942</v>
      </c>
      <c r="D341" s="916"/>
      <c r="E341" s="916"/>
      <c r="F341" s="419" t="s">
        <v>1723</v>
      </c>
      <c r="G341" s="420">
        <v>204</v>
      </c>
      <c r="H341" s="421">
        <v>1</v>
      </c>
      <c r="I341" s="421">
        <v>204</v>
      </c>
      <c r="J341" s="449">
        <v>10.15</v>
      </c>
      <c r="K341" s="420"/>
      <c r="L341" s="446">
        <v>2070.6</v>
      </c>
      <c r="M341" s="448">
        <v>13.24</v>
      </c>
      <c r="N341" s="447">
        <v>27414.74</v>
      </c>
      <c r="R341" s="3"/>
      <c r="S341" s="3"/>
      <c r="AF341" s="415"/>
      <c r="AG341" s="416"/>
      <c r="AH341" s="416" t="s">
        <v>1942</v>
      </c>
      <c r="AM341" s="416"/>
    </row>
    <row r="342" spans="1:40" customFormat="1" ht="14.4" x14ac:dyDescent="0.3">
      <c r="A342" s="444"/>
      <c r="B342" s="445"/>
      <c r="C342" s="907" t="s">
        <v>1745</v>
      </c>
      <c r="D342" s="907"/>
      <c r="E342" s="907"/>
      <c r="F342" s="907"/>
      <c r="G342" s="907"/>
      <c r="H342" s="907"/>
      <c r="I342" s="907"/>
      <c r="J342" s="907"/>
      <c r="K342" s="907"/>
      <c r="L342" s="907"/>
      <c r="M342" s="907"/>
      <c r="N342" s="919"/>
      <c r="R342" s="3"/>
      <c r="S342" s="3"/>
      <c r="AF342" s="415"/>
      <c r="AG342" s="416"/>
      <c r="AH342" s="416"/>
      <c r="AM342" s="416"/>
      <c r="AN342" s="426" t="s">
        <v>1745</v>
      </c>
    </row>
    <row r="343" spans="1:40" customFormat="1" ht="14.4" x14ac:dyDescent="0.3">
      <c r="A343" s="450"/>
      <c r="B343" s="451"/>
      <c r="C343" s="907" t="s">
        <v>1997</v>
      </c>
      <c r="D343" s="907"/>
      <c r="E343" s="907"/>
      <c r="F343" s="907"/>
      <c r="G343" s="907"/>
      <c r="H343" s="907"/>
      <c r="I343" s="907"/>
      <c r="J343" s="907"/>
      <c r="K343" s="907"/>
      <c r="L343" s="907"/>
      <c r="M343" s="907"/>
      <c r="N343" s="919"/>
      <c r="R343" s="3"/>
      <c r="S343" s="3"/>
      <c r="AF343" s="415"/>
      <c r="AG343" s="416"/>
      <c r="AH343" s="416"/>
      <c r="AI343" s="426" t="s">
        <v>1997</v>
      </c>
      <c r="AM343" s="416"/>
    </row>
    <row r="344" spans="1:40" customFormat="1" ht="14.4" x14ac:dyDescent="0.3">
      <c r="A344" s="444"/>
      <c r="B344" s="445"/>
      <c r="C344" s="916" t="s">
        <v>1715</v>
      </c>
      <c r="D344" s="916"/>
      <c r="E344" s="916"/>
      <c r="F344" s="419"/>
      <c r="G344" s="420"/>
      <c r="H344" s="420"/>
      <c r="I344" s="420"/>
      <c r="J344" s="422"/>
      <c r="K344" s="420"/>
      <c r="L344" s="446">
        <v>2070.6</v>
      </c>
      <c r="M344" s="439"/>
      <c r="N344" s="447">
        <v>27414.74</v>
      </c>
      <c r="R344" s="3"/>
      <c r="S344" s="3"/>
      <c r="AF344" s="415"/>
      <c r="AG344" s="416"/>
      <c r="AH344" s="416"/>
      <c r="AM344" s="416" t="s">
        <v>1715</v>
      </c>
    </row>
    <row r="345" spans="1:40" customFormat="1" ht="31.8" x14ac:dyDescent="0.3">
      <c r="A345" s="417" t="s">
        <v>1841</v>
      </c>
      <c r="B345" s="418" t="s">
        <v>1923</v>
      </c>
      <c r="C345" s="916" t="s">
        <v>1924</v>
      </c>
      <c r="D345" s="916"/>
      <c r="E345" s="916"/>
      <c r="F345" s="419" t="s">
        <v>1723</v>
      </c>
      <c r="G345" s="420">
        <v>204</v>
      </c>
      <c r="H345" s="421">
        <v>1</v>
      </c>
      <c r="I345" s="421">
        <v>204</v>
      </c>
      <c r="J345" s="449">
        <v>8.7899999999999991</v>
      </c>
      <c r="K345" s="420"/>
      <c r="L345" s="446">
        <v>1793.16</v>
      </c>
      <c r="M345" s="448">
        <v>13.62</v>
      </c>
      <c r="N345" s="447">
        <v>24422.84</v>
      </c>
      <c r="R345" s="3"/>
      <c r="S345" s="3"/>
      <c r="AF345" s="415"/>
      <c r="AG345" s="416"/>
      <c r="AH345" s="416" t="s">
        <v>1924</v>
      </c>
      <c r="AM345" s="416"/>
    </row>
    <row r="346" spans="1:40" customFormat="1" ht="14.4" x14ac:dyDescent="0.3">
      <c r="A346" s="444"/>
      <c r="B346" s="445"/>
      <c r="C346" s="907" t="s">
        <v>1925</v>
      </c>
      <c r="D346" s="907"/>
      <c r="E346" s="907"/>
      <c r="F346" s="907"/>
      <c r="G346" s="907"/>
      <c r="H346" s="907"/>
      <c r="I346" s="907"/>
      <c r="J346" s="907"/>
      <c r="K346" s="907"/>
      <c r="L346" s="907"/>
      <c r="M346" s="907"/>
      <c r="N346" s="919"/>
      <c r="R346" s="3"/>
      <c r="S346" s="3"/>
      <c r="AF346" s="415"/>
      <c r="AG346" s="416"/>
      <c r="AH346" s="416"/>
      <c r="AM346" s="416"/>
      <c r="AN346" s="426" t="s">
        <v>1925</v>
      </c>
    </row>
    <row r="347" spans="1:40" customFormat="1" ht="14.4" x14ac:dyDescent="0.3">
      <c r="A347" s="450"/>
      <c r="B347" s="451"/>
      <c r="C347" s="907" t="s">
        <v>1998</v>
      </c>
      <c r="D347" s="907"/>
      <c r="E347" s="907"/>
      <c r="F347" s="907"/>
      <c r="G347" s="907"/>
      <c r="H347" s="907"/>
      <c r="I347" s="907"/>
      <c r="J347" s="907"/>
      <c r="K347" s="907"/>
      <c r="L347" s="907"/>
      <c r="M347" s="907"/>
      <c r="N347" s="919"/>
      <c r="R347" s="3"/>
      <c r="S347" s="3"/>
      <c r="AF347" s="415"/>
      <c r="AG347" s="416"/>
      <c r="AH347" s="416"/>
      <c r="AI347" s="426" t="s">
        <v>1998</v>
      </c>
      <c r="AM347" s="416"/>
    </row>
    <row r="348" spans="1:40" customFormat="1" ht="14.4" x14ac:dyDescent="0.3">
      <c r="A348" s="444"/>
      <c r="B348" s="445"/>
      <c r="C348" s="916" t="s">
        <v>1715</v>
      </c>
      <c r="D348" s="916"/>
      <c r="E348" s="916"/>
      <c r="F348" s="419"/>
      <c r="G348" s="420"/>
      <c r="H348" s="420"/>
      <c r="I348" s="420"/>
      <c r="J348" s="422"/>
      <c r="K348" s="420"/>
      <c r="L348" s="446">
        <v>1793.16</v>
      </c>
      <c r="M348" s="439"/>
      <c r="N348" s="447">
        <v>24422.84</v>
      </c>
      <c r="R348" s="3"/>
      <c r="S348" s="3"/>
      <c r="AF348" s="415"/>
      <c r="AG348" s="416"/>
      <c r="AH348" s="416"/>
      <c r="AM348" s="416" t="s">
        <v>1715</v>
      </c>
    </row>
    <row r="349" spans="1:40" customFormat="1" ht="31.8" x14ac:dyDescent="0.3">
      <c r="A349" s="417" t="s">
        <v>1842</v>
      </c>
      <c r="B349" s="418" t="s">
        <v>1944</v>
      </c>
      <c r="C349" s="916" t="s">
        <v>1945</v>
      </c>
      <c r="D349" s="916"/>
      <c r="E349" s="916"/>
      <c r="F349" s="419" t="s">
        <v>1723</v>
      </c>
      <c r="G349" s="420">
        <v>204</v>
      </c>
      <c r="H349" s="421">
        <v>1</v>
      </c>
      <c r="I349" s="421">
        <v>204</v>
      </c>
      <c r="J349" s="449">
        <v>10.15</v>
      </c>
      <c r="K349" s="420"/>
      <c r="L349" s="446">
        <v>2070.6</v>
      </c>
      <c r="M349" s="448">
        <v>13.24</v>
      </c>
      <c r="N349" s="447">
        <v>27414.74</v>
      </c>
      <c r="R349" s="3"/>
      <c r="S349" s="3"/>
      <c r="AF349" s="415"/>
      <c r="AG349" s="416"/>
      <c r="AH349" s="416" t="s">
        <v>1945</v>
      </c>
      <c r="AM349" s="416"/>
    </row>
    <row r="350" spans="1:40" customFormat="1" ht="14.4" x14ac:dyDescent="0.3">
      <c r="A350" s="444"/>
      <c r="B350" s="445"/>
      <c r="C350" s="907" t="s">
        <v>1745</v>
      </c>
      <c r="D350" s="907"/>
      <c r="E350" s="907"/>
      <c r="F350" s="907"/>
      <c r="G350" s="907"/>
      <c r="H350" s="907"/>
      <c r="I350" s="907"/>
      <c r="J350" s="907"/>
      <c r="K350" s="907"/>
      <c r="L350" s="907"/>
      <c r="M350" s="907"/>
      <c r="N350" s="919"/>
      <c r="R350" s="3"/>
      <c r="S350" s="3"/>
      <c r="AF350" s="415"/>
      <c r="AG350" s="416"/>
      <c r="AH350" s="416"/>
      <c r="AM350" s="416"/>
      <c r="AN350" s="426" t="s">
        <v>1745</v>
      </c>
    </row>
    <row r="351" spans="1:40" customFormat="1" ht="14.4" x14ac:dyDescent="0.3">
      <c r="A351" s="444"/>
      <c r="B351" s="445"/>
      <c r="C351" s="916" t="s">
        <v>1715</v>
      </c>
      <c r="D351" s="916"/>
      <c r="E351" s="916"/>
      <c r="F351" s="419"/>
      <c r="G351" s="420"/>
      <c r="H351" s="420"/>
      <c r="I351" s="420"/>
      <c r="J351" s="422"/>
      <c r="K351" s="420"/>
      <c r="L351" s="446">
        <v>2070.6</v>
      </c>
      <c r="M351" s="439"/>
      <c r="N351" s="447">
        <v>27414.74</v>
      </c>
      <c r="R351" s="3"/>
      <c r="S351" s="3"/>
      <c r="AF351" s="415"/>
      <c r="AG351" s="416"/>
      <c r="AH351" s="416"/>
      <c r="AM351" s="416" t="s">
        <v>1715</v>
      </c>
    </row>
    <row r="352" spans="1:40" customFormat="1" ht="31.8" x14ac:dyDescent="0.3">
      <c r="A352" s="417" t="s">
        <v>1844</v>
      </c>
      <c r="B352" s="418" t="s">
        <v>1941</v>
      </c>
      <c r="C352" s="916" t="s">
        <v>1942</v>
      </c>
      <c r="D352" s="916"/>
      <c r="E352" s="916"/>
      <c r="F352" s="419" t="s">
        <v>1723</v>
      </c>
      <c r="G352" s="420">
        <v>204</v>
      </c>
      <c r="H352" s="421">
        <v>1</v>
      </c>
      <c r="I352" s="421">
        <v>204</v>
      </c>
      <c r="J352" s="449">
        <v>10.15</v>
      </c>
      <c r="K352" s="420"/>
      <c r="L352" s="446">
        <v>2070.6</v>
      </c>
      <c r="M352" s="448">
        <v>13.24</v>
      </c>
      <c r="N352" s="447">
        <v>27414.74</v>
      </c>
      <c r="R352" s="3"/>
      <c r="S352" s="3"/>
      <c r="AF352" s="415"/>
      <c r="AG352" s="416"/>
      <c r="AH352" s="416" t="s">
        <v>1942</v>
      </c>
      <c r="AM352" s="416"/>
    </row>
    <row r="353" spans="1:42" customFormat="1" ht="14.4" x14ac:dyDescent="0.3">
      <c r="A353" s="444"/>
      <c r="B353" s="445"/>
      <c r="C353" s="907" t="s">
        <v>1745</v>
      </c>
      <c r="D353" s="907"/>
      <c r="E353" s="907"/>
      <c r="F353" s="907"/>
      <c r="G353" s="907"/>
      <c r="H353" s="907"/>
      <c r="I353" s="907"/>
      <c r="J353" s="907"/>
      <c r="K353" s="907"/>
      <c r="L353" s="907"/>
      <c r="M353" s="907"/>
      <c r="N353" s="919"/>
      <c r="R353" s="3"/>
      <c r="S353" s="3"/>
      <c r="AF353" s="415"/>
      <c r="AG353" s="416"/>
      <c r="AH353" s="416"/>
      <c r="AM353" s="416"/>
      <c r="AN353" s="426" t="s">
        <v>1745</v>
      </c>
    </row>
    <row r="354" spans="1:42" customFormat="1" ht="14.4" x14ac:dyDescent="0.3">
      <c r="A354" s="444"/>
      <c r="B354" s="445"/>
      <c r="C354" s="916" t="s">
        <v>1715</v>
      </c>
      <c r="D354" s="916"/>
      <c r="E354" s="916"/>
      <c r="F354" s="419"/>
      <c r="G354" s="420"/>
      <c r="H354" s="420"/>
      <c r="I354" s="420"/>
      <c r="J354" s="422"/>
      <c r="K354" s="420"/>
      <c r="L354" s="446">
        <v>2070.6</v>
      </c>
      <c r="M354" s="439"/>
      <c r="N354" s="447">
        <v>27414.74</v>
      </c>
      <c r="R354" s="3"/>
      <c r="S354" s="3"/>
      <c r="AF354" s="415"/>
      <c r="AG354" s="416"/>
      <c r="AH354" s="416"/>
      <c r="AM354" s="416" t="s">
        <v>1715</v>
      </c>
    </row>
    <row r="355" spans="1:42" customFormat="1" ht="21.6" x14ac:dyDescent="0.3">
      <c r="A355" s="417" t="s">
        <v>1846</v>
      </c>
      <c r="B355" s="418" t="s">
        <v>1726</v>
      </c>
      <c r="C355" s="916" t="s">
        <v>1727</v>
      </c>
      <c r="D355" s="916"/>
      <c r="E355" s="916"/>
      <c r="F355" s="419" t="s">
        <v>193</v>
      </c>
      <c r="G355" s="420">
        <v>82.64</v>
      </c>
      <c r="H355" s="421">
        <v>1</v>
      </c>
      <c r="I355" s="448">
        <v>82.64</v>
      </c>
      <c r="J355" s="449">
        <v>162.38</v>
      </c>
      <c r="K355" s="420"/>
      <c r="L355" s="446">
        <v>13419.08</v>
      </c>
      <c r="M355" s="448">
        <v>8.16</v>
      </c>
      <c r="N355" s="447">
        <v>109499.69</v>
      </c>
      <c r="R355" s="3"/>
      <c r="S355" s="3"/>
      <c r="AF355" s="415"/>
      <c r="AG355" s="416"/>
      <c r="AH355" s="416" t="s">
        <v>1727</v>
      </c>
      <c r="AM355" s="416"/>
    </row>
    <row r="356" spans="1:42" customFormat="1" ht="14.4" x14ac:dyDescent="0.3">
      <c r="A356" s="444"/>
      <c r="B356" s="445"/>
      <c r="C356" s="907" t="s">
        <v>1728</v>
      </c>
      <c r="D356" s="907"/>
      <c r="E356" s="907"/>
      <c r="F356" s="907"/>
      <c r="G356" s="907"/>
      <c r="H356" s="907"/>
      <c r="I356" s="907"/>
      <c r="J356" s="907"/>
      <c r="K356" s="907"/>
      <c r="L356" s="907"/>
      <c r="M356" s="907"/>
      <c r="N356" s="919"/>
      <c r="R356" s="3"/>
      <c r="S356" s="3"/>
      <c r="AF356" s="415"/>
      <c r="AG356" s="416"/>
      <c r="AH356" s="416"/>
      <c r="AM356" s="416"/>
      <c r="AN356" s="426" t="s">
        <v>1728</v>
      </c>
    </row>
    <row r="357" spans="1:42" customFormat="1" ht="14.4" x14ac:dyDescent="0.3">
      <c r="A357" s="450"/>
      <c r="B357" s="451"/>
      <c r="C357" s="907" t="s">
        <v>1999</v>
      </c>
      <c r="D357" s="907"/>
      <c r="E357" s="907"/>
      <c r="F357" s="907"/>
      <c r="G357" s="907"/>
      <c r="H357" s="907"/>
      <c r="I357" s="907"/>
      <c r="J357" s="907"/>
      <c r="K357" s="907"/>
      <c r="L357" s="907"/>
      <c r="M357" s="907"/>
      <c r="N357" s="919"/>
      <c r="R357" s="3"/>
      <c r="S357" s="3"/>
      <c r="AF357" s="415"/>
      <c r="AG357" s="416"/>
      <c r="AH357" s="416"/>
      <c r="AI357" s="426" t="s">
        <v>1999</v>
      </c>
      <c r="AM357" s="416"/>
    </row>
    <row r="358" spans="1:42" customFormat="1" ht="14.4" x14ac:dyDescent="0.3">
      <c r="A358" s="450"/>
      <c r="B358" s="451"/>
      <c r="C358" s="907" t="s">
        <v>1730</v>
      </c>
      <c r="D358" s="907"/>
      <c r="E358" s="907"/>
      <c r="F358" s="907"/>
      <c r="G358" s="907"/>
      <c r="H358" s="907"/>
      <c r="I358" s="907"/>
      <c r="J358" s="907"/>
      <c r="K358" s="907"/>
      <c r="L358" s="907"/>
      <c r="M358" s="907"/>
      <c r="N358" s="919"/>
      <c r="R358" s="3"/>
      <c r="S358" s="3"/>
      <c r="AF358" s="415"/>
      <c r="AG358" s="416"/>
      <c r="AH358" s="416"/>
      <c r="AM358" s="416"/>
      <c r="AP358" s="426" t="s">
        <v>1730</v>
      </c>
    </row>
    <row r="359" spans="1:42" customFormat="1" ht="14.4" x14ac:dyDescent="0.3">
      <c r="A359" s="444"/>
      <c r="B359" s="445"/>
      <c r="C359" s="916" t="s">
        <v>1715</v>
      </c>
      <c r="D359" s="916"/>
      <c r="E359" s="916"/>
      <c r="F359" s="419"/>
      <c r="G359" s="420"/>
      <c r="H359" s="420"/>
      <c r="I359" s="420"/>
      <c r="J359" s="422"/>
      <c r="K359" s="420"/>
      <c r="L359" s="446">
        <v>13419.08</v>
      </c>
      <c r="M359" s="439"/>
      <c r="N359" s="447">
        <v>109499.69</v>
      </c>
      <c r="R359" s="3"/>
      <c r="S359" s="3"/>
      <c r="AF359" s="415"/>
      <c r="AG359" s="416"/>
      <c r="AH359" s="416"/>
      <c r="AM359" s="416" t="s">
        <v>1715</v>
      </c>
    </row>
    <row r="360" spans="1:42" customFormat="1" ht="14.4" x14ac:dyDescent="0.3">
      <c r="A360" s="913" t="s">
        <v>2000</v>
      </c>
      <c r="B360" s="914"/>
      <c r="C360" s="914"/>
      <c r="D360" s="914"/>
      <c r="E360" s="914"/>
      <c r="F360" s="914"/>
      <c r="G360" s="914"/>
      <c r="H360" s="914"/>
      <c r="I360" s="914"/>
      <c r="J360" s="914"/>
      <c r="K360" s="914"/>
      <c r="L360" s="914"/>
      <c r="M360" s="914"/>
      <c r="N360" s="915"/>
      <c r="R360" s="3"/>
      <c r="S360" s="3"/>
      <c r="AF360" s="415"/>
      <c r="AG360" s="416" t="s">
        <v>2000</v>
      </c>
      <c r="AH360" s="416"/>
      <c r="AM360" s="416"/>
    </row>
    <row r="361" spans="1:42" customFormat="1" ht="21.6" x14ac:dyDescent="0.3">
      <c r="A361" s="417" t="s">
        <v>1848</v>
      </c>
      <c r="B361" s="418" t="s">
        <v>2001</v>
      </c>
      <c r="C361" s="916" t="s">
        <v>2002</v>
      </c>
      <c r="D361" s="916"/>
      <c r="E361" s="916"/>
      <c r="F361" s="419" t="s">
        <v>1890</v>
      </c>
      <c r="G361" s="420">
        <v>1.1200000000000001</v>
      </c>
      <c r="H361" s="421">
        <v>1</v>
      </c>
      <c r="I361" s="448">
        <v>1.1200000000000001</v>
      </c>
      <c r="J361" s="422"/>
      <c r="K361" s="420"/>
      <c r="L361" s="422"/>
      <c r="M361" s="420"/>
      <c r="N361" s="423"/>
      <c r="R361" s="3"/>
      <c r="S361" s="3"/>
      <c r="AF361" s="415"/>
      <c r="AG361" s="416"/>
      <c r="AH361" s="416" t="s">
        <v>2002</v>
      </c>
      <c r="AM361" s="416"/>
    </row>
    <row r="362" spans="1:42" customFormat="1" ht="14.4" x14ac:dyDescent="0.3">
      <c r="A362" s="450"/>
      <c r="B362" s="451"/>
      <c r="C362" s="907" t="s">
        <v>2003</v>
      </c>
      <c r="D362" s="907"/>
      <c r="E362" s="907"/>
      <c r="F362" s="907"/>
      <c r="G362" s="907"/>
      <c r="H362" s="907"/>
      <c r="I362" s="907"/>
      <c r="J362" s="907"/>
      <c r="K362" s="907"/>
      <c r="L362" s="907"/>
      <c r="M362" s="907"/>
      <c r="N362" s="919"/>
      <c r="R362" s="3"/>
      <c r="S362" s="3"/>
      <c r="AF362" s="415"/>
      <c r="AG362" s="416"/>
      <c r="AH362" s="416"/>
      <c r="AI362" s="426" t="s">
        <v>2003</v>
      </c>
      <c r="AM362" s="416"/>
    </row>
    <row r="363" spans="1:42" customFormat="1" ht="52.2" x14ac:dyDescent="0.3">
      <c r="A363" s="424"/>
      <c r="B363" s="425" t="s">
        <v>1703</v>
      </c>
      <c r="C363" s="917" t="s">
        <v>1704</v>
      </c>
      <c r="D363" s="917"/>
      <c r="E363" s="917"/>
      <c r="F363" s="917"/>
      <c r="G363" s="917"/>
      <c r="H363" s="917"/>
      <c r="I363" s="917"/>
      <c r="J363" s="917"/>
      <c r="K363" s="917"/>
      <c r="L363" s="917"/>
      <c r="M363" s="917"/>
      <c r="N363" s="918"/>
      <c r="R363" s="3"/>
      <c r="S363" s="3"/>
      <c r="AF363" s="415"/>
      <c r="AG363" s="416"/>
      <c r="AH363" s="416"/>
      <c r="AM363" s="416"/>
      <c r="AO363" s="426" t="s">
        <v>1704</v>
      </c>
    </row>
    <row r="364" spans="1:42" customFormat="1" ht="14.4" x14ac:dyDescent="0.3">
      <c r="A364" s="427"/>
      <c r="B364" s="425" t="s">
        <v>758</v>
      </c>
      <c r="C364" s="907" t="s">
        <v>1705</v>
      </c>
      <c r="D364" s="907"/>
      <c r="E364" s="907"/>
      <c r="F364" s="428"/>
      <c r="G364" s="429"/>
      <c r="H364" s="429"/>
      <c r="I364" s="429"/>
      <c r="J364" s="432">
        <v>1225.96</v>
      </c>
      <c r="K364" s="431">
        <v>1.1499999999999999</v>
      </c>
      <c r="L364" s="432">
        <v>1579.04</v>
      </c>
      <c r="M364" s="431">
        <v>44.77</v>
      </c>
      <c r="N364" s="433">
        <v>70693.62</v>
      </c>
      <c r="R364" s="3"/>
      <c r="S364" s="3"/>
      <c r="AF364" s="415"/>
      <c r="AG364" s="416"/>
      <c r="AH364" s="416"/>
      <c r="AJ364" s="426" t="s">
        <v>1705</v>
      </c>
      <c r="AM364" s="416"/>
    </row>
    <row r="365" spans="1:42" customFormat="1" ht="14.4" x14ac:dyDescent="0.3">
      <c r="A365" s="427"/>
      <c r="B365" s="425" t="s">
        <v>761</v>
      </c>
      <c r="C365" s="907" t="s">
        <v>1718</v>
      </c>
      <c r="D365" s="907"/>
      <c r="E365" s="907"/>
      <c r="F365" s="428"/>
      <c r="G365" s="429"/>
      <c r="H365" s="429"/>
      <c r="I365" s="429"/>
      <c r="J365" s="430">
        <v>241.95</v>
      </c>
      <c r="K365" s="431">
        <v>1.1499999999999999</v>
      </c>
      <c r="L365" s="430">
        <v>311.63</v>
      </c>
      <c r="M365" s="431">
        <v>13.24</v>
      </c>
      <c r="N365" s="433">
        <v>4125.9799999999996</v>
      </c>
      <c r="R365" s="3"/>
      <c r="S365" s="3"/>
      <c r="AF365" s="415"/>
      <c r="AG365" s="416"/>
      <c r="AH365" s="416"/>
      <c r="AJ365" s="426" t="s">
        <v>1718</v>
      </c>
      <c r="AM365" s="416"/>
    </row>
    <row r="366" spans="1:42" customFormat="1" ht="14.4" x14ac:dyDescent="0.3">
      <c r="A366" s="427"/>
      <c r="B366" s="425" t="s">
        <v>1144</v>
      </c>
      <c r="C366" s="907" t="s">
        <v>1719</v>
      </c>
      <c r="D366" s="907"/>
      <c r="E366" s="907"/>
      <c r="F366" s="428"/>
      <c r="G366" s="429"/>
      <c r="H366" s="429"/>
      <c r="I366" s="429"/>
      <c r="J366" s="430">
        <v>104.49</v>
      </c>
      <c r="K366" s="431">
        <v>1.1499999999999999</v>
      </c>
      <c r="L366" s="430">
        <v>134.58000000000001</v>
      </c>
      <c r="M366" s="431">
        <v>44.77</v>
      </c>
      <c r="N366" s="433">
        <v>6025.15</v>
      </c>
      <c r="R366" s="3"/>
      <c r="S366" s="3"/>
      <c r="AF366" s="415"/>
      <c r="AG366" s="416"/>
      <c r="AH366" s="416"/>
      <c r="AJ366" s="426" t="s">
        <v>1719</v>
      </c>
      <c r="AM366" s="416"/>
    </row>
    <row r="367" spans="1:42" customFormat="1" ht="14.4" x14ac:dyDescent="0.3">
      <c r="A367" s="434"/>
      <c r="B367" s="425"/>
      <c r="C367" s="907" t="s">
        <v>1706</v>
      </c>
      <c r="D367" s="907"/>
      <c r="E367" s="907"/>
      <c r="F367" s="428" t="s">
        <v>1707</v>
      </c>
      <c r="G367" s="431">
        <v>151.54</v>
      </c>
      <c r="H367" s="431">
        <v>1.1499999999999999</v>
      </c>
      <c r="I367" s="459">
        <v>195.18351999999999</v>
      </c>
      <c r="J367" s="436"/>
      <c r="K367" s="429"/>
      <c r="L367" s="436"/>
      <c r="M367" s="429"/>
      <c r="N367" s="437"/>
      <c r="R367" s="3"/>
      <c r="S367" s="3"/>
      <c r="AF367" s="415"/>
      <c r="AG367" s="416"/>
      <c r="AH367" s="416"/>
      <c r="AK367" s="426" t="s">
        <v>1706</v>
      </c>
      <c r="AM367" s="416"/>
    </row>
    <row r="368" spans="1:42" customFormat="1" ht="14.4" x14ac:dyDescent="0.3">
      <c r="A368" s="434"/>
      <c r="B368" s="425"/>
      <c r="C368" s="907" t="s">
        <v>1720</v>
      </c>
      <c r="D368" s="907"/>
      <c r="E368" s="907"/>
      <c r="F368" s="428" t="s">
        <v>1707</v>
      </c>
      <c r="G368" s="431">
        <v>7.74</v>
      </c>
      <c r="H368" s="431">
        <v>1.1499999999999999</v>
      </c>
      <c r="I368" s="459">
        <v>9.9691200000000002</v>
      </c>
      <c r="J368" s="436"/>
      <c r="K368" s="429"/>
      <c r="L368" s="436"/>
      <c r="M368" s="429"/>
      <c r="N368" s="437"/>
      <c r="R368" s="3"/>
      <c r="S368" s="3"/>
      <c r="AF368" s="415"/>
      <c r="AG368" s="416"/>
      <c r="AH368" s="416"/>
      <c r="AK368" s="426" t="s">
        <v>1720</v>
      </c>
      <c r="AM368" s="416"/>
    </row>
    <row r="369" spans="1:42" customFormat="1" ht="14.4" x14ac:dyDescent="0.3">
      <c r="A369" s="427"/>
      <c r="B369" s="425"/>
      <c r="C369" s="908" t="s">
        <v>1708</v>
      </c>
      <c r="D369" s="908"/>
      <c r="E369" s="908"/>
      <c r="F369" s="438"/>
      <c r="G369" s="439"/>
      <c r="H369" s="439"/>
      <c r="I369" s="439"/>
      <c r="J369" s="441">
        <v>1467.91</v>
      </c>
      <c r="K369" s="439"/>
      <c r="L369" s="441">
        <v>1890.67</v>
      </c>
      <c r="M369" s="439"/>
      <c r="N369" s="442">
        <v>74819.600000000006</v>
      </c>
      <c r="R369" s="3"/>
      <c r="S369" s="3"/>
      <c r="AF369" s="415"/>
      <c r="AG369" s="416"/>
      <c r="AH369" s="416"/>
      <c r="AL369" s="426" t="s">
        <v>1708</v>
      </c>
      <c r="AM369" s="416"/>
    </row>
    <row r="370" spans="1:42" customFormat="1" ht="14.4" x14ac:dyDescent="0.3">
      <c r="A370" s="434"/>
      <c r="B370" s="425"/>
      <c r="C370" s="907" t="s">
        <v>1709</v>
      </c>
      <c r="D370" s="907"/>
      <c r="E370" s="907"/>
      <c r="F370" s="428"/>
      <c r="G370" s="429"/>
      <c r="H370" s="429"/>
      <c r="I370" s="429"/>
      <c r="J370" s="436"/>
      <c r="K370" s="429"/>
      <c r="L370" s="432">
        <v>1713.62</v>
      </c>
      <c r="M370" s="429"/>
      <c r="N370" s="433">
        <v>76718.77</v>
      </c>
      <c r="R370" s="3"/>
      <c r="S370" s="3"/>
      <c r="AF370" s="415"/>
      <c r="AG370" s="416"/>
      <c r="AH370" s="416"/>
      <c r="AK370" s="426" t="s">
        <v>1709</v>
      </c>
      <c r="AM370" s="416"/>
    </row>
    <row r="371" spans="1:42" customFormat="1" ht="31.8" x14ac:dyDescent="0.3">
      <c r="A371" s="434"/>
      <c r="B371" s="425" t="s">
        <v>1761</v>
      </c>
      <c r="C371" s="907" t="s">
        <v>1762</v>
      </c>
      <c r="D371" s="907"/>
      <c r="E371" s="907"/>
      <c r="F371" s="428" t="s">
        <v>1712</v>
      </c>
      <c r="G371" s="443">
        <v>91</v>
      </c>
      <c r="H371" s="429"/>
      <c r="I371" s="443">
        <v>91</v>
      </c>
      <c r="J371" s="436"/>
      <c r="K371" s="429"/>
      <c r="L371" s="432">
        <v>1559.39</v>
      </c>
      <c r="M371" s="429"/>
      <c r="N371" s="433">
        <v>69814.080000000002</v>
      </c>
      <c r="R371" s="3"/>
      <c r="S371" s="3"/>
      <c r="AF371" s="415"/>
      <c r="AG371" s="416"/>
      <c r="AH371" s="416"/>
      <c r="AK371" s="426" t="s">
        <v>1762</v>
      </c>
      <c r="AM371" s="416"/>
    </row>
    <row r="372" spans="1:42" customFormat="1" ht="31.8" x14ac:dyDescent="0.3">
      <c r="A372" s="434"/>
      <c r="B372" s="425" t="s">
        <v>1763</v>
      </c>
      <c r="C372" s="907" t="s">
        <v>1764</v>
      </c>
      <c r="D372" s="907"/>
      <c r="E372" s="907"/>
      <c r="F372" s="428" t="s">
        <v>1712</v>
      </c>
      <c r="G372" s="443">
        <v>52</v>
      </c>
      <c r="H372" s="429"/>
      <c r="I372" s="443">
        <v>52</v>
      </c>
      <c r="J372" s="436"/>
      <c r="K372" s="429"/>
      <c r="L372" s="430">
        <v>891.08</v>
      </c>
      <c r="M372" s="429"/>
      <c r="N372" s="433">
        <v>39893.760000000002</v>
      </c>
      <c r="R372" s="3"/>
      <c r="S372" s="3"/>
      <c r="AF372" s="415"/>
      <c r="AG372" s="416"/>
      <c r="AH372" s="416"/>
      <c r="AK372" s="426" t="s">
        <v>1764</v>
      </c>
      <c r="AM372" s="416"/>
    </row>
    <row r="373" spans="1:42" customFormat="1" ht="14.4" x14ac:dyDescent="0.3">
      <c r="A373" s="444"/>
      <c r="B373" s="445"/>
      <c r="C373" s="916" t="s">
        <v>1715</v>
      </c>
      <c r="D373" s="916"/>
      <c r="E373" s="916"/>
      <c r="F373" s="419"/>
      <c r="G373" s="420"/>
      <c r="H373" s="420"/>
      <c r="I373" s="420"/>
      <c r="J373" s="422"/>
      <c r="K373" s="420"/>
      <c r="L373" s="446">
        <v>4341.1400000000003</v>
      </c>
      <c r="M373" s="439"/>
      <c r="N373" s="447">
        <v>184527.44</v>
      </c>
      <c r="R373" s="3"/>
      <c r="S373" s="3"/>
      <c r="AF373" s="415"/>
      <c r="AG373" s="416"/>
      <c r="AH373" s="416"/>
      <c r="AM373" s="416" t="s">
        <v>1715</v>
      </c>
    </row>
    <row r="374" spans="1:42" customFormat="1" ht="31.8" x14ac:dyDescent="0.3">
      <c r="A374" s="417" t="s">
        <v>817</v>
      </c>
      <c r="B374" s="418" t="s">
        <v>2004</v>
      </c>
      <c r="C374" s="916" t="s">
        <v>2005</v>
      </c>
      <c r="D374" s="916"/>
      <c r="E374" s="916"/>
      <c r="F374" s="419" t="s">
        <v>1723</v>
      </c>
      <c r="G374" s="420">
        <v>2.67</v>
      </c>
      <c r="H374" s="421">
        <v>1</v>
      </c>
      <c r="I374" s="448">
        <v>2.67</v>
      </c>
      <c r="J374" s="449">
        <v>17.95</v>
      </c>
      <c r="K374" s="420"/>
      <c r="L374" s="449">
        <v>47.93</v>
      </c>
      <c r="M374" s="448">
        <v>13.24</v>
      </c>
      <c r="N374" s="455">
        <v>634.59</v>
      </c>
      <c r="R374" s="3"/>
      <c r="S374" s="3"/>
      <c r="AF374" s="415"/>
      <c r="AG374" s="416"/>
      <c r="AH374" s="416" t="s">
        <v>2005</v>
      </c>
      <c r="AM374" s="416"/>
    </row>
    <row r="375" spans="1:42" customFormat="1" ht="14.4" x14ac:dyDescent="0.3">
      <c r="A375" s="444"/>
      <c r="B375" s="445"/>
      <c r="C375" s="907" t="s">
        <v>1724</v>
      </c>
      <c r="D375" s="907"/>
      <c r="E375" s="907"/>
      <c r="F375" s="907"/>
      <c r="G375" s="907"/>
      <c r="H375" s="907"/>
      <c r="I375" s="907"/>
      <c r="J375" s="907"/>
      <c r="K375" s="907"/>
      <c r="L375" s="907"/>
      <c r="M375" s="907"/>
      <c r="N375" s="919"/>
      <c r="R375" s="3"/>
      <c r="S375" s="3"/>
      <c r="AF375" s="415"/>
      <c r="AG375" s="416"/>
      <c r="AH375" s="416"/>
      <c r="AM375" s="416"/>
      <c r="AN375" s="426" t="s">
        <v>1724</v>
      </c>
    </row>
    <row r="376" spans="1:42" customFormat="1" ht="14.4" x14ac:dyDescent="0.3">
      <c r="A376" s="444"/>
      <c r="B376" s="445"/>
      <c r="C376" s="916" t="s">
        <v>1715</v>
      </c>
      <c r="D376" s="916"/>
      <c r="E376" s="916"/>
      <c r="F376" s="419"/>
      <c r="G376" s="420"/>
      <c r="H376" s="420"/>
      <c r="I376" s="420"/>
      <c r="J376" s="422"/>
      <c r="K376" s="420"/>
      <c r="L376" s="449">
        <v>47.93</v>
      </c>
      <c r="M376" s="439"/>
      <c r="N376" s="455">
        <v>634.59</v>
      </c>
      <c r="R376" s="3"/>
      <c r="S376" s="3"/>
      <c r="AF376" s="415"/>
      <c r="AG376" s="416"/>
      <c r="AH376" s="416"/>
      <c r="AM376" s="416" t="s">
        <v>1715</v>
      </c>
    </row>
    <row r="377" spans="1:42" customFormat="1" ht="21.6" x14ac:dyDescent="0.3">
      <c r="A377" s="417" t="s">
        <v>1851</v>
      </c>
      <c r="B377" s="418" t="s">
        <v>1726</v>
      </c>
      <c r="C377" s="916" t="s">
        <v>1727</v>
      </c>
      <c r="D377" s="916"/>
      <c r="E377" s="916"/>
      <c r="F377" s="419" t="s">
        <v>193</v>
      </c>
      <c r="G377" s="420">
        <v>4.45</v>
      </c>
      <c r="H377" s="421">
        <v>1</v>
      </c>
      <c r="I377" s="448">
        <v>4.45</v>
      </c>
      <c r="J377" s="449">
        <v>162.38</v>
      </c>
      <c r="K377" s="420"/>
      <c r="L377" s="449">
        <v>722.59</v>
      </c>
      <c r="M377" s="448">
        <v>8.16</v>
      </c>
      <c r="N377" s="447">
        <v>5896.33</v>
      </c>
      <c r="R377" s="3"/>
      <c r="S377" s="3"/>
      <c r="AF377" s="415"/>
      <c r="AG377" s="416"/>
      <c r="AH377" s="416" t="s">
        <v>1727</v>
      </c>
      <c r="AM377" s="416"/>
    </row>
    <row r="378" spans="1:42" customFormat="1" ht="14.4" x14ac:dyDescent="0.3">
      <c r="A378" s="444"/>
      <c r="B378" s="445"/>
      <c r="C378" s="907" t="s">
        <v>1728</v>
      </c>
      <c r="D378" s="907"/>
      <c r="E378" s="907"/>
      <c r="F378" s="907"/>
      <c r="G378" s="907"/>
      <c r="H378" s="907"/>
      <c r="I378" s="907"/>
      <c r="J378" s="907"/>
      <c r="K378" s="907"/>
      <c r="L378" s="907"/>
      <c r="M378" s="907"/>
      <c r="N378" s="919"/>
      <c r="R378" s="3"/>
      <c r="S378" s="3"/>
      <c r="AF378" s="415"/>
      <c r="AG378" s="416"/>
      <c r="AH378" s="416"/>
      <c r="AM378" s="416"/>
      <c r="AN378" s="426" t="s">
        <v>1728</v>
      </c>
    </row>
    <row r="379" spans="1:42" customFormat="1" ht="14.4" x14ac:dyDescent="0.3">
      <c r="A379" s="450"/>
      <c r="B379" s="451"/>
      <c r="C379" s="907" t="s">
        <v>2006</v>
      </c>
      <c r="D379" s="907"/>
      <c r="E379" s="907"/>
      <c r="F379" s="907"/>
      <c r="G379" s="907"/>
      <c r="H379" s="907"/>
      <c r="I379" s="907"/>
      <c r="J379" s="907"/>
      <c r="K379" s="907"/>
      <c r="L379" s="907"/>
      <c r="M379" s="907"/>
      <c r="N379" s="919"/>
      <c r="R379" s="3"/>
      <c r="S379" s="3"/>
      <c r="AF379" s="415"/>
      <c r="AG379" s="416"/>
      <c r="AH379" s="416"/>
      <c r="AI379" s="426" t="s">
        <v>2006</v>
      </c>
      <c r="AM379" s="416"/>
    </row>
    <row r="380" spans="1:42" customFormat="1" ht="14.4" x14ac:dyDescent="0.3">
      <c r="A380" s="450"/>
      <c r="B380" s="451"/>
      <c r="C380" s="907" t="s">
        <v>1730</v>
      </c>
      <c r="D380" s="907"/>
      <c r="E380" s="907"/>
      <c r="F380" s="907"/>
      <c r="G380" s="907"/>
      <c r="H380" s="907"/>
      <c r="I380" s="907"/>
      <c r="J380" s="907"/>
      <c r="K380" s="907"/>
      <c r="L380" s="907"/>
      <c r="M380" s="907"/>
      <c r="N380" s="919"/>
      <c r="R380" s="3"/>
      <c r="S380" s="3"/>
      <c r="AF380" s="415"/>
      <c r="AG380" s="416"/>
      <c r="AH380" s="416"/>
      <c r="AM380" s="416"/>
      <c r="AP380" s="426" t="s">
        <v>1730</v>
      </c>
    </row>
    <row r="381" spans="1:42" customFormat="1" ht="14.4" x14ac:dyDescent="0.3">
      <c r="A381" s="444"/>
      <c r="B381" s="445"/>
      <c r="C381" s="916" t="s">
        <v>1715</v>
      </c>
      <c r="D381" s="916"/>
      <c r="E381" s="916"/>
      <c r="F381" s="419"/>
      <c r="G381" s="420"/>
      <c r="H381" s="420"/>
      <c r="I381" s="420"/>
      <c r="J381" s="422"/>
      <c r="K381" s="420"/>
      <c r="L381" s="449">
        <v>722.59</v>
      </c>
      <c r="M381" s="439"/>
      <c r="N381" s="447">
        <v>5896.33</v>
      </c>
      <c r="R381" s="3"/>
      <c r="S381" s="3"/>
      <c r="AF381" s="415"/>
      <c r="AG381" s="416"/>
      <c r="AH381" s="416"/>
      <c r="AM381" s="416" t="s">
        <v>1715</v>
      </c>
    </row>
    <row r="382" spans="1:42" customFormat="1" ht="21.6" x14ac:dyDescent="0.3">
      <c r="A382" s="417" t="s">
        <v>1853</v>
      </c>
      <c r="B382" s="418" t="s">
        <v>2007</v>
      </c>
      <c r="C382" s="916" t="s">
        <v>2008</v>
      </c>
      <c r="D382" s="916"/>
      <c r="E382" s="916"/>
      <c r="F382" s="419" t="s">
        <v>239</v>
      </c>
      <c r="G382" s="420">
        <v>1.76</v>
      </c>
      <c r="H382" s="421">
        <v>1</v>
      </c>
      <c r="I382" s="448">
        <v>1.76</v>
      </c>
      <c r="J382" s="422"/>
      <c r="K382" s="420"/>
      <c r="L382" s="422"/>
      <c r="M382" s="420"/>
      <c r="N382" s="423"/>
      <c r="R382" s="3"/>
      <c r="S382" s="3"/>
      <c r="AF382" s="415"/>
      <c r="AG382" s="416"/>
      <c r="AH382" s="416" t="s">
        <v>2008</v>
      </c>
      <c r="AM382" s="416"/>
    </row>
    <row r="383" spans="1:42" customFormat="1" ht="20.399999999999999" x14ac:dyDescent="0.3">
      <c r="A383" s="424"/>
      <c r="B383" s="425" t="s">
        <v>1951</v>
      </c>
      <c r="C383" s="917" t="s">
        <v>1952</v>
      </c>
      <c r="D383" s="917"/>
      <c r="E383" s="917"/>
      <c r="F383" s="917"/>
      <c r="G383" s="917"/>
      <c r="H383" s="917"/>
      <c r="I383" s="917"/>
      <c r="J383" s="917"/>
      <c r="K383" s="917"/>
      <c r="L383" s="917"/>
      <c r="M383" s="917"/>
      <c r="N383" s="918"/>
      <c r="R383" s="3"/>
      <c r="S383" s="3"/>
      <c r="AF383" s="415"/>
      <c r="AG383" s="416"/>
      <c r="AH383" s="416"/>
      <c r="AM383" s="416"/>
      <c r="AO383" s="426" t="s">
        <v>1952</v>
      </c>
    </row>
    <row r="384" spans="1:42" customFormat="1" ht="52.2" x14ac:dyDescent="0.3">
      <c r="A384" s="424"/>
      <c r="B384" s="425" t="s">
        <v>1703</v>
      </c>
      <c r="C384" s="917" t="s">
        <v>1704</v>
      </c>
      <c r="D384" s="917"/>
      <c r="E384" s="917"/>
      <c r="F384" s="917"/>
      <c r="G384" s="917"/>
      <c r="H384" s="917"/>
      <c r="I384" s="917"/>
      <c r="J384" s="917"/>
      <c r="K384" s="917"/>
      <c r="L384" s="917"/>
      <c r="M384" s="917"/>
      <c r="N384" s="918"/>
      <c r="R384" s="3"/>
      <c r="S384" s="3"/>
      <c r="AF384" s="415"/>
      <c r="AG384" s="416"/>
      <c r="AH384" s="416"/>
      <c r="AM384" s="416"/>
      <c r="AO384" s="426" t="s">
        <v>1704</v>
      </c>
    </row>
    <row r="385" spans="1:40" customFormat="1" ht="14.4" x14ac:dyDescent="0.3">
      <c r="A385" s="427"/>
      <c r="B385" s="425" t="s">
        <v>758</v>
      </c>
      <c r="C385" s="907" t="s">
        <v>1705</v>
      </c>
      <c r="D385" s="907"/>
      <c r="E385" s="907"/>
      <c r="F385" s="428"/>
      <c r="G385" s="429"/>
      <c r="H385" s="429"/>
      <c r="I385" s="429"/>
      <c r="J385" s="430">
        <v>416.48</v>
      </c>
      <c r="K385" s="435">
        <v>0.80500000000000005</v>
      </c>
      <c r="L385" s="430">
        <v>590.07000000000005</v>
      </c>
      <c r="M385" s="431">
        <v>44.77</v>
      </c>
      <c r="N385" s="433">
        <v>26417.43</v>
      </c>
      <c r="R385" s="3"/>
      <c r="S385" s="3"/>
      <c r="AF385" s="415"/>
      <c r="AG385" s="416"/>
      <c r="AH385" s="416"/>
      <c r="AJ385" s="426" t="s">
        <v>1705</v>
      </c>
      <c r="AM385" s="416"/>
    </row>
    <row r="386" spans="1:40" customFormat="1" ht="14.4" x14ac:dyDescent="0.3">
      <c r="A386" s="427"/>
      <c r="B386" s="425" t="s">
        <v>761</v>
      </c>
      <c r="C386" s="907" t="s">
        <v>1718</v>
      </c>
      <c r="D386" s="907"/>
      <c r="E386" s="907"/>
      <c r="F386" s="428"/>
      <c r="G386" s="429"/>
      <c r="H386" s="429"/>
      <c r="I386" s="429"/>
      <c r="J386" s="432">
        <v>2416.02</v>
      </c>
      <c r="K386" s="435">
        <v>0.80500000000000005</v>
      </c>
      <c r="L386" s="432">
        <v>3423.02</v>
      </c>
      <c r="M386" s="431">
        <v>13.24</v>
      </c>
      <c r="N386" s="433">
        <v>45320.78</v>
      </c>
      <c r="R386" s="3"/>
      <c r="S386" s="3"/>
      <c r="AF386" s="415"/>
      <c r="AG386" s="416"/>
      <c r="AH386" s="416"/>
      <c r="AJ386" s="426" t="s">
        <v>1718</v>
      </c>
      <c r="AM386" s="416"/>
    </row>
    <row r="387" spans="1:40" customFormat="1" ht="14.4" x14ac:dyDescent="0.3">
      <c r="A387" s="427"/>
      <c r="B387" s="425" t="s">
        <v>1144</v>
      </c>
      <c r="C387" s="907" t="s">
        <v>1719</v>
      </c>
      <c r="D387" s="907"/>
      <c r="E387" s="907"/>
      <c r="F387" s="428"/>
      <c r="G387" s="429"/>
      <c r="H387" s="429"/>
      <c r="I387" s="429"/>
      <c r="J387" s="430">
        <v>123.85</v>
      </c>
      <c r="K387" s="435">
        <v>0.80500000000000005</v>
      </c>
      <c r="L387" s="430">
        <v>175.47</v>
      </c>
      <c r="M387" s="431">
        <v>44.77</v>
      </c>
      <c r="N387" s="433">
        <v>7855.79</v>
      </c>
      <c r="R387" s="3"/>
      <c r="S387" s="3"/>
      <c r="AF387" s="415"/>
      <c r="AG387" s="416"/>
      <c r="AH387" s="416"/>
      <c r="AJ387" s="426" t="s">
        <v>1719</v>
      </c>
      <c r="AM387" s="416"/>
    </row>
    <row r="388" spans="1:40" customFormat="1" ht="14.4" x14ac:dyDescent="0.3">
      <c r="A388" s="427"/>
      <c r="B388" s="425" t="s">
        <v>586</v>
      </c>
      <c r="C388" s="907" t="s">
        <v>1738</v>
      </c>
      <c r="D388" s="907"/>
      <c r="E388" s="907"/>
      <c r="F388" s="428"/>
      <c r="G388" s="429"/>
      <c r="H388" s="429"/>
      <c r="I388" s="429"/>
      <c r="J388" s="430">
        <v>490.24</v>
      </c>
      <c r="K388" s="443">
        <v>0</v>
      </c>
      <c r="L388" s="430">
        <v>0</v>
      </c>
      <c r="M388" s="431">
        <v>8.16</v>
      </c>
      <c r="N388" s="437"/>
      <c r="R388" s="3"/>
      <c r="S388" s="3"/>
      <c r="AF388" s="415"/>
      <c r="AG388" s="416"/>
      <c r="AH388" s="416"/>
      <c r="AJ388" s="426" t="s">
        <v>1738</v>
      </c>
      <c r="AM388" s="416"/>
    </row>
    <row r="389" spans="1:40" customFormat="1" ht="14.4" x14ac:dyDescent="0.3">
      <c r="A389" s="434"/>
      <c r="B389" s="425"/>
      <c r="C389" s="907" t="s">
        <v>1706</v>
      </c>
      <c r="D389" s="907"/>
      <c r="E389" s="907"/>
      <c r="F389" s="428" t="s">
        <v>1707</v>
      </c>
      <c r="G389" s="458">
        <v>41.4</v>
      </c>
      <c r="H389" s="435">
        <v>0.80500000000000005</v>
      </c>
      <c r="I389" s="459">
        <v>58.655520000000003</v>
      </c>
      <c r="J389" s="436"/>
      <c r="K389" s="429"/>
      <c r="L389" s="436"/>
      <c r="M389" s="429"/>
      <c r="N389" s="437"/>
      <c r="R389" s="3"/>
      <c r="S389" s="3"/>
      <c r="AF389" s="415"/>
      <c r="AG389" s="416"/>
      <c r="AH389" s="416"/>
      <c r="AK389" s="426" t="s">
        <v>1706</v>
      </c>
      <c r="AM389" s="416"/>
    </row>
    <row r="390" spans="1:40" customFormat="1" ht="14.4" x14ac:dyDescent="0.3">
      <c r="A390" s="434"/>
      <c r="B390" s="425"/>
      <c r="C390" s="907" t="s">
        <v>1720</v>
      </c>
      <c r="D390" s="907"/>
      <c r="E390" s="907"/>
      <c r="F390" s="428" t="s">
        <v>1707</v>
      </c>
      <c r="G390" s="431">
        <v>8.8699999999999992</v>
      </c>
      <c r="H390" s="435">
        <v>0.80500000000000005</v>
      </c>
      <c r="I390" s="457">
        <v>12.567016000000001</v>
      </c>
      <c r="J390" s="436"/>
      <c r="K390" s="429"/>
      <c r="L390" s="436"/>
      <c r="M390" s="429"/>
      <c r="N390" s="437"/>
      <c r="R390" s="3"/>
      <c r="S390" s="3"/>
      <c r="AF390" s="415"/>
      <c r="AG390" s="416"/>
      <c r="AH390" s="416"/>
      <c r="AK390" s="426" t="s">
        <v>1720</v>
      </c>
      <c r="AM390" s="416"/>
    </row>
    <row r="391" spans="1:40" customFormat="1" ht="14.4" x14ac:dyDescent="0.3">
      <c r="A391" s="427"/>
      <c r="B391" s="425"/>
      <c r="C391" s="908" t="s">
        <v>1708</v>
      </c>
      <c r="D391" s="908"/>
      <c r="E391" s="908"/>
      <c r="F391" s="438"/>
      <c r="G391" s="439"/>
      <c r="H391" s="439"/>
      <c r="I391" s="439"/>
      <c r="J391" s="441">
        <v>3322.74</v>
      </c>
      <c r="K391" s="439"/>
      <c r="L391" s="441">
        <v>4013.09</v>
      </c>
      <c r="M391" s="439"/>
      <c r="N391" s="442">
        <v>71738.210000000006</v>
      </c>
      <c r="R391" s="3"/>
      <c r="S391" s="3"/>
      <c r="AF391" s="415"/>
      <c r="AG391" s="416"/>
      <c r="AH391" s="416"/>
      <c r="AL391" s="426" t="s">
        <v>1708</v>
      </c>
      <c r="AM391" s="416"/>
    </row>
    <row r="392" spans="1:40" customFormat="1" ht="14.4" x14ac:dyDescent="0.3">
      <c r="A392" s="434"/>
      <c r="B392" s="425"/>
      <c r="C392" s="907" t="s">
        <v>1709</v>
      </c>
      <c r="D392" s="907"/>
      <c r="E392" s="907"/>
      <c r="F392" s="428"/>
      <c r="G392" s="429"/>
      <c r="H392" s="429"/>
      <c r="I392" s="429"/>
      <c r="J392" s="436"/>
      <c r="K392" s="429"/>
      <c r="L392" s="430">
        <v>765.54</v>
      </c>
      <c r="M392" s="429"/>
      <c r="N392" s="433">
        <v>34273.22</v>
      </c>
      <c r="R392" s="3"/>
      <c r="S392" s="3"/>
      <c r="AF392" s="415"/>
      <c r="AG392" s="416"/>
      <c r="AH392" s="416"/>
      <c r="AK392" s="426" t="s">
        <v>1709</v>
      </c>
      <c r="AM392" s="416"/>
    </row>
    <row r="393" spans="1:40" customFormat="1" ht="20.399999999999999" x14ac:dyDescent="0.3">
      <c r="A393" s="434"/>
      <c r="B393" s="425" t="s">
        <v>1953</v>
      </c>
      <c r="C393" s="907" t="s">
        <v>1954</v>
      </c>
      <c r="D393" s="907"/>
      <c r="E393" s="907"/>
      <c r="F393" s="428" t="s">
        <v>1712</v>
      </c>
      <c r="G393" s="443">
        <v>93</v>
      </c>
      <c r="H393" s="429"/>
      <c r="I393" s="443">
        <v>93</v>
      </c>
      <c r="J393" s="436"/>
      <c r="K393" s="429"/>
      <c r="L393" s="430">
        <v>711.95</v>
      </c>
      <c r="M393" s="429"/>
      <c r="N393" s="433">
        <v>31874.09</v>
      </c>
      <c r="R393" s="3"/>
      <c r="S393" s="3"/>
      <c r="AF393" s="415"/>
      <c r="AG393" s="416"/>
      <c r="AH393" s="416"/>
      <c r="AK393" s="426" t="s">
        <v>1954</v>
      </c>
      <c r="AM393" s="416"/>
    </row>
    <row r="394" spans="1:40" customFormat="1" ht="20.399999999999999" x14ac:dyDescent="0.3">
      <c r="A394" s="434"/>
      <c r="B394" s="425" t="s">
        <v>1955</v>
      </c>
      <c r="C394" s="907" t="s">
        <v>1956</v>
      </c>
      <c r="D394" s="907"/>
      <c r="E394" s="907"/>
      <c r="F394" s="428" t="s">
        <v>1712</v>
      </c>
      <c r="G394" s="443">
        <v>62</v>
      </c>
      <c r="H394" s="429"/>
      <c r="I394" s="443">
        <v>62</v>
      </c>
      <c r="J394" s="436"/>
      <c r="K394" s="429"/>
      <c r="L394" s="430">
        <v>474.63</v>
      </c>
      <c r="M394" s="429"/>
      <c r="N394" s="433">
        <v>21249.4</v>
      </c>
      <c r="R394" s="3"/>
      <c r="S394" s="3"/>
      <c r="AF394" s="415"/>
      <c r="AG394" s="416"/>
      <c r="AH394" s="416"/>
      <c r="AK394" s="426" t="s">
        <v>1956</v>
      </c>
      <c r="AM394" s="416"/>
    </row>
    <row r="395" spans="1:40" customFormat="1" ht="14.4" x14ac:dyDescent="0.3">
      <c r="A395" s="444"/>
      <c r="B395" s="445"/>
      <c r="C395" s="916" t="s">
        <v>1715</v>
      </c>
      <c r="D395" s="916"/>
      <c r="E395" s="916"/>
      <c r="F395" s="419"/>
      <c r="G395" s="420"/>
      <c r="H395" s="420"/>
      <c r="I395" s="420"/>
      <c r="J395" s="422"/>
      <c r="K395" s="420"/>
      <c r="L395" s="446">
        <v>5199.67</v>
      </c>
      <c r="M395" s="439"/>
      <c r="N395" s="447">
        <v>124861.7</v>
      </c>
      <c r="R395" s="3"/>
      <c r="S395" s="3"/>
      <c r="AF395" s="415"/>
      <c r="AG395" s="416"/>
      <c r="AH395" s="416"/>
      <c r="AM395" s="416" t="s">
        <v>1715</v>
      </c>
    </row>
    <row r="396" spans="1:40" customFormat="1" ht="31.8" x14ac:dyDescent="0.3">
      <c r="A396" s="417" t="s">
        <v>2009</v>
      </c>
      <c r="B396" s="418" t="s">
        <v>1959</v>
      </c>
      <c r="C396" s="916" t="s">
        <v>1960</v>
      </c>
      <c r="D396" s="916"/>
      <c r="E396" s="916"/>
      <c r="F396" s="419" t="s">
        <v>1723</v>
      </c>
      <c r="G396" s="420">
        <v>1.76</v>
      </c>
      <c r="H396" s="421">
        <v>1</v>
      </c>
      <c r="I396" s="448">
        <v>1.76</v>
      </c>
      <c r="J396" s="449">
        <v>22.33</v>
      </c>
      <c r="K396" s="420"/>
      <c r="L396" s="449">
        <v>39.299999999999997</v>
      </c>
      <c r="M396" s="448">
        <v>13.24</v>
      </c>
      <c r="N396" s="455">
        <v>520.33000000000004</v>
      </c>
      <c r="R396" s="3"/>
      <c r="S396" s="3"/>
      <c r="AF396" s="415"/>
      <c r="AG396" s="416"/>
      <c r="AH396" s="416" t="s">
        <v>1960</v>
      </c>
      <c r="AM396" s="416"/>
    </row>
    <row r="397" spans="1:40" customFormat="1" ht="14.4" x14ac:dyDescent="0.3">
      <c r="A397" s="444"/>
      <c r="B397" s="445"/>
      <c r="C397" s="907" t="s">
        <v>1724</v>
      </c>
      <c r="D397" s="907"/>
      <c r="E397" s="907"/>
      <c r="F397" s="907"/>
      <c r="G397" s="907"/>
      <c r="H397" s="907"/>
      <c r="I397" s="907"/>
      <c r="J397" s="907"/>
      <c r="K397" s="907"/>
      <c r="L397" s="907"/>
      <c r="M397" s="907"/>
      <c r="N397" s="919"/>
      <c r="R397" s="3"/>
      <c r="S397" s="3"/>
      <c r="AF397" s="415"/>
      <c r="AG397" s="416"/>
      <c r="AH397" s="416"/>
      <c r="AM397" s="416"/>
      <c r="AN397" s="426" t="s">
        <v>1724</v>
      </c>
    </row>
    <row r="398" spans="1:40" customFormat="1" ht="14.4" x14ac:dyDescent="0.3">
      <c r="A398" s="444"/>
      <c r="B398" s="445"/>
      <c r="C398" s="916" t="s">
        <v>1715</v>
      </c>
      <c r="D398" s="916"/>
      <c r="E398" s="916"/>
      <c r="F398" s="419"/>
      <c r="G398" s="420"/>
      <c r="H398" s="420"/>
      <c r="I398" s="420"/>
      <c r="J398" s="422"/>
      <c r="K398" s="420"/>
      <c r="L398" s="449">
        <v>39.299999999999997</v>
      </c>
      <c r="M398" s="439"/>
      <c r="N398" s="455">
        <v>520.33000000000004</v>
      </c>
      <c r="R398" s="3"/>
      <c r="S398" s="3"/>
      <c r="AF398" s="415"/>
      <c r="AG398" s="416"/>
      <c r="AH398" s="416"/>
      <c r="AM398" s="416" t="s">
        <v>1715</v>
      </c>
    </row>
    <row r="399" spans="1:40" customFormat="1" ht="31.8" x14ac:dyDescent="0.3">
      <c r="A399" s="417" t="s">
        <v>2010</v>
      </c>
      <c r="B399" s="418" t="s">
        <v>2011</v>
      </c>
      <c r="C399" s="916" t="s">
        <v>2012</v>
      </c>
      <c r="D399" s="916"/>
      <c r="E399" s="916"/>
      <c r="F399" s="419" t="s">
        <v>1723</v>
      </c>
      <c r="G399" s="420">
        <v>1.76</v>
      </c>
      <c r="H399" s="421">
        <v>1</v>
      </c>
      <c r="I399" s="448">
        <v>1.76</v>
      </c>
      <c r="J399" s="449">
        <v>2.91</v>
      </c>
      <c r="K399" s="420"/>
      <c r="L399" s="449">
        <v>5.12</v>
      </c>
      <c r="M399" s="448">
        <v>13.62</v>
      </c>
      <c r="N399" s="455">
        <v>69.73</v>
      </c>
      <c r="R399" s="3"/>
      <c r="S399" s="3"/>
      <c r="AF399" s="415"/>
      <c r="AG399" s="416"/>
      <c r="AH399" s="416" t="s">
        <v>2012</v>
      </c>
      <c r="AM399" s="416"/>
    </row>
    <row r="400" spans="1:40" customFormat="1" ht="14.4" x14ac:dyDescent="0.3">
      <c r="A400" s="444"/>
      <c r="B400" s="445"/>
      <c r="C400" s="916" t="s">
        <v>1715</v>
      </c>
      <c r="D400" s="916"/>
      <c r="E400" s="916"/>
      <c r="F400" s="419"/>
      <c r="G400" s="420"/>
      <c r="H400" s="420"/>
      <c r="I400" s="420"/>
      <c r="J400" s="422"/>
      <c r="K400" s="420"/>
      <c r="L400" s="449">
        <v>5.12</v>
      </c>
      <c r="M400" s="439"/>
      <c r="N400" s="455">
        <v>69.73</v>
      </c>
      <c r="R400" s="3"/>
      <c r="S400" s="3"/>
      <c r="AF400" s="415"/>
      <c r="AG400" s="416"/>
      <c r="AH400" s="416"/>
      <c r="AM400" s="416" t="s">
        <v>1715</v>
      </c>
    </row>
    <row r="401" spans="1:41" customFormat="1" ht="21.6" x14ac:dyDescent="0.3">
      <c r="A401" s="417" t="s">
        <v>2013</v>
      </c>
      <c r="B401" s="418" t="s">
        <v>1966</v>
      </c>
      <c r="C401" s="916" t="s">
        <v>1967</v>
      </c>
      <c r="D401" s="916"/>
      <c r="E401" s="916"/>
      <c r="F401" s="419" t="s">
        <v>1723</v>
      </c>
      <c r="G401" s="420">
        <v>1.76</v>
      </c>
      <c r="H401" s="421">
        <v>1</v>
      </c>
      <c r="I401" s="448">
        <v>1.76</v>
      </c>
      <c r="J401" s="449">
        <v>22.33</v>
      </c>
      <c r="K401" s="420"/>
      <c r="L401" s="449">
        <v>39.299999999999997</v>
      </c>
      <c r="M401" s="448">
        <v>13.24</v>
      </c>
      <c r="N401" s="455">
        <v>520.33000000000004</v>
      </c>
      <c r="R401" s="3"/>
      <c r="S401" s="3"/>
      <c r="AF401" s="415"/>
      <c r="AG401" s="416"/>
      <c r="AH401" s="416" t="s">
        <v>1967</v>
      </c>
      <c r="AM401" s="416"/>
    </row>
    <row r="402" spans="1:41" customFormat="1" ht="14.4" x14ac:dyDescent="0.3">
      <c r="A402" s="444"/>
      <c r="B402" s="445"/>
      <c r="C402" s="907" t="s">
        <v>1724</v>
      </c>
      <c r="D402" s="907"/>
      <c r="E402" s="907"/>
      <c r="F402" s="907"/>
      <c r="G402" s="907"/>
      <c r="H402" s="907"/>
      <c r="I402" s="907"/>
      <c r="J402" s="907"/>
      <c r="K402" s="907"/>
      <c r="L402" s="907"/>
      <c r="M402" s="907"/>
      <c r="N402" s="919"/>
      <c r="R402" s="3"/>
      <c r="S402" s="3"/>
      <c r="AF402" s="415"/>
      <c r="AG402" s="416"/>
      <c r="AH402" s="416"/>
      <c r="AM402" s="416"/>
      <c r="AN402" s="426" t="s">
        <v>1724</v>
      </c>
    </row>
    <row r="403" spans="1:41" customFormat="1" ht="14.4" x14ac:dyDescent="0.3">
      <c r="A403" s="444"/>
      <c r="B403" s="445"/>
      <c r="C403" s="916" t="s">
        <v>1715</v>
      </c>
      <c r="D403" s="916"/>
      <c r="E403" s="916"/>
      <c r="F403" s="419"/>
      <c r="G403" s="420"/>
      <c r="H403" s="420"/>
      <c r="I403" s="420"/>
      <c r="J403" s="422"/>
      <c r="K403" s="420"/>
      <c r="L403" s="449">
        <v>39.299999999999997</v>
      </c>
      <c r="M403" s="439"/>
      <c r="N403" s="455">
        <v>520.33000000000004</v>
      </c>
      <c r="R403" s="3"/>
      <c r="S403" s="3"/>
      <c r="AF403" s="415"/>
      <c r="AG403" s="416"/>
      <c r="AH403" s="416"/>
      <c r="AM403" s="416" t="s">
        <v>1715</v>
      </c>
    </row>
    <row r="404" spans="1:41" customFormat="1" ht="14.4" x14ac:dyDescent="0.3">
      <c r="A404" s="913" t="s">
        <v>2014</v>
      </c>
      <c r="B404" s="914"/>
      <c r="C404" s="914"/>
      <c r="D404" s="914"/>
      <c r="E404" s="914"/>
      <c r="F404" s="914"/>
      <c r="G404" s="914"/>
      <c r="H404" s="914"/>
      <c r="I404" s="914"/>
      <c r="J404" s="914"/>
      <c r="K404" s="914"/>
      <c r="L404" s="914"/>
      <c r="M404" s="914"/>
      <c r="N404" s="915"/>
      <c r="R404" s="3"/>
      <c r="S404" s="3"/>
      <c r="AF404" s="415"/>
      <c r="AG404" s="416" t="s">
        <v>2014</v>
      </c>
      <c r="AH404" s="416"/>
      <c r="AM404" s="416"/>
    </row>
    <row r="405" spans="1:41" customFormat="1" ht="14.4" x14ac:dyDescent="0.3">
      <c r="A405" s="417" t="s">
        <v>2015</v>
      </c>
      <c r="B405" s="418" t="s">
        <v>2016</v>
      </c>
      <c r="C405" s="916" t="s">
        <v>2017</v>
      </c>
      <c r="D405" s="916"/>
      <c r="E405" s="916"/>
      <c r="F405" s="419" t="s">
        <v>1890</v>
      </c>
      <c r="G405" s="420">
        <v>8.6814</v>
      </c>
      <c r="H405" s="421">
        <v>1</v>
      </c>
      <c r="I405" s="494">
        <v>8.6814</v>
      </c>
      <c r="J405" s="422"/>
      <c r="K405" s="420"/>
      <c r="L405" s="422"/>
      <c r="M405" s="420"/>
      <c r="N405" s="423"/>
      <c r="R405" s="3"/>
      <c r="S405" s="3"/>
      <c r="AF405" s="415"/>
      <c r="AG405" s="416"/>
      <c r="AH405" s="416" t="s">
        <v>2017</v>
      </c>
      <c r="AM405" s="416"/>
    </row>
    <row r="406" spans="1:41" customFormat="1" ht="14.4" x14ac:dyDescent="0.3">
      <c r="A406" s="450"/>
      <c r="B406" s="451"/>
      <c r="C406" s="907" t="s">
        <v>2018</v>
      </c>
      <c r="D406" s="907"/>
      <c r="E406" s="907"/>
      <c r="F406" s="907"/>
      <c r="G406" s="907"/>
      <c r="H406" s="907"/>
      <c r="I406" s="907"/>
      <c r="J406" s="907"/>
      <c r="K406" s="907"/>
      <c r="L406" s="907"/>
      <c r="M406" s="907"/>
      <c r="N406" s="919"/>
      <c r="R406" s="3"/>
      <c r="S406" s="3"/>
      <c r="AF406" s="415"/>
      <c r="AG406" s="416"/>
      <c r="AH406" s="416"/>
      <c r="AI406" s="426" t="s">
        <v>2018</v>
      </c>
      <c r="AM406" s="416"/>
    </row>
    <row r="407" spans="1:41" customFormat="1" ht="20.399999999999999" x14ac:dyDescent="0.3">
      <c r="A407" s="424"/>
      <c r="B407" s="425" t="s">
        <v>1736</v>
      </c>
      <c r="C407" s="917" t="s">
        <v>1737</v>
      </c>
      <c r="D407" s="917"/>
      <c r="E407" s="917"/>
      <c r="F407" s="917"/>
      <c r="G407" s="917"/>
      <c r="H407" s="917"/>
      <c r="I407" s="917"/>
      <c r="J407" s="917"/>
      <c r="K407" s="917"/>
      <c r="L407" s="917"/>
      <c r="M407" s="917"/>
      <c r="N407" s="918"/>
      <c r="R407" s="3"/>
      <c r="S407" s="3"/>
      <c r="AF407" s="415"/>
      <c r="AG407" s="416"/>
      <c r="AH407" s="416"/>
      <c r="AM407" s="416"/>
      <c r="AO407" s="426" t="s">
        <v>1737</v>
      </c>
    </row>
    <row r="408" spans="1:41" customFormat="1" ht="52.2" x14ac:dyDescent="0.3">
      <c r="A408" s="424"/>
      <c r="B408" s="425" t="s">
        <v>1703</v>
      </c>
      <c r="C408" s="917" t="s">
        <v>1704</v>
      </c>
      <c r="D408" s="917"/>
      <c r="E408" s="917"/>
      <c r="F408" s="917"/>
      <c r="G408" s="917"/>
      <c r="H408" s="917"/>
      <c r="I408" s="917"/>
      <c r="J408" s="917"/>
      <c r="K408" s="917"/>
      <c r="L408" s="917"/>
      <c r="M408" s="917"/>
      <c r="N408" s="918"/>
      <c r="R408" s="3"/>
      <c r="S408" s="3"/>
      <c r="AF408" s="415"/>
      <c r="AG408" s="416"/>
      <c r="AH408" s="416"/>
      <c r="AM408" s="416"/>
      <c r="AO408" s="426" t="s">
        <v>1704</v>
      </c>
    </row>
    <row r="409" spans="1:41" customFormat="1" ht="14.4" x14ac:dyDescent="0.3">
      <c r="A409" s="427"/>
      <c r="B409" s="425" t="s">
        <v>758</v>
      </c>
      <c r="C409" s="907" t="s">
        <v>1705</v>
      </c>
      <c r="D409" s="907"/>
      <c r="E409" s="907"/>
      <c r="F409" s="428"/>
      <c r="G409" s="429"/>
      <c r="H409" s="429"/>
      <c r="I409" s="429"/>
      <c r="J409" s="430">
        <v>541.97</v>
      </c>
      <c r="K409" s="431">
        <v>0.92</v>
      </c>
      <c r="L409" s="432">
        <v>4328.6499999999996</v>
      </c>
      <c r="M409" s="431">
        <v>44.77</v>
      </c>
      <c r="N409" s="433">
        <v>193793.66</v>
      </c>
      <c r="R409" s="3"/>
      <c r="S409" s="3"/>
      <c r="AF409" s="415"/>
      <c r="AG409" s="416"/>
      <c r="AH409" s="416"/>
      <c r="AJ409" s="426" t="s">
        <v>1705</v>
      </c>
      <c r="AM409" s="416"/>
    </row>
    <row r="410" spans="1:41" customFormat="1" ht="14.4" x14ac:dyDescent="0.3">
      <c r="A410" s="427"/>
      <c r="B410" s="425" t="s">
        <v>761</v>
      </c>
      <c r="C410" s="907" t="s">
        <v>1718</v>
      </c>
      <c r="D410" s="907"/>
      <c r="E410" s="907"/>
      <c r="F410" s="428"/>
      <c r="G410" s="429"/>
      <c r="H410" s="429"/>
      <c r="I410" s="429"/>
      <c r="J410" s="432">
        <v>7592.11</v>
      </c>
      <c r="K410" s="431">
        <v>0.92</v>
      </c>
      <c r="L410" s="432">
        <v>60637.33</v>
      </c>
      <c r="M410" s="431">
        <v>13.24</v>
      </c>
      <c r="N410" s="433">
        <v>802838.25</v>
      </c>
      <c r="R410" s="3"/>
      <c r="S410" s="3"/>
      <c r="AF410" s="415"/>
      <c r="AG410" s="416"/>
      <c r="AH410" s="416"/>
      <c r="AJ410" s="426" t="s">
        <v>1718</v>
      </c>
      <c r="AM410" s="416"/>
    </row>
    <row r="411" spans="1:41" customFormat="1" ht="14.4" x14ac:dyDescent="0.3">
      <c r="A411" s="427"/>
      <c r="B411" s="425" t="s">
        <v>1144</v>
      </c>
      <c r="C411" s="907" t="s">
        <v>1719</v>
      </c>
      <c r="D411" s="907"/>
      <c r="E411" s="907"/>
      <c r="F411" s="428"/>
      <c r="G411" s="429"/>
      <c r="H411" s="429"/>
      <c r="I411" s="429"/>
      <c r="J411" s="430">
        <v>209.87</v>
      </c>
      <c r="K411" s="431">
        <v>0.92</v>
      </c>
      <c r="L411" s="432">
        <v>1676.21</v>
      </c>
      <c r="M411" s="431">
        <v>44.77</v>
      </c>
      <c r="N411" s="433">
        <v>75043.92</v>
      </c>
      <c r="R411" s="3"/>
      <c r="S411" s="3"/>
      <c r="AF411" s="415"/>
      <c r="AG411" s="416"/>
      <c r="AH411" s="416"/>
      <c r="AJ411" s="426" t="s">
        <v>1719</v>
      </c>
      <c r="AM411" s="416"/>
    </row>
    <row r="412" spans="1:41" customFormat="1" ht="14.4" x14ac:dyDescent="0.3">
      <c r="A412" s="427"/>
      <c r="B412" s="425" t="s">
        <v>586</v>
      </c>
      <c r="C412" s="907" t="s">
        <v>1738</v>
      </c>
      <c r="D412" s="907"/>
      <c r="E412" s="907"/>
      <c r="F412" s="428"/>
      <c r="G412" s="429"/>
      <c r="H412" s="429"/>
      <c r="I412" s="429"/>
      <c r="J412" s="430">
        <v>378.31</v>
      </c>
      <c r="K412" s="443">
        <v>0</v>
      </c>
      <c r="L412" s="430">
        <v>0</v>
      </c>
      <c r="M412" s="431">
        <v>8.16</v>
      </c>
      <c r="N412" s="437"/>
      <c r="R412" s="3"/>
      <c r="S412" s="3"/>
      <c r="AF412" s="415"/>
      <c r="AG412" s="416"/>
      <c r="AH412" s="416"/>
      <c r="AJ412" s="426" t="s">
        <v>1738</v>
      </c>
      <c r="AM412" s="416"/>
    </row>
    <row r="413" spans="1:41" customFormat="1" ht="14.4" x14ac:dyDescent="0.3">
      <c r="A413" s="434"/>
      <c r="B413" s="425"/>
      <c r="C413" s="907" t="s">
        <v>1706</v>
      </c>
      <c r="D413" s="907"/>
      <c r="E413" s="907"/>
      <c r="F413" s="428" t="s">
        <v>1707</v>
      </c>
      <c r="G413" s="431">
        <v>62.01</v>
      </c>
      <c r="H413" s="431">
        <v>0.92</v>
      </c>
      <c r="I413" s="454">
        <v>495.26692489999999</v>
      </c>
      <c r="J413" s="436"/>
      <c r="K413" s="429"/>
      <c r="L413" s="436"/>
      <c r="M413" s="429"/>
      <c r="N413" s="437"/>
      <c r="R413" s="3"/>
      <c r="S413" s="3"/>
      <c r="AF413" s="415"/>
      <c r="AG413" s="416"/>
      <c r="AH413" s="416"/>
      <c r="AK413" s="426" t="s">
        <v>1706</v>
      </c>
      <c r="AM413" s="416"/>
    </row>
    <row r="414" spans="1:41" customFormat="1" ht="14.4" x14ac:dyDescent="0.3">
      <c r="A414" s="434"/>
      <c r="B414" s="425"/>
      <c r="C414" s="907" t="s">
        <v>1720</v>
      </c>
      <c r="D414" s="907"/>
      <c r="E414" s="907"/>
      <c r="F414" s="428" t="s">
        <v>1707</v>
      </c>
      <c r="G414" s="431">
        <v>12.18</v>
      </c>
      <c r="H414" s="431">
        <v>0.92</v>
      </c>
      <c r="I414" s="454">
        <v>97.280295800000005</v>
      </c>
      <c r="J414" s="436"/>
      <c r="K414" s="429"/>
      <c r="L414" s="436"/>
      <c r="M414" s="429"/>
      <c r="N414" s="437"/>
      <c r="R414" s="3"/>
      <c r="S414" s="3"/>
      <c r="AF414" s="415"/>
      <c r="AG414" s="416"/>
      <c r="AH414" s="416"/>
      <c r="AK414" s="426" t="s">
        <v>1720</v>
      </c>
      <c r="AM414" s="416"/>
    </row>
    <row r="415" spans="1:41" customFormat="1" ht="14.4" x14ac:dyDescent="0.3">
      <c r="A415" s="427"/>
      <c r="B415" s="425"/>
      <c r="C415" s="908" t="s">
        <v>1708</v>
      </c>
      <c r="D415" s="908"/>
      <c r="E415" s="908"/>
      <c r="F415" s="438"/>
      <c r="G415" s="439"/>
      <c r="H415" s="439"/>
      <c r="I415" s="439"/>
      <c r="J415" s="441">
        <v>8512.39</v>
      </c>
      <c r="K415" s="439"/>
      <c r="L415" s="441">
        <v>64965.98</v>
      </c>
      <c r="M415" s="439"/>
      <c r="N415" s="442">
        <v>996631.91</v>
      </c>
      <c r="R415" s="3"/>
      <c r="S415" s="3"/>
      <c r="AF415" s="415"/>
      <c r="AG415" s="416"/>
      <c r="AH415" s="416"/>
      <c r="AL415" s="426" t="s">
        <v>1708</v>
      </c>
      <c r="AM415" s="416"/>
    </row>
    <row r="416" spans="1:41" customFormat="1" ht="14.4" x14ac:dyDescent="0.3">
      <c r="A416" s="434"/>
      <c r="B416" s="425"/>
      <c r="C416" s="907" t="s">
        <v>1709</v>
      </c>
      <c r="D416" s="907"/>
      <c r="E416" s="907"/>
      <c r="F416" s="428"/>
      <c r="G416" s="429"/>
      <c r="H416" s="429"/>
      <c r="I416" s="429"/>
      <c r="J416" s="436"/>
      <c r="K416" s="429"/>
      <c r="L416" s="432">
        <v>6004.86</v>
      </c>
      <c r="M416" s="429"/>
      <c r="N416" s="433">
        <v>268837.58</v>
      </c>
      <c r="R416" s="3"/>
      <c r="S416" s="3"/>
      <c r="AF416" s="415"/>
      <c r="AG416" s="416"/>
      <c r="AH416" s="416"/>
      <c r="AK416" s="426" t="s">
        <v>1709</v>
      </c>
      <c r="AM416" s="416"/>
    </row>
    <row r="417" spans="1:40" customFormat="1" ht="21.6" x14ac:dyDescent="0.3">
      <c r="A417" s="434"/>
      <c r="B417" s="425" t="s">
        <v>1739</v>
      </c>
      <c r="C417" s="907" t="s">
        <v>1740</v>
      </c>
      <c r="D417" s="907"/>
      <c r="E417" s="907"/>
      <c r="F417" s="428" t="s">
        <v>1712</v>
      </c>
      <c r="G417" s="443">
        <v>110</v>
      </c>
      <c r="H417" s="429"/>
      <c r="I417" s="443">
        <v>110</v>
      </c>
      <c r="J417" s="436"/>
      <c r="K417" s="429"/>
      <c r="L417" s="432">
        <v>6605.35</v>
      </c>
      <c r="M417" s="429"/>
      <c r="N417" s="433">
        <v>295721.34000000003</v>
      </c>
      <c r="R417" s="3"/>
      <c r="S417" s="3"/>
      <c r="AF417" s="415"/>
      <c r="AG417" s="416"/>
      <c r="AH417" s="416"/>
      <c r="AK417" s="426" t="s">
        <v>1740</v>
      </c>
      <c r="AM417" s="416"/>
    </row>
    <row r="418" spans="1:40" customFormat="1" ht="21.6" x14ac:dyDescent="0.3">
      <c r="A418" s="434"/>
      <c r="B418" s="425" t="s">
        <v>1741</v>
      </c>
      <c r="C418" s="907" t="s">
        <v>1742</v>
      </c>
      <c r="D418" s="907"/>
      <c r="E418" s="907"/>
      <c r="F418" s="428" t="s">
        <v>1712</v>
      </c>
      <c r="G418" s="443">
        <v>73</v>
      </c>
      <c r="H418" s="429"/>
      <c r="I418" s="443">
        <v>73</v>
      </c>
      <c r="J418" s="436"/>
      <c r="K418" s="429"/>
      <c r="L418" s="432">
        <v>4383.55</v>
      </c>
      <c r="M418" s="429"/>
      <c r="N418" s="433">
        <v>196251.43</v>
      </c>
      <c r="R418" s="3"/>
      <c r="S418" s="3"/>
      <c r="AF418" s="415"/>
      <c r="AG418" s="416"/>
      <c r="AH418" s="416"/>
      <c r="AK418" s="426" t="s">
        <v>1742</v>
      </c>
      <c r="AM418" s="416"/>
    </row>
    <row r="419" spans="1:40" customFormat="1" ht="14.4" x14ac:dyDescent="0.3">
      <c r="A419" s="444"/>
      <c r="B419" s="445"/>
      <c r="C419" s="916" t="s">
        <v>1715</v>
      </c>
      <c r="D419" s="916"/>
      <c r="E419" s="916"/>
      <c r="F419" s="419"/>
      <c r="G419" s="420"/>
      <c r="H419" s="420"/>
      <c r="I419" s="420"/>
      <c r="J419" s="422"/>
      <c r="K419" s="420"/>
      <c r="L419" s="446">
        <v>75954.880000000005</v>
      </c>
      <c r="M419" s="439"/>
      <c r="N419" s="447">
        <v>1488604.68</v>
      </c>
      <c r="R419" s="3"/>
      <c r="S419" s="3"/>
      <c r="AF419" s="415"/>
      <c r="AG419" s="416"/>
      <c r="AH419" s="416"/>
      <c r="AM419" s="416" t="s">
        <v>1715</v>
      </c>
    </row>
    <row r="420" spans="1:40" customFormat="1" ht="31.8" x14ac:dyDescent="0.3">
      <c r="A420" s="417" t="s">
        <v>2019</v>
      </c>
      <c r="B420" s="418" t="s">
        <v>2020</v>
      </c>
      <c r="C420" s="916" t="s">
        <v>2021</v>
      </c>
      <c r="D420" s="916"/>
      <c r="E420" s="916"/>
      <c r="F420" s="419" t="s">
        <v>1723</v>
      </c>
      <c r="G420" s="420">
        <v>437.5</v>
      </c>
      <c r="H420" s="421">
        <v>1</v>
      </c>
      <c r="I420" s="456">
        <v>437.5</v>
      </c>
      <c r="J420" s="449">
        <v>10.4</v>
      </c>
      <c r="K420" s="420"/>
      <c r="L420" s="446">
        <v>4550</v>
      </c>
      <c r="M420" s="448">
        <v>13.24</v>
      </c>
      <c r="N420" s="447">
        <v>60242</v>
      </c>
      <c r="R420" s="3"/>
      <c r="S420" s="3"/>
      <c r="AF420" s="415"/>
      <c r="AG420" s="416"/>
      <c r="AH420" s="416" t="s">
        <v>2021</v>
      </c>
      <c r="AM420" s="416"/>
    </row>
    <row r="421" spans="1:40" customFormat="1" ht="14.4" x14ac:dyDescent="0.3">
      <c r="A421" s="444"/>
      <c r="B421" s="445"/>
      <c r="C421" s="907" t="s">
        <v>1745</v>
      </c>
      <c r="D421" s="907"/>
      <c r="E421" s="907"/>
      <c r="F421" s="907"/>
      <c r="G421" s="907"/>
      <c r="H421" s="907"/>
      <c r="I421" s="907"/>
      <c r="J421" s="907"/>
      <c r="K421" s="907"/>
      <c r="L421" s="907"/>
      <c r="M421" s="907"/>
      <c r="N421" s="919"/>
      <c r="R421" s="3"/>
      <c r="S421" s="3"/>
      <c r="AF421" s="415"/>
      <c r="AG421" s="416"/>
      <c r="AH421" s="416"/>
      <c r="AM421" s="416"/>
      <c r="AN421" s="426" t="s">
        <v>1745</v>
      </c>
    </row>
    <row r="422" spans="1:40" customFormat="1" ht="14.4" x14ac:dyDescent="0.3">
      <c r="A422" s="444"/>
      <c r="B422" s="445"/>
      <c r="C422" s="916" t="s">
        <v>1715</v>
      </c>
      <c r="D422" s="916"/>
      <c r="E422" s="916"/>
      <c r="F422" s="419"/>
      <c r="G422" s="420"/>
      <c r="H422" s="420"/>
      <c r="I422" s="420"/>
      <c r="J422" s="422"/>
      <c r="K422" s="420"/>
      <c r="L422" s="446">
        <v>4550</v>
      </c>
      <c r="M422" s="439"/>
      <c r="N422" s="447">
        <v>60242</v>
      </c>
      <c r="R422" s="3"/>
      <c r="S422" s="3"/>
      <c r="AF422" s="415"/>
      <c r="AG422" s="416"/>
      <c r="AH422" s="416"/>
      <c r="AM422" s="416" t="s">
        <v>1715</v>
      </c>
    </row>
    <row r="423" spans="1:40" customFormat="1" ht="31.8" x14ac:dyDescent="0.3">
      <c r="A423" s="417" t="s">
        <v>2022</v>
      </c>
      <c r="B423" s="418" t="s">
        <v>1923</v>
      </c>
      <c r="C423" s="916" t="s">
        <v>1924</v>
      </c>
      <c r="D423" s="916"/>
      <c r="E423" s="916"/>
      <c r="F423" s="419" t="s">
        <v>1723</v>
      </c>
      <c r="G423" s="420">
        <v>437.5</v>
      </c>
      <c r="H423" s="421">
        <v>1</v>
      </c>
      <c r="I423" s="456">
        <v>437.5</v>
      </c>
      <c r="J423" s="449">
        <v>8.7899999999999991</v>
      </c>
      <c r="K423" s="420"/>
      <c r="L423" s="446">
        <v>3845.63</v>
      </c>
      <c r="M423" s="448">
        <v>13.62</v>
      </c>
      <c r="N423" s="447">
        <v>52377.48</v>
      </c>
      <c r="R423" s="3"/>
      <c r="S423" s="3"/>
      <c r="AF423" s="415"/>
      <c r="AG423" s="416"/>
      <c r="AH423" s="416" t="s">
        <v>1924</v>
      </c>
      <c r="AM423" s="416"/>
    </row>
    <row r="424" spans="1:40" customFormat="1" ht="14.4" x14ac:dyDescent="0.3">
      <c r="A424" s="444"/>
      <c r="B424" s="445"/>
      <c r="C424" s="907" t="s">
        <v>1925</v>
      </c>
      <c r="D424" s="907"/>
      <c r="E424" s="907"/>
      <c r="F424" s="907"/>
      <c r="G424" s="907"/>
      <c r="H424" s="907"/>
      <c r="I424" s="907"/>
      <c r="J424" s="907"/>
      <c r="K424" s="907"/>
      <c r="L424" s="907"/>
      <c r="M424" s="907"/>
      <c r="N424" s="919"/>
      <c r="R424" s="3"/>
      <c r="S424" s="3"/>
      <c r="AF424" s="415"/>
      <c r="AG424" s="416"/>
      <c r="AH424" s="416"/>
      <c r="AM424" s="416"/>
      <c r="AN424" s="426" t="s">
        <v>1925</v>
      </c>
    </row>
    <row r="425" spans="1:40" customFormat="1" ht="14.4" x14ac:dyDescent="0.3">
      <c r="A425" s="444"/>
      <c r="B425" s="445"/>
      <c r="C425" s="916" t="s">
        <v>1715</v>
      </c>
      <c r="D425" s="916"/>
      <c r="E425" s="916"/>
      <c r="F425" s="419"/>
      <c r="G425" s="420"/>
      <c r="H425" s="420"/>
      <c r="I425" s="420"/>
      <c r="J425" s="422"/>
      <c r="K425" s="420"/>
      <c r="L425" s="446">
        <v>3845.63</v>
      </c>
      <c r="M425" s="439"/>
      <c r="N425" s="447">
        <v>52377.48</v>
      </c>
      <c r="R425" s="3"/>
      <c r="S425" s="3"/>
      <c r="AF425" s="415"/>
      <c r="AG425" s="416"/>
      <c r="AH425" s="416"/>
      <c r="AM425" s="416" t="s">
        <v>1715</v>
      </c>
    </row>
    <row r="426" spans="1:40" customFormat="1" ht="31.8" x14ac:dyDescent="0.3">
      <c r="A426" s="417" t="s">
        <v>2023</v>
      </c>
      <c r="B426" s="418" t="s">
        <v>2024</v>
      </c>
      <c r="C426" s="916" t="s">
        <v>2025</v>
      </c>
      <c r="D426" s="916"/>
      <c r="E426" s="916"/>
      <c r="F426" s="419" t="s">
        <v>1723</v>
      </c>
      <c r="G426" s="420">
        <v>437.5</v>
      </c>
      <c r="H426" s="421">
        <v>1</v>
      </c>
      <c r="I426" s="456">
        <v>437.5</v>
      </c>
      <c r="J426" s="449">
        <v>10.4</v>
      </c>
      <c r="K426" s="420"/>
      <c r="L426" s="446">
        <v>4550</v>
      </c>
      <c r="M426" s="448">
        <v>13.24</v>
      </c>
      <c r="N426" s="447">
        <v>60242</v>
      </c>
      <c r="R426" s="3"/>
      <c r="S426" s="3"/>
      <c r="AF426" s="415"/>
      <c r="AG426" s="416"/>
      <c r="AH426" s="416" t="s">
        <v>2025</v>
      </c>
      <c r="AM426" s="416"/>
    </row>
    <row r="427" spans="1:40" customFormat="1" ht="14.4" x14ac:dyDescent="0.3">
      <c r="A427" s="444"/>
      <c r="B427" s="445"/>
      <c r="C427" s="907" t="s">
        <v>1745</v>
      </c>
      <c r="D427" s="907"/>
      <c r="E427" s="907"/>
      <c r="F427" s="907"/>
      <c r="G427" s="907"/>
      <c r="H427" s="907"/>
      <c r="I427" s="907"/>
      <c r="J427" s="907"/>
      <c r="K427" s="907"/>
      <c r="L427" s="907"/>
      <c r="M427" s="907"/>
      <c r="N427" s="919"/>
      <c r="R427" s="3"/>
      <c r="S427" s="3"/>
      <c r="AF427" s="415"/>
      <c r="AG427" s="416"/>
      <c r="AH427" s="416"/>
      <c r="AM427" s="416"/>
      <c r="AN427" s="426" t="s">
        <v>1745</v>
      </c>
    </row>
    <row r="428" spans="1:40" customFormat="1" ht="14.4" x14ac:dyDescent="0.3">
      <c r="A428" s="444"/>
      <c r="B428" s="445"/>
      <c r="C428" s="916" t="s">
        <v>1715</v>
      </c>
      <c r="D428" s="916"/>
      <c r="E428" s="916"/>
      <c r="F428" s="419"/>
      <c r="G428" s="420"/>
      <c r="H428" s="420"/>
      <c r="I428" s="420"/>
      <c r="J428" s="422"/>
      <c r="K428" s="420"/>
      <c r="L428" s="446">
        <v>4550</v>
      </c>
      <c r="M428" s="439"/>
      <c r="N428" s="447">
        <v>60242</v>
      </c>
      <c r="R428" s="3"/>
      <c r="S428" s="3"/>
      <c r="AF428" s="415"/>
      <c r="AG428" s="416"/>
      <c r="AH428" s="416"/>
      <c r="AM428" s="416" t="s">
        <v>1715</v>
      </c>
    </row>
    <row r="429" spans="1:40" customFormat="1" ht="31.8" x14ac:dyDescent="0.3">
      <c r="A429" s="417" t="s">
        <v>2026</v>
      </c>
      <c r="B429" s="418" t="s">
        <v>2020</v>
      </c>
      <c r="C429" s="916" t="s">
        <v>2021</v>
      </c>
      <c r="D429" s="916"/>
      <c r="E429" s="916"/>
      <c r="F429" s="419" t="s">
        <v>1723</v>
      </c>
      <c r="G429" s="420">
        <v>437.5</v>
      </c>
      <c r="H429" s="421">
        <v>1</v>
      </c>
      <c r="I429" s="456">
        <v>437.5</v>
      </c>
      <c r="J429" s="449">
        <v>10.4</v>
      </c>
      <c r="K429" s="420"/>
      <c r="L429" s="446">
        <v>4550</v>
      </c>
      <c r="M429" s="448">
        <v>13.24</v>
      </c>
      <c r="N429" s="447">
        <v>60242</v>
      </c>
      <c r="R429" s="3"/>
      <c r="S429" s="3"/>
      <c r="AF429" s="415"/>
      <c r="AG429" s="416"/>
      <c r="AH429" s="416" t="s">
        <v>2021</v>
      </c>
      <c r="AM429" s="416"/>
    </row>
    <row r="430" spans="1:40" customFormat="1" ht="14.4" x14ac:dyDescent="0.3">
      <c r="A430" s="444"/>
      <c r="B430" s="445"/>
      <c r="C430" s="907" t="s">
        <v>1745</v>
      </c>
      <c r="D430" s="907"/>
      <c r="E430" s="907"/>
      <c r="F430" s="907"/>
      <c r="G430" s="907"/>
      <c r="H430" s="907"/>
      <c r="I430" s="907"/>
      <c r="J430" s="907"/>
      <c r="K430" s="907"/>
      <c r="L430" s="907"/>
      <c r="M430" s="907"/>
      <c r="N430" s="919"/>
      <c r="R430" s="3"/>
      <c r="S430" s="3"/>
      <c r="AF430" s="415"/>
      <c r="AG430" s="416"/>
      <c r="AH430" s="416"/>
      <c r="AM430" s="416"/>
      <c r="AN430" s="426" t="s">
        <v>1745</v>
      </c>
    </row>
    <row r="431" spans="1:40" customFormat="1" ht="14.4" x14ac:dyDescent="0.3">
      <c r="A431" s="444"/>
      <c r="B431" s="445"/>
      <c r="C431" s="916" t="s">
        <v>1715</v>
      </c>
      <c r="D431" s="916"/>
      <c r="E431" s="916"/>
      <c r="F431" s="419"/>
      <c r="G431" s="420"/>
      <c r="H431" s="420"/>
      <c r="I431" s="420"/>
      <c r="J431" s="422"/>
      <c r="K431" s="420"/>
      <c r="L431" s="446">
        <v>4550</v>
      </c>
      <c r="M431" s="439"/>
      <c r="N431" s="447">
        <v>60242</v>
      </c>
      <c r="R431" s="3"/>
      <c r="S431" s="3"/>
      <c r="AF431" s="415"/>
      <c r="AG431" s="416"/>
      <c r="AH431" s="416"/>
      <c r="AM431" s="416" t="s">
        <v>1715</v>
      </c>
    </row>
    <row r="432" spans="1:40" customFormat="1" ht="21.6" x14ac:dyDescent="0.3">
      <c r="A432" s="417" t="s">
        <v>2027</v>
      </c>
      <c r="B432" s="418" t="s">
        <v>1726</v>
      </c>
      <c r="C432" s="916" t="s">
        <v>1727</v>
      </c>
      <c r="D432" s="916"/>
      <c r="E432" s="916"/>
      <c r="F432" s="419" t="s">
        <v>193</v>
      </c>
      <c r="G432" s="420">
        <v>208.35</v>
      </c>
      <c r="H432" s="421">
        <v>1</v>
      </c>
      <c r="I432" s="448">
        <v>208.35</v>
      </c>
      <c r="J432" s="449">
        <v>162.38</v>
      </c>
      <c r="K432" s="420"/>
      <c r="L432" s="446">
        <v>33831.870000000003</v>
      </c>
      <c r="M432" s="448">
        <v>8.16</v>
      </c>
      <c r="N432" s="447">
        <v>276068.06</v>
      </c>
      <c r="R432" s="3"/>
      <c r="S432" s="3"/>
      <c r="AF432" s="415"/>
      <c r="AG432" s="416"/>
      <c r="AH432" s="416" t="s">
        <v>1727</v>
      </c>
      <c r="AM432" s="416"/>
    </row>
    <row r="433" spans="1:42" customFormat="1" ht="14.4" x14ac:dyDescent="0.3">
      <c r="A433" s="444"/>
      <c r="B433" s="445"/>
      <c r="C433" s="907" t="s">
        <v>1911</v>
      </c>
      <c r="D433" s="907"/>
      <c r="E433" s="907"/>
      <c r="F433" s="907"/>
      <c r="G433" s="907"/>
      <c r="H433" s="907"/>
      <c r="I433" s="907"/>
      <c r="J433" s="907"/>
      <c r="K433" s="907"/>
      <c r="L433" s="907"/>
      <c r="M433" s="907"/>
      <c r="N433" s="919"/>
      <c r="R433" s="3"/>
      <c r="S433" s="3"/>
      <c r="AF433" s="415"/>
      <c r="AG433" s="416"/>
      <c r="AH433" s="416"/>
      <c r="AM433" s="416"/>
      <c r="AN433" s="426" t="s">
        <v>1911</v>
      </c>
    </row>
    <row r="434" spans="1:42" customFormat="1" ht="14.4" x14ac:dyDescent="0.3">
      <c r="A434" s="450"/>
      <c r="B434" s="451"/>
      <c r="C434" s="907" t="s">
        <v>1730</v>
      </c>
      <c r="D434" s="907"/>
      <c r="E434" s="907"/>
      <c r="F434" s="907"/>
      <c r="G434" s="907"/>
      <c r="H434" s="907"/>
      <c r="I434" s="907"/>
      <c r="J434" s="907"/>
      <c r="K434" s="907"/>
      <c r="L434" s="907"/>
      <c r="M434" s="907"/>
      <c r="N434" s="919"/>
      <c r="R434" s="3"/>
      <c r="S434" s="3"/>
      <c r="AF434" s="415"/>
      <c r="AG434" s="416"/>
      <c r="AH434" s="416"/>
      <c r="AM434" s="416"/>
      <c r="AP434" s="426" t="s">
        <v>1730</v>
      </c>
    </row>
    <row r="435" spans="1:42" customFormat="1" ht="14.4" x14ac:dyDescent="0.3">
      <c r="A435" s="444"/>
      <c r="B435" s="445"/>
      <c r="C435" s="916" t="s">
        <v>1715</v>
      </c>
      <c r="D435" s="916"/>
      <c r="E435" s="916"/>
      <c r="F435" s="419"/>
      <c r="G435" s="420"/>
      <c r="H435" s="420"/>
      <c r="I435" s="420"/>
      <c r="J435" s="422"/>
      <c r="K435" s="420"/>
      <c r="L435" s="446">
        <v>33831.870000000003</v>
      </c>
      <c r="M435" s="439"/>
      <c r="N435" s="447">
        <v>276068.06</v>
      </c>
      <c r="R435" s="3"/>
      <c r="S435" s="3"/>
      <c r="AF435" s="415"/>
      <c r="AG435" s="416"/>
      <c r="AH435" s="416"/>
      <c r="AM435" s="416" t="s">
        <v>1715</v>
      </c>
    </row>
    <row r="436" spans="1:42" customFormat="1" ht="14.4" x14ac:dyDescent="0.3">
      <c r="A436" s="913" t="s">
        <v>2028</v>
      </c>
      <c r="B436" s="914"/>
      <c r="C436" s="914"/>
      <c r="D436" s="914"/>
      <c r="E436" s="914"/>
      <c r="F436" s="914"/>
      <c r="G436" s="914"/>
      <c r="H436" s="914"/>
      <c r="I436" s="914"/>
      <c r="J436" s="914"/>
      <c r="K436" s="914"/>
      <c r="L436" s="914"/>
      <c r="M436" s="914"/>
      <c r="N436" s="915"/>
      <c r="R436" s="3"/>
      <c r="S436" s="3"/>
      <c r="AF436" s="415"/>
      <c r="AG436" s="416" t="s">
        <v>2028</v>
      </c>
      <c r="AH436" s="416"/>
      <c r="AM436" s="416"/>
    </row>
    <row r="437" spans="1:42" customFormat="1" ht="14.4" x14ac:dyDescent="0.3">
      <c r="A437" s="417" t="s">
        <v>2029</v>
      </c>
      <c r="B437" s="418" t="s">
        <v>2030</v>
      </c>
      <c r="C437" s="916" t="s">
        <v>2031</v>
      </c>
      <c r="D437" s="916"/>
      <c r="E437" s="916"/>
      <c r="F437" s="419" t="s">
        <v>193</v>
      </c>
      <c r="G437" s="420">
        <v>179.99</v>
      </c>
      <c r="H437" s="421">
        <v>1</v>
      </c>
      <c r="I437" s="448">
        <v>179.99</v>
      </c>
      <c r="J437" s="422"/>
      <c r="K437" s="420"/>
      <c r="L437" s="422"/>
      <c r="M437" s="420"/>
      <c r="N437" s="423"/>
      <c r="R437" s="3"/>
      <c r="S437" s="3"/>
      <c r="AF437" s="415"/>
      <c r="AG437" s="416"/>
      <c r="AH437" s="416" t="s">
        <v>2031</v>
      </c>
      <c r="AM437" s="416"/>
    </row>
    <row r="438" spans="1:42" customFormat="1" ht="14.4" x14ac:dyDescent="0.3">
      <c r="A438" s="450"/>
      <c r="B438" s="451"/>
      <c r="C438" s="907" t="s">
        <v>2032</v>
      </c>
      <c r="D438" s="907"/>
      <c r="E438" s="907"/>
      <c r="F438" s="907"/>
      <c r="G438" s="907"/>
      <c r="H438" s="907"/>
      <c r="I438" s="907"/>
      <c r="J438" s="907"/>
      <c r="K438" s="907"/>
      <c r="L438" s="907"/>
      <c r="M438" s="907"/>
      <c r="N438" s="919"/>
      <c r="R438" s="3"/>
      <c r="S438" s="3"/>
      <c r="AF438" s="415"/>
      <c r="AG438" s="416"/>
      <c r="AH438" s="416"/>
      <c r="AI438" s="426" t="s">
        <v>2032</v>
      </c>
      <c r="AM438" s="416"/>
    </row>
    <row r="439" spans="1:42" customFormat="1" ht="52.2" x14ac:dyDescent="0.3">
      <c r="A439" s="424"/>
      <c r="B439" s="425" t="s">
        <v>1703</v>
      </c>
      <c r="C439" s="917" t="s">
        <v>1704</v>
      </c>
      <c r="D439" s="917"/>
      <c r="E439" s="917"/>
      <c r="F439" s="917"/>
      <c r="G439" s="917"/>
      <c r="H439" s="917"/>
      <c r="I439" s="917"/>
      <c r="J439" s="917"/>
      <c r="K439" s="917"/>
      <c r="L439" s="917"/>
      <c r="M439" s="917"/>
      <c r="N439" s="918"/>
      <c r="R439" s="3"/>
      <c r="S439" s="3"/>
      <c r="AF439" s="415"/>
      <c r="AG439" s="416"/>
      <c r="AH439" s="416"/>
      <c r="AM439" s="416"/>
      <c r="AO439" s="426" t="s">
        <v>1704</v>
      </c>
    </row>
    <row r="440" spans="1:42" customFormat="1" ht="14.4" x14ac:dyDescent="0.3">
      <c r="A440" s="427"/>
      <c r="B440" s="425" t="s">
        <v>758</v>
      </c>
      <c r="C440" s="907" t="s">
        <v>1705</v>
      </c>
      <c r="D440" s="907"/>
      <c r="E440" s="907"/>
      <c r="F440" s="428"/>
      <c r="G440" s="429"/>
      <c r="H440" s="429"/>
      <c r="I440" s="429"/>
      <c r="J440" s="430">
        <v>62.91</v>
      </c>
      <c r="K440" s="431">
        <v>1.1499999999999999</v>
      </c>
      <c r="L440" s="432">
        <v>13021.65</v>
      </c>
      <c r="M440" s="431">
        <v>44.77</v>
      </c>
      <c r="N440" s="433">
        <v>582979.27</v>
      </c>
      <c r="R440" s="3"/>
      <c r="S440" s="3"/>
      <c r="AF440" s="415"/>
      <c r="AG440" s="416"/>
      <c r="AH440" s="416"/>
      <c r="AJ440" s="426" t="s">
        <v>1705</v>
      </c>
      <c r="AM440" s="416"/>
    </row>
    <row r="441" spans="1:42" customFormat="1" ht="14.4" x14ac:dyDescent="0.3">
      <c r="A441" s="427"/>
      <c r="B441" s="425" t="s">
        <v>761</v>
      </c>
      <c r="C441" s="907" t="s">
        <v>1718</v>
      </c>
      <c r="D441" s="907"/>
      <c r="E441" s="907"/>
      <c r="F441" s="428"/>
      <c r="G441" s="429"/>
      <c r="H441" s="429"/>
      <c r="I441" s="429"/>
      <c r="J441" s="430">
        <v>59.65</v>
      </c>
      <c r="K441" s="431">
        <v>1.1499999999999999</v>
      </c>
      <c r="L441" s="432">
        <v>12346.86</v>
      </c>
      <c r="M441" s="431">
        <v>13.24</v>
      </c>
      <c r="N441" s="433">
        <v>163472.43</v>
      </c>
      <c r="R441" s="3"/>
      <c r="S441" s="3"/>
      <c r="AF441" s="415"/>
      <c r="AG441" s="416"/>
      <c r="AH441" s="416"/>
      <c r="AJ441" s="426" t="s">
        <v>1718</v>
      </c>
      <c r="AM441" s="416"/>
    </row>
    <row r="442" spans="1:42" customFormat="1" ht="14.4" x14ac:dyDescent="0.3">
      <c r="A442" s="434"/>
      <c r="B442" s="425"/>
      <c r="C442" s="907" t="s">
        <v>1706</v>
      </c>
      <c r="D442" s="907"/>
      <c r="E442" s="907"/>
      <c r="F442" s="428" t="s">
        <v>1707</v>
      </c>
      <c r="G442" s="458">
        <v>7.1</v>
      </c>
      <c r="H442" s="431">
        <v>1.1499999999999999</v>
      </c>
      <c r="I442" s="459">
        <v>1469.61835</v>
      </c>
      <c r="J442" s="436"/>
      <c r="K442" s="429"/>
      <c r="L442" s="436"/>
      <c r="M442" s="429"/>
      <c r="N442" s="437"/>
      <c r="R442" s="3"/>
      <c r="S442" s="3"/>
      <c r="AF442" s="415"/>
      <c r="AG442" s="416"/>
      <c r="AH442" s="416"/>
      <c r="AK442" s="426" t="s">
        <v>1706</v>
      </c>
      <c r="AM442" s="416"/>
    </row>
    <row r="443" spans="1:42" customFormat="1" ht="14.4" x14ac:dyDescent="0.3">
      <c r="A443" s="427"/>
      <c r="B443" s="425"/>
      <c r="C443" s="908" t="s">
        <v>1708</v>
      </c>
      <c r="D443" s="908"/>
      <c r="E443" s="908"/>
      <c r="F443" s="438"/>
      <c r="G443" s="439"/>
      <c r="H443" s="439"/>
      <c r="I443" s="439"/>
      <c r="J443" s="440">
        <v>122.56</v>
      </c>
      <c r="K443" s="439"/>
      <c r="L443" s="441">
        <v>25368.51</v>
      </c>
      <c r="M443" s="439"/>
      <c r="N443" s="442">
        <v>746451.7</v>
      </c>
      <c r="R443" s="3"/>
      <c r="S443" s="3"/>
      <c r="AF443" s="415"/>
      <c r="AG443" s="416"/>
      <c r="AH443" s="416"/>
      <c r="AL443" s="426" t="s">
        <v>1708</v>
      </c>
      <c r="AM443" s="416"/>
    </row>
    <row r="444" spans="1:42" customFormat="1" ht="14.4" x14ac:dyDescent="0.3">
      <c r="A444" s="434"/>
      <c r="B444" s="425"/>
      <c r="C444" s="907" t="s">
        <v>1709</v>
      </c>
      <c r="D444" s="907"/>
      <c r="E444" s="907"/>
      <c r="F444" s="428"/>
      <c r="G444" s="429"/>
      <c r="H444" s="429"/>
      <c r="I444" s="429"/>
      <c r="J444" s="436"/>
      <c r="K444" s="429"/>
      <c r="L444" s="432">
        <v>13021.65</v>
      </c>
      <c r="M444" s="429"/>
      <c r="N444" s="433">
        <v>582979.27</v>
      </c>
      <c r="R444" s="3"/>
      <c r="S444" s="3"/>
      <c r="AF444" s="415"/>
      <c r="AG444" s="416"/>
      <c r="AH444" s="416"/>
      <c r="AK444" s="426" t="s">
        <v>1709</v>
      </c>
      <c r="AM444" s="416"/>
    </row>
    <row r="445" spans="1:42" customFormat="1" ht="31.8" x14ac:dyDescent="0.3">
      <c r="A445" s="434"/>
      <c r="B445" s="425" t="s">
        <v>1761</v>
      </c>
      <c r="C445" s="907" t="s">
        <v>1762</v>
      </c>
      <c r="D445" s="907"/>
      <c r="E445" s="907"/>
      <c r="F445" s="428" t="s">
        <v>1712</v>
      </c>
      <c r="G445" s="443">
        <v>91</v>
      </c>
      <c r="H445" s="429"/>
      <c r="I445" s="443">
        <v>91</v>
      </c>
      <c r="J445" s="436"/>
      <c r="K445" s="429"/>
      <c r="L445" s="432">
        <v>11849.7</v>
      </c>
      <c r="M445" s="429"/>
      <c r="N445" s="433">
        <v>530511.14</v>
      </c>
      <c r="R445" s="3"/>
      <c r="S445" s="3"/>
      <c r="AF445" s="415"/>
      <c r="AG445" s="416"/>
      <c r="AH445" s="416"/>
      <c r="AK445" s="426" t="s">
        <v>1762</v>
      </c>
      <c r="AM445" s="416"/>
    </row>
    <row r="446" spans="1:42" customFormat="1" ht="31.8" x14ac:dyDescent="0.3">
      <c r="A446" s="434"/>
      <c r="B446" s="425" t="s">
        <v>1763</v>
      </c>
      <c r="C446" s="907" t="s">
        <v>1764</v>
      </c>
      <c r="D446" s="907"/>
      <c r="E446" s="907"/>
      <c r="F446" s="428" t="s">
        <v>1712</v>
      </c>
      <c r="G446" s="443">
        <v>52</v>
      </c>
      <c r="H446" s="429"/>
      <c r="I446" s="443">
        <v>52</v>
      </c>
      <c r="J446" s="436"/>
      <c r="K446" s="429"/>
      <c r="L446" s="432">
        <v>6771.26</v>
      </c>
      <c r="M446" s="429"/>
      <c r="N446" s="433">
        <v>303149.21999999997</v>
      </c>
      <c r="R446" s="3"/>
      <c r="S446" s="3"/>
      <c r="AF446" s="415"/>
      <c r="AG446" s="416"/>
      <c r="AH446" s="416"/>
      <c r="AK446" s="426" t="s">
        <v>1764</v>
      </c>
      <c r="AM446" s="416"/>
    </row>
    <row r="447" spans="1:42" customFormat="1" ht="14.4" x14ac:dyDescent="0.3">
      <c r="A447" s="444"/>
      <c r="B447" s="445"/>
      <c r="C447" s="916" t="s">
        <v>1715</v>
      </c>
      <c r="D447" s="916"/>
      <c r="E447" s="916"/>
      <c r="F447" s="419"/>
      <c r="G447" s="420"/>
      <c r="H447" s="420"/>
      <c r="I447" s="420"/>
      <c r="J447" s="422"/>
      <c r="K447" s="420"/>
      <c r="L447" s="446">
        <v>43989.47</v>
      </c>
      <c r="M447" s="439"/>
      <c r="N447" s="447">
        <v>1580112.06</v>
      </c>
      <c r="R447" s="3"/>
      <c r="S447" s="3"/>
      <c r="AF447" s="415"/>
      <c r="AG447" s="416"/>
      <c r="AH447" s="416"/>
      <c r="AM447" s="416" t="s">
        <v>1715</v>
      </c>
    </row>
    <row r="448" spans="1:42" customFormat="1" ht="42" x14ac:dyDescent="0.3">
      <c r="A448" s="417" t="s">
        <v>2033</v>
      </c>
      <c r="B448" s="418" t="s">
        <v>1747</v>
      </c>
      <c r="C448" s="916" t="s">
        <v>1748</v>
      </c>
      <c r="D448" s="916"/>
      <c r="E448" s="916"/>
      <c r="F448" s="419" t="s">
        <v>1723</v>
      </c>
      <c r="G448" s="420">
        <v>265.21600000000001</v>
      </c>
      <c r="H448" s="421">
        <v>1</v>
      </c>
      <c r="I448" s="452">
        <v>265.21600000000001</v>
      </c>
      <c r="J448" s="449">
        <v>3.28</v>
      </c>
      <c r="K448" s="420"/>
      <c r="L448" s="449">
        <v>869.91</v>
      </c>
      <c r="M448" s="448">
        <v>13.24</v>
      </c>
      <c r="N448" s="447">
        <v>11517.61</v>
      </c>
      <c r="R448" s="3"/>
      <c r="S448" s="3"/>
      <c r="AF448" s="415"/>
      <c r="AG448" s="416"/>
      <c r="AH448" s="416" t="s">
        <v>1748</v>
      </c>
      <c r="AM448" s="416"/>
    </row>
    <row r="449" spans="1:42" customFormat="1" ht="14.4" x14ac:dyDescent="0.3">
      <c r="A449" s="450"/>
      <c r="B449" s="451"/>
      <c r="C449" s="907" t="s">
        <v>2034</v>
      </c>
      <c r="D449" s="907"/>
      <c r="E449" s="907"/>
      <c r="F449" s="907"/>
      <c r="G449" s="907"/>
      <c r="H449" s="907"/>
      <c r="I449" s="907"/>
      <c r="J449" s="907"/>
      <c r="K449" s="907"/>
      <c r="L449" s="907"/>
      <c r="M449" s="907"/>
      <c r="N449" s="919"/>
      <c r="R449" s="3"/>
      <c r="S449" s="3"/>
      <c r="AF449" s="415"/>
      <c r="AG449" s="416"/>
      <c r="AH449" s="416"/>
      <c r="AI449" s="426" t="s">
        <v>2034</v>
      </c>
      <c r="AM449" s="416"/>
    </row>
    <row r="450" spans="1:42" customFormat="1" ht="14.4" x14ac:dyDescent="0.3">
      <c r="A450" s="444"/>
      <c r="B450" s="445"/>
      <c r="C450" s="916" t="s">
        <v>1715</v>
      </c>
      <c r="D450" s="916"/>
      <c r="E450" s="916"/>
      <c r="F450" s="419"/>
      <c r="G450" s="420"/>
      <c r="H450" s="420"/>
      <c r="I450" s="420"/>
      <c r="J450" s="422"/>
      <c r="K450" s="420"/>
      <c r="L450" s="449">
        <v>869.91</v>
      </c>
      <c r="M450" s="439"/>
      <c r="N450" s="447">
        <v>11517.61</v>
      </c>
      <c r="R450" s="3"/>
      <c r="S450" s="3"/>
      <c r="AF450" s="415"/>
      <c r="AG450" s="416"/>
      <c r="AH450" s="416"/>
      <c r="AM450" s="416" t="s">
        <v>1715</v>
      </c>
    </row>
    <row r="451" spans="1:42" customFormat="1" ht="21.6" x14ac:dyDescent="0.3">
      <c r="A451" s="417" t="s">
        <v>2035</v>
      </c>
      <c r="B451" s="418" t="s">
        <v>1751</v>
      </c>
      <c r="C451" s="916" t="s">
        <v>1752</v>
      </c>
      <c r="D451" s="916"/>
      <c r="E451" s="916"/>
      <c r="F451" s="419" t="s">
        <v>1723</v>
      </c>
      <c r="G451" s="420">
        <v>66.304000000000002</v>
      </c>
      <c r="H451" s="421">
        <v>1</v>
      </c>
      <c r="I451" s="452">
        <v>66.304000000000002</v>
      </c>
      <c r="J451" s="449">
        <v>42.98</v>
      </c>
      <c r="K451" s="420"/>
      <c r="L451" s="446">
        <v>2849.75</v>
      </c>
      <c r="M451" s="448">
        <v>13.24</v>
      </c>
      <c r="N451" s="447">
        <v>37730.69</v>
      </c>
      <c r="R451" s="3"/>
      <c r="S451" s="3"/>
      <c r="AF451" s="415"/>
      <c r="AG451" s="416"/>
      <c r="AH451" s="416" t="s">
        <v>1752</v>
      </c>
      <c r="AM451" s="416"/>
    </row>
    <row r="452" spans="1:42" customFormat="1" ht="14.4" x14ac:dyDescent="0.3">
      <c r="A452" s="450"/>
      <c r="B452" s="451"/>
      <c r="C452" s="907" t="s">
        <v>2036</v>
      </c>
      <c r="D452" s="907"/>
      <c r="E452" s="907"/>
      <c r="F452" s="907"/>
      <c r="G452" s="907"/>
      <c r="H452" s="907"/>
      <c r="I452" s="907"/>
      <c r="J452" s="907"/>
      <c r="K452" s="907"/>
      <c r="L452" s="907"/>
      <c r="M452" s="907"/>
      <c r="N452" s="919"/>
      <c r="R452" s="3"/>
      <c r="S452" s="3"/>
      <c r="AF452" s="415"/>
      <c r="AG452" s="416"/>
      <c r="AH452" s="416"/>
      <c r="AI452" s="426" t="s">
        <v>2036</v>
      </c>
      <c r="AM452" s="416"/>
    </row>
    <row r="453" spans="1:42" customFormat="1" ht="14.4" x14ac:dyDescent="0.3">
      <c r="A453" s="444"/>
      <c r="B453" s="445"/>
      <c r="C453" s="916" t="s">
        <v>1715</v>
      </c>
      <c r="D453" s="916"/>
      <c r="E453" s="916"/>
      <c r="F453" s="419"/>
      <c r="G453" s="420"/>
      <c r="H453" s="420"/>
      <c r="I453" s="420"/>
      <c r="J453" s="422"/>
      <c r="K453" s="420"/>
      <c r="L453" s="446">
        <v>2849.75</v>
      </c>
      <c r="M453" s="439"/>
      <c r="N453" s="447">
        <v>37730.69</v>
      </c>
      <c r="R453" s="3"/>
      <c r="S453" s="3"/>
      <c r="AF453" s="415"/>
      <c r="AG453" s="416"/>
      <c r="AH453" s="416"/>
      <c r="AM453" s="416" t="s">
        <v>1715</v>
      </c>
    </row>
    <row r="454" spans="1:42" customFormat="1" ht="31.8" x14ac:dyDescent="0.3">
      <c r="A454" s="417" t="s">
        <v>2037</v>
      </c>
      <c r="B454" s="418" t="s">
        <v>1975</v>
      </c>
      <c r="C454" s="916" t="s">
        <v>1976</v>
      </c>
      <c r="D454" s="916"/>
      <c r="E454" s="916"/>
      <c r="F454" s="419" t="s">
        <v>1723</v>
      </c>
      <c r="G454" s="420">
        <v>331.52</v>
      </c>
      <c r="H454" s="421">
        <v>1</v>
      </c>
      <c r="I454" s="448">
        <v>331.52</v>
      </c>
      <c r="J454" s="449">
        <v>19.29</v>
      </c>
      <c r="K454" s="420"/>
      <c r="L454" s="446">
        <v>6395.02</v>
      </c>
      <c r="M454" s="448">
        <v>13.62</v>
      </c>
      <c r="N454" s="447">
        <v>87100.17</v>
      </c>
      <c r="R454" s="3"/>
      <c r="S454" s="3"/>
      <c r="AF454" s="415"/>
      <c r="AG454" s="416"/>
      <c r="AH454" s="416" t="s">
        <v>1976</v>
      </c>
      <c r="AM454" s="416"/>
    </row>
    <row r="455" spans="1:42" customFormat="1" ht="14.4" x14ac:dyDescent="0.3">
      <c r="A455" s="450"/>
      <c r="B455" s="451"/>
      <c r="C455" s="907" t="s">
        <v>2038</v>
      </c>
      <c r="D455" s="907"/>
      <c r="E455" s="907"/>
      <c r="F455" s="907"/>
      <c r="G455" s="907"/>
      <c r="H455" s="907"/>
      <c r="I455" s="907"/>
      <c r="J455" s="907"/>
      <c r="K455" s="907"/>
      <c r="L455" s="907"/>
      <c r="M455" s="907"/>
      <c r="N455" s="919"/>
      <c r="R455" s="3"/>
      <c r="S455" s="3"/>
      <c r="AF455" s="415"/>
      <c r="AG455" s="416"/>
      <c r="AH455" s="416"/>
      <c r="AI455" s="426" t="s">
        <v>2038</v>
      </c>
      <c r="AM455" s="416"/>
    </row>
    <row r="456" spans="1:42" customFormat="1" ht="14.4" x14ac:dyDescent="0.3">
      <c r="A456" s="444"/>
      <c r="B456" s="445"/>
      <c r="C456" s="916" t="s">
        <v>1715</v>
      </c>
      <c r="D456" s="916"/>
      <c r="E456" s="916"/>
      <c r="F456" s="419"/>
      <c r="G456" s="420"/>
      <c r="H456" s="420"/>
      <c r="I456" s="420"/>
      <c r="J456" s="422"/>
      <c r="K456" s="420"/>
      <c r="L456" s="446">
        <v>6395.02</v>
      </c>
      <c r="M456" s="439"/>
      <c r="N456" s="447">
        <v>87100.17</v>
      </c>
      <c r="R456" s="3"/>
      <c r="S456" s="3"/>
      <c r="AF456" s="415"/>
      <c r="AG456" s="416"/>
      <c r="AH456" s="416"/>
      <c r="AM456" s="416" t="s">
        <v>1715</v>
      </c>
    </row>
    <row r="457" spans="1:42" customFormat="1" ht="21.6" x14ac:dyDescent="0.3">
      <c r="A457" s="417" t="s">
        <v>2039</v>
      </c>
      <c r="B457" s="418" t="s">
        <v>1726</v>
      </c>
      <c r="C457" s="916" t="s">
        <v>1727</v>
      </c>
      <c r="D457" s="916"/>
      <c r="E457" s="916"/>
      <c r="F457" s="419" t="s">
        <v>193</v>
      </c>
      <c r="G457" s="420">
        <v>179.99</v>
      </c>
      <c r="H457" s="421">
        <v>1</v>
      </c>
      <c r="I457" s="448">
        <v>179.99</v>
      </c>
      <c r="J457" s="449">
        <v>162.38</v>
      </c>
      <c r="K457" s="420"/>
      <c r="L457" s="446">
        <v>29226.78</v>
      </c>
      <c r="M457" s="448">
        <v>8.16</v>
      </c>
      <c r="N457" s="447">
        <v>238490.52</v>
      </c>
      <c r="R457" s="3"/>
      <c r="S457" s="3"/>
      <c r="AF457" s="415"/>
      <c r="AG457" s="416"/>
      <c r="AH457" s="416" t="s">
        <v>1727</v>
      </c>
      <c r="AM457" s="416"/>
    </row>
    <row r="458" spans="1:42" customFormat="1" ht="14.4" x14ac:dyDescent="0.3">
      <c r="A458" s="444"/>
      <c r="B458" s="445"/>
      <c r="C458" s="907" t="s">
        <v>2040</v>
      </c>
      <c r="D458" s="907"/>
      <c r="E458" s="907"/>
      <c r="F458" s="907"/>
      <c r="G458" s="907"/>
      <c r="H458" s="907"/>
      <c r="I458" s="907"/>
      <c r="J458" s="907"/>
      <c r="K458" s="907"/>
      <c r="L458" s="907"/>
      <c r="M458" s="907"/>
      <c r="N458" s="919"/>
      <c r="R458" s="3"/>
      <c r="S458" s="3"/>
      <c r="AF458" s="415"/>
      <c r="AG458" s="416"/>
      <c r="AH458" s="416"/>
      <c r="AM458" s="416"/>
      <c r="AN458" s="426" t="s">
        <v>2040</v>
      </c>
    </row>
    <row r="459" spans="1:42" customFormat="1" ht="14.4" x14ac:dyDescent="0.3">
      <c r="A459" s="450"/>
      <c r="B459" s="451"/>
      <c r="C459" s="907" t="s">
        <v>1730</v>
      </c>
      <c r="D459" s="907"/>
      <c r="E459" s="907"/>
      <c r="F459" s="907"/>
      <c r="G459" s="907"/>
      <c r="H459" s="907"/>
      <c r="I459" s="907"/>
      <c r="J459" s="907"/>
      <c r="K459" s="907"/>
      <c r="L459" s="907"/>
      <c r="M459" s="907"/>
      <c r="N459" s="919"/>
      <c r="R459" s="3"/>
      <c r="S459" s="3"/>
      <c r="AF459" s="415"/>
      <c r="AG459" s="416"/>
      <c r="AH459" s="416"/>
      <c r="AM459" s="416"/>
      <c r="AP459" s="426" t="s">
        <v>1730</v>
      </c>
    </row>
    <row r="460" spans="1:42" customFormat="1" ht="14.4" x14ac:dyDescent="0.3">
      <c r="A460" s="444"/>
      <c r="B460" s="445"/>
      <c r="C460" s="916" t="s">
        <v>1715</v>
      </c>
      <c r="D460" s="916"/>
      <c r="E460" s="916"/>
      <c r="F460" s="419"/>
      <c r="G460" s="420"/>
      <c r="H460" s="420"/>
      <c r="I460" s="420"/>
      <c r="J460" s="422"/>
      <c r="K460" s="420"/>
      <c r="L460" s="446">
        <v>29226.78</v>
      </c>
      <c r="M460" s="439"/>
      <c r="N460" s="447">
        <v>238490.52</v>
      </c>
      <c r="R460" s="3"/>
      <c r="S460" s="3"/>
      <c r="AF460" s="415"/>
      <c r="AG460" s="416"/>
      <c r="AH460" s="416"/>
      <c r="AM460" s="416" t="s">
        <v>1715</v>
      </c>
    </row>
    <row r="461" spans="1:42" customFormat="1" ht="14.4" x14ac:dyDescent="0.3">
      <c r="A461" s="913" t="s">
        <v>2041</v>
      </c>
      <c r="B461" s="914"/>
      <c r="C461" s="914"/>
      <c r="D461" s="914"/>
      <c r="E461" s="914"/>
      <c r="F461" s="914"/>
      <c r="G461" s="914"/>
      <c r="H461" s="914"/>
      <c r="I461" s="914"/>
      <c r="J461" s="914"/>
      <c r="K461" s="914"/>
      <c r="L461" s="914"/>
      <c r="M461" s="914"/>
      <c r="N461" s="915"/>
      <c r="R461" s="3"/>
      <c r="S461" s="3"/>
      <c r="AF461" s="415"/>
      <c r="AG461" s="416" t="s">
        <v>2041</v>
      </c>
      <c r="AH461" s="416"/>
      <c r="AM461" s="416"/>
    </row>
    <row r="462" spans="1:42" customFormat="1" ht="31.8" x14ac:dyDescent="0.3">
      <c r="A462" s="417" t="s">
        <v>2042</v>
      </c>
      <c r="B462" s="418" t="s">
        <v>2043</v>
      </c>
      <c r="C462" s="916" t="s">
        <v>2044</v>
      </c>
      <c r="D462" s="916"/>
      <c r="E462" s="916"/>
      <c r="F462" s="419" t="s">
        <v>239</v>
      </c>
      <c r="G462" s="420">
        <v>0.25</v>
      </c>
      <c r="H462" s="421">
        <v>1</v>
      </c>
      <c r="I462" s="448">
        <v>0.25</v>
      </c>
      <c r="J462" s="422"/>
      <c r="K462" s="420"/>
      <c r="L462" s="422"/>
      <c r="M462" s="420"/>
      <c r="N462" s="423"/>
      <c r="R462" s="3"/>
      <c r="S462" s="3"/>
      <c r="AF462" s="415"/>
      <c r="AG462" s="416"/>
      <c r="AH462" s="416" t="s">
        <v>2044</v>
      </c>
      <c r="AM462" s="416"/>
    </row>
    <row r="463" spans="1:42" customFormat="1" ht="20.399999999999999" x14ac:dyDescent="0.3">
      <c r="A463" s="424"/>
      <c r="B463" s="425" t="s">
        <v>1951</v>
      </c>
      <c r="C463" s="917" t="s">
        <v>1952</v>
      </c>
      <c r="D463" s="917"/>
      <c r="E463" s="917"/>
      <c r="F463" s="917"/>
      <c r="G463" s="917"/>
      <c r="H463" s="917"/>
      <c r="I463" s="917"/>
      <c r="J463" s="917"/>
      <c r="K463" s="917"/>
      <c r="L463" s="917"/>
      <c r="M463" s="917"/>
      <c r="N463" s="918"/>
      <c r="R463" s="3"/>
      <c r="S463" s="3"/>
      <c r="AF463" s="415"/>
      <c r="AG463" s="416"/>
      <c r="AH463" s="416"/>
      <c r="AM463" s="416"/>
      <c r="AO463" s="426" t="s">
        <v>1952</v>
      </c>
    </row>
    <row r="464" spans="1:42" customFormat="1" ht="52.2" x14ac:dyDescent="0.3">
      <c r="A464" s="424"/>
      <c r="B464" s="425" t="s">
        <v>1703</v>
      </c>
      <c r="C464" s="917" t="s">
        <v>1704</v>
      </c>
      <c r="D464" s="917"/>
      <c r="E464" s="917"/>
      <c r="F464" s="917"/>
      <c r="G464" s="917"/>
      <c r="H464" s="917"/>
      <c r="I464" s="917"/>
      <c r="J464" s="917"/>
      <c r="K464" s="917"/>
      <c r="L464" s="917"/>
      <c r="M464" s="917"/>
      <c r="N464" s="918"/>
      <c r="R464" s="3"/>
      <c r="S464" s="3"/>
      <c r="AF464" s="415"/>
      <c r="AG464" s="416"/>
      <c r="AH464" s="416"/>
      <c r="AM464" s="416"/>
      <c r="AO464" s="426" t="s">
        <v>1704</v>
      </c>
    </row>
    <row r="465" spans="1:41" customFormat="1" ht="14.4" x14ac:dyDescent="0.3">
      <c r="A465" s="427"/>
      <c r="B465" s="425" t="s">
        <v>758</v>
      </c>
      <c r="C465" s="907" t="s">
        <v>1705</v>
      </c>
      <c r="D465" s="907"/>
      <c r="E465" s="907"/>
      <c r="F465" s="428"/>
      <c r="G465" s="429"/>
      <c r="H465" s="429"/>
      <c r="I465" s="429"/>
      <c r="J465" s="430">
        <v>942.89</v>
      </c>
      <c r="K465" s="435">
        <v>0.80500000000000005</v>
      </c>
      <c r="L465" s="430">
        <v>189.76</v>
      </c>
      <c r="M465" s="431">
        <v>44.77</v>
      </c>
      <c r="N465" s="433">
        <v>8495.56</v>
      </c>
      <c r="R465" s="3"/>
      <c r="S465" s="3"/>
      <c r="AF465" s="415"/>
      <c r="AG465" s="416"/>
      <c r="AH465" s="416"/>
      <c r="AJ465" s="426" t="s">
        <v>1705</v>
      </c>
      <c r="AM465" s="416"/>
    </row>
    <row r="466" spans="1:41" customFormat="1" ht="14.4" x14ac:dyDescent="0.3">
      <c r="A466" s="427"/>
      <c r="B466" s="425" t="s">
        <v>761</v>
      </c>
      <c r="C466" s="907" t="s">
        <v>1718</v>
      </c>
      <c r="D466" s="907"/>
      <c r="E466" s="907"/>
      <c r="F466" s="428"/>
      <c r="G466" s="429"/>
      <c r="H466" s="429"/>
      <c r="I466" s="429"/>
      <c r="J466" s="432">
        <v>1036.99</v>
      </c>
      <c r="K466" s="435">
        <v>0.80500000000000005</v>
      </c>
      <c r="L466" s="430">
        <v>208.69</v>
      </c>
      <c r="M466" s="431">
        <v>13.24</v>
      </c>
      <c r="N466" s="433">
        <v>2763.06</v>
      </c>
      <c r="R466" s="3"/>
      <c r="S466" s="3"/>
      <c r="AF466" s="415"/>
      <c r="AG466" s="416"/>
      <c r="AH466" s="416"/>
      <c r="AJ466" s="426" t="s">
        <v>1718</v>
      </c>
      <c r="AM466" s="416"/>
    </row>
    <row r="467" spans="1:41" customFormat="1" ht="14.4" x14ac:dyDescent="0.3">
      <c r="A467" s="427"/>
      <c r="B467" s="425" t="s">
        <v>1144</v>
      </c>
      <c r="C467" s="907" t="s">
        <v>1719</v>
      </c>
      <c r="D467" s="907"/>
      <c r="E467" s="907"/>
      <c r="F467" s="428"/>
      <c r="G467" s="429"/>
      <c r="H467" s="429"/>
      <c r="I467" s="429"/>
      <c r="J467" s="430">
        <v>85.27</v>
      </c>
      <c r="K467" s="435">
        <v>0.80500000000000005</v>
      </c>
      <c r="L467" s="430">
        <v>17.16</v>
      </c>
      <c r="M467" s="431">
        <v>44.77</v>
      </c>
      <c r="N467" s="460">
        <v>768.25</v>
      </c>
      <c r="R467" s="3"/>
      <c r="S467" s="3"/>
      <c r="AF467" s="415"/>
      <c r="AG467" s="416"/>
      <c r="AH467" s="416"/>
      <c r="AJ467" s="426" t="s">
        <v>1719</v>
      </c>
      <c r="AM467" s="416"/>
    </row>
    <row r="468" spans="1:41" customFormat="1" ht="14.4" x14ac:dyDescent="0.3">
      <c r="A468" s="427"/>
      <c r="B468" s="425" t="s">
        <v>586</v>
      </c>
      <c r="C468" s="907" t="s">
        <v>1738</v>
      </c>
      <c r="D468" s="907"/>
      <c r="E468" s="907"/>
      <c r="F468" s="428"/>
      <c r="G468" s="429"/>
      <c r="H468" s="429"/>
      <c r="I468" s="429"/>
      <c r="J468" s="432">
        <v>1080.74</v>
      </c>
      <c r="K468" s="443">
        <v>0</v>
      </c>
      <c r="L468" s="430">
        <v>0</v>
      </c>
      <c r="M468" s="431">
        <v>8.16</v>
      </c>
      <c r="N468" s="437"/>
      <c r="R468" s="3"/>
      <c r="S468" s="3"/>
      <c r="AF468" s="415"/>
      <c r="AG468" s="416"/>
      <c r="AH468" s="416"/>
      <c r="AJ468" s="426" t="s">
        <v>1738</v>
      </c>
      <c r="AM468" s="416"/>
    </row>
    <row r="469" spans="1:41" customFormat="1" ht="14.4" x14ac:dyDescent="0.3">
      <c r="A469" s="434"/>
      <c r="B469" s="425"/>
      <c r="C469" s="907" t="s">
        <v>1706</v>
      </c>
      <c r="D469" s="907"/>
      <c r="E469" s="907"/>
      <c r="F469" s="428" t="s">
        <v>1707</v>
      </c>
      <c r="G469" s="431">
        <v>92.35</v>
      </c>
      <c r="H469" s="435">
        <v>0.80500000000000005</v>
      </c>
      <c r="I469" s="454">
        <v>18.585437500000001</v>
      </c>
      <c r="J469" s="436"/>
      <c r="K469" s="429"/>
      <c r="L469" s="436"/>
      <c r="M469" s="429"/>
      <c r="N469" s="437"/>
      <c r="R469" s="3"/>
      <c r="S469" s="3"/>
      <c r="AF469" s="415"/>
      <c r="AG469" s="416"/>
      <c r="AH469" s="416"/>
      <c r="AK469" s="426" t="s">
        <v>1706</v>
      </c>
      <c r="AM469" s="416"/>
    </row>
    <row r="470" spans="1:41" customFormat="1" ht="14.4" x14ac:dyDescent="0.3">
      <c r="A470" s="434"/>
      <c r="B470" s="425"/>
      <c r="C470" s="907" t="s">
        <v>1720</v>
      </c>
      <c r="D470" s="907"/>
      <c r="E470" s="907"/>
      <c r="F470" s="428" t="s">
        <v>1707</v>
      </c>
      <c r="G470" s="431">
        <v>5.97</v>
      </c>
      <c r="H470" s="435">
        <v>0.80500000000000005</v>
      </c>
      <c r="I470" s="454">
        <v>1.2014625000000001</v>
      </c>
      <c r="J470" s="436"/>
      <c r="K470" s="429"/>
      <c r="L470" s="436"/>
      <c r="M470" s="429"/>
      <c r="N470" s="437"/>
      <c r="R470" s="3"/>
      <c r="S470" s="3"/>
      <c r="AF470" s="415"/>
      <c r="AG470" s="416"/>
      <c r="AH470" s="416"/>
      <c r="AK470" s="426" t="s">
        <v>1720</v>
      </c>
      <c r="AM470" s="416"/>
    </row>
    <row r="471" spans="1:41" customFormat="1" ht="14.4" x14ac:dyDescent="0.3">
      <c r="A471" s="427"/>
      <c r="B471" s="425"/>
      <c r="C471" s="908" t="s">
        <v>1708</v>
      </c>
      <c r="D471" s="908"/>
      <c r="E471" s="908"/>
      <c r="F471" s="438"/>
      <c r="G471" s="439"/>
      <c r="H471" s="439"/>
      <c r="I471" s="439"/>
      <c r="J471" s="441">
        <v>3060.62</v>
      </c>
      <c r="K471" s="439"/>
      <c r="L471" s="440">
        <v>398.45</v>
      </c>
      <c r="M471" s="439"/>
      <c r="N471" s="442">
        <v>11258.62</v>
      </c>
      <c r="R471" s="3"/>
      <c r="S471" s="3"/>
      <c r="AF471" s="415"/>
      <c r="AG471" s="416"/>
      <c r="AH471" s="416"/>
      <c r="AL471" s="426" t="s">
        <v>1708</v>
      </c>
      <c r="AM471" s="416"/>
    </row>
    <row r="472" spans="1:41" customFormat="1" ht="14.4" x14ac:dyDescent="0.3">
      <c r="A472" s="434"/>
      <c r="B472" s="425"/>
      <c r="C472" s="907" t="s">
        <v>1709</v>
      </c>
      <c r="D472" s="907"/>
      <c r="E472" s="907"/>
      <c r="F472" s="428"/>
      <c r="G472" s="429"/>
      <c r="H472" s="429"/>
      <c r="I472" s="429"/>
      <c r="J472" s="436"/>
      <c r="K472" s="429"/>
      <c r="L472" s="430">
        <v>206.92</v>
      </c>
      <c r="M472" s="429"/>
      <c r="N472" s="433">
        <v>9263.81</v>
      </c>
      <c r="R472" s="3"/>
      <c r="S472" s="3"/>
      <c r="AF472" s="415"/>
      <c r="AG472" s="416"/>
      <c r="AH472" s="416"/>
      <c r="AK472" s="426" t="s">
        <v>1709</v>
      </c>
      <c r="AM472" s="416"/>
    </row>
    <row r="473" spans="1:41" customFormat="1" ht="20.399999999999999" x14ac:dyDescent="0.3">
      <c r="A473" s="434"/>
      <c r="B473" s="425" t="s">
        <v>1953</v>
      </c>
      <c r="C473" s="907" t="s">
        <v>1954</v>
      </c>
      <c r="D473" s="907"/>
      <c r="E473" s="907"/>
      <c r="F473" s="428" t="s">
        <v>1712</v>
      </c>
      <c r="G473" s="443">
        <v>93</v>
      </c>
      <c r="H473" s="429"/>
      <c r="I473" s="443">
        <v>93</v>
      </c>
      <c r="J473" s="436"/>
      <c r="K473" s="429"/>
      <c r="L473" s="430">
        <v>192.44</v>
      </c>
      <c r="M473" s="429"/>
      <c r="N473" s="433">
        <v>8615.34</v>
      </c>
      <c r="R473" s="3"/>
      <c r="S473" s="3"/>
      <c r="AF473" s="415"/>
      <c r="AG473" s="416"/>
      <c r="AH473" s="416"/>
      <c r="AK473" s="426" t="s">
        <v>1954</v>
      </c>
      <c r="AM473" s="416"/>
    </row>
    <row r="474" spans="1:41" customFormat="1" ht="20.399999999999999" x14ac:dyDescent="0.3">
      <c r="A474" s="434"/>
      <c r="B474" s="425" t="s">
        <v>1955</v>
      </c>
      <c r="C474" s="907" t="s">
        <v>1956</v>
      </c>
      <c r="D474" s="907"/>
      <c r="E474" s="907"/>
      <c r="F474" s="428" t="s">
        <v>1712</v>
      </c>
      <c r="G474" s="443">
        <v>62</v>
      </c>
      <c r="H474" s="429"/>
      <c r="I474" s="443">
        <v>62</v>
      </c>
      <c r="J474" s="436"/>
      <c r="K474" s="429"/>
      <c r="L474" s="430">
        <v>128.29</v>
      </c>
      <c r="M474" s="429"/>
      <c r="N474" s="433">
        <v>5743.56</v>
      </c>
      <c r="R474" s="3"/>
      <c r="S474" s="3"/>
      <c r="AF474" s="415"/>
      <c r="AG474" s="416"/>
      <c r="AH474" s="416"/>
      <c r="AK474" s="426" t="s">
        <v>1956</v>
      </c>
      <c r="AM474" s="416"/>
    </row>
    <row r="475" spans="1:41" customFormat="1" ht="14.4" x14ac:dyDescent="0.3">
      <c r="A475" s="444"/>
      <c r="B475" s="445"/>
      <c r="C475" s="916" t="s">
        <v>1715</v>
      </c>
      <c r="D475" s="916"/>
      <c r="E475" s="916"/>
      <c r="F475" s="419"/>
      <c r="G475" s="420"/>
      <c r="H475" s="420"/>
      <c r="I475" s="420"/>
      <c r="J475" s="422"/>
      <c r="K475" s="420"/>
      <c r="L475" s="449">
        <v>719.18</v>
      </c>
      <c r="M475" s="439"/>
      <c r="N475" s="447">
        <v>25617.52</v>
      </c>
      <c r="R475" s="3"/>
      <c r="S475" s="3"/>
      <c r="AF475" s="415"/>
      <c r="AG475" s="416"/>
      <c r="AH475" s="416"/>
      <c r="AM475" s="416" t="s">
        <v>1715</v>
      </c>
    </row>
    <row r="476" spans="1:41" customFormat="1" ht="21.6" x14ac:dyDescent="0.3">
      <c r="A476" s="417" t="s">
        <v>2045</v>
      </c>
      <c r="B476" s="418" t="s">
        <v>2046</v>
      </c>
      <c r="C476" s="916" t="s">
        <v>2047</v>
      </c>
      <c r="D476" s="916"/>
      <c r="E476" s="916"/>
      <c r="F476" s="419" t="s">
        <v>431</v>
      </c>
      <c r="G476" s="420">
        <v>26</v>
      </c>
      <c r="H476" s="421">
        <v>1</v>
      </c>
      <c r="I476" s="421">
        <v>26</v>
      </c>
      <c r="J476" s="422"/>
      <c r="K476" s="420"/>
      <c r="L476" s="422"/>
      <c r="M476" s="420"/>
      <c r="N476" s="423"/>
      <c r="R476" s="3"/>
      <c r="S476" s="3"/>
      <c r="AF476" s="415"/>
      <c r="AG476" s="416"/>
      <c r="AH476" s="416" t="s">
        <v>2047</v>
      </c>
      <c r="AM476" s="416"/>
    </row>
    <row r="477" spans="1:41" customFormat="1" ht="20.399999999999999" x14ac:dyDescent="0.3">
      <c r="A477" s="424"/>
      <c r="B477" s="425" t="s">
        <v>1951</v>
      </c>
      <c r="C477" s="917" t="s">
        <v>1952</v>
      </c>
      <c r="D477" s="917"/>
      <c r="E477" s="917"/>
      <c r="F477" s="917"/>
      <c r="G477" s="917"/>
      <c r="H477" s="917"/>
      <c r="I477" s="917"/>
      <c r="J477" s="917"/>
      <c r="K477" s="917"/>
      <c r="L477" s="917"/>
      <c r="M477" s="917"/>
      <c r="N477" s="918"/>
      <c r="R477" s="3"/>
      <c r="S477" s="3"/>
      <c r="AF477" s="415"/>
      <c r="AG477" s="416"/>
      <c r="AH477" s="416"/>
      <c r="AM477" s="416"/>
      <c r="AO477" s="426" t="s">
        <v>1952</v>
      </c>
    </row>
    <row r="478" spans="1:41" customFormat="1" ht="52.2" x14ac:dyDescent="0.3">
      <c r="A478" s="424"/>
      <c r="B478" s="425" t="s">
        <v>1703</v>
      </c>
      <c r="C478" s="917" t="s">
        <v>1704</v>
      </c>
      <c r="D478" s="917"/>
      <c r="E478" s="917"/>
      <c r="F478" s="917"/>
      <c r="G478" s="917"/>
      <c r="H478" s="917"/>
      <c r="I478" s="917"/>
      <c r="J478" s="917"/>
      <c r="K478" s="917"/>
      <c r="L478" s="917"/>
      <c r="M478" s="917"/>
      <c r="N478" s="918"/>
      <c r="R478" s="3"/>
      <c r="S478" s="3"/>
      <c r="AF478" s="415"/>
      <c r="AG478" s="416"/>
      <c r="AH478" s="416"/>
      <c r="AM478" s="416"/>
      <c r="AO478" s="426" t="s">
        <v>1704</v>
      </c>
    </row>
    <row r="479" spans="1:41" customFormat="1" ht="14.4" x14ac:dyDescent="0.3">
      <c r="A479" s="427"/>
      <c r="B479" s="425" t="s">
        <v>758</v>
      </c>
      <c r="C479" s="907" t="s">
        <v>1705</v>
      </c>
      <c r="D479" s="907"/>
      <c r="E479" s="907"/>
      <c r="F479" s="428"/>
      <c r="G479" s="429"/>
      <c r="H479" s="429"/>
      <c r="I479" s="429"/>
      <c r="J479" s="430">
        <v>23.81</v>
      </c>
      <c r="K479" s="435">
        <v>0.80500000000000005</v>
      </c>
      <c r="L479" s="430">
        <v>498.34</v>
      </c>
      <c r="M479" s="431">
        <v>44.77</v>
      </c>
      <c r="N479" s="433">
        <v>22310.68</v>
      </c>
      <c r="R479" s="3"/>
      <c r="S479" s="3"/>
      <c r="AF479" s="415"/>
      <c r="AG479" s="416"/>
      <c r="AH479" s="416"/>
      <c r="AJ479" s="426" t="s">
        <v>1705</v>
      </c>
      <c r="AM479" s="416"/>
    </row>
    <row r="480" spans="1:41" customFormat="1" ht="14.4" x14ac:dyDescent="0.3">
      <c r="A480" s="427"/>
      <c r="B480" s="425" t="s">
        <v>761</v>
      </c>
      <c r="C480" s="907" t="s">
        <v>1718</v>
      </c>
      <c r="D480" s="907"/>
      <c r="E480" s="907"/>
      <c r="F480" s="428"/>
      <c r="G480" s="429"/>
      <c r="H480" s="429"/>
      <c r="I480" s="429"/>
      <c r="J480" s="430">
        <v>14.41</v>
      </c>
      <c r="K480" s="435">
        <v>0.80500000000000005</v>
      </c>
      <c r="L480" s="430">
        <v>301.60000000000002</v>
      </c>
      <c r="M480" s="431">
        <v>13.24</v>
      </c>
      <c r="N480" s="433">
        <v>3993.18</v>
      </c>
      <c r="R480" s="3"/>
      <c r="S480" s="3"/>
      <c r="AF480" s="415"/>
      <c r="AG480" s="416"/>
      <c r="AH480" s="416"/>
      <c r="AJ480" s="426" t="s">
        <v>1718</v>
      </c>
      <c r="AM480" s="416"/>
    </row>
    <row r="481" spans="1:41" customFormat="1" ht="14.4" x14ac:dyDescent="0.3">
      <c r="A481" s="427"/>
      <c r="B481" s="425" t="s">
        <v>1144</v>
      </c>
      <c r="C481" s="907" t="s">
        <v>1719</v>
      </c>
      <c r="D481" s="907"/>
      <c r="E481" s="907"/>
      <c r="F481" s="428"/>
      <c r="G481" s="429"/>
      <c r="H481" s="429"/>
      <c r="I481" s="429"/>
      <c r="J481" s="430">
        <v>1.97</v>
      </c>
      <c r="K481" s="435">
        <v>0.80500000000000005</v>
      </c>
      <c r="L481" s="430">
        <v>41.23</v>
      </c>
      <c r="M481" s="431">
        <v>44.77</v>
      </c>
      <c r="N481" s="433">
        <v>1845.87</v>
      </c>
      <c r="R481" s="3"/>
      <c r="S481" s="3"/>
      <c r="AF481" s="415"/>
      <c r="AG481" s="416"/>
      <c r="AH481" s="416"/>
      <c r="AJ481" s="426" t="s">
        <v>1719</v>
      </c>
      <c r="AM481" s="416"/>
    </row>
    <row r="482" spans="1:41" customFormat="1" ht="14.4" x14ac:dyDescent="0.3">
      <c r="A482" s="427"/>
      <c r="B482" s="425" t="s">
        <v>586</v>
      </c>
      <c r="C482" s="907" t="s">
        <v>1738</v>
      </c>
      <c r="D482" s="907"/>
      <c r="E482" s="907"/>
      <c r="F482" s="428"/>
      <c r="G482" s="429"/>
      <c r="H482" s="429"/>
      <c r="I482" s="429"/>
      <c r="J482" s="430">
        <v>25.72</v>
      </c>
      <c r="K482" s="443">
        <v>0</v>
      </c>
      <c r="L482" s="430">
        <v>0</v>
      </c>
      <c r="M482" s="431">
        <v>8.16</v>
      </c>
      <c r="N482" s="437"/>
      <c r="R482" s="3"/>
      <c r="S482" s="3"/>
      <c r="AF482" s="415"/>
      <c r="AG482" s="416"/>
      <c r="AH482" s="416"/>
      <c r="AJ482" s="426" t="s">
        <v>1738</v>
      </c>
      <c r="AM482" s="416"/>
    </row>
    <row r="483" spans="1:41" customFormat="1" ht="14.4" x14ac:dyDescent="0.3">
      <c r="A483" s="434"/>
      <c r="B483" s="425"/>
      <c r="C483" s="907" t="s">
        <v>1706</v>
      </c>
      <c r="D483" s="907"/>
      <c r="E483" s="907"/>
      <c r="F483" s="428" t="s">
        <v>1707</v>
      </c>
      <c r="G483" s="458">
        <v>2.4</v>
      </c>
      <c r="H483" s="435">
        <v>0.80500000000000005</v>
      </c>
      <c r="I483" s="435">
        <v>50.231999999999999</v>
      </c>
      <c r="J483" s="436"/>
      <c r="K483" s="429"/>
      <c r="L483" s="436"/>
      <c r="M483" s="429"/>
      <c r="N483" s="437"/>
      <c r="R483" s="3"/>
      <c r="S483" s="3"/>
      <c r="AF483" s="415"/>
      <c r="AG483" s="416"/>
      <c r="AH483" s="416"/>
      <c r="AK483" s="426" t="s">
        <v>1706</v>
      </c>
      <c r="AM483" s="416"/>
    </row>
    <row r="484" spans="1:41" customFormat="1" ht="14.4" x14ac:dyDescent="0.3">
      <c r="A484" s="434"/>
      <c r="B484" s="425"/>
      <c r="C484" s="907" t="s">
        <v>1720</v>
      </c>
      <c r="D484" s="907"/>
      <c r="E484" s="907"/>
      <c r="F484" s="428" t="s">
        <v>1707</v>
      </c>
      <c r="G484" s="431">
        <v>0.17</v>
      </c>
      <c r="H484" s="435">
        <v>0.80500000000000005</v>
      </c>
      <c r="I484" s="453">
        <v>3.5581</v>
      </c>
      <c r="J484" s="436"/>
      <c r="K484" s="429"/>
      <c r="L484" s="436"/>
      <c r="M484" s="429"/>
      <c r="N484" s="437"/>
      <c r="R484" s="3"/>
      <c r="S484" s="3"/>
      <c r="AF484" s="415"/>
      <c r="AG484" s="416"/>
      <c r="AH484" s="416"/>
      <c r="AK484" s="426" t="s">
        <v>1720</v>
      </c>
      <c r="AM484" s="416"/>
    </row>
    <row r="485" spans="1:41" customFormat="1" ht="14.4" x14ac:dyDescent="0.3">
      <c r="A485" s="427"/>
      <c r="B485" s="425"/>
      <c r="C485" s="908" t="s">
        <v>1708</v>
      </c>
      <c r="D485" s="908"/>
      <c r="E485" s="908"/>
      <c r="F485" s="438"/>
      <c r="G485" s="439"/>
      <c r="H485" s="439"/>
      <c r="I485" s="439"/>
      <c r="J485" s="440">
        <v>63.94</v>
      </c>
      <c r="K485" s="439"/>
      <c r="L485" s="440">
        <v>799.94</v>
      </c>
      <c r="M485" s="439"/>
      <c r="N485" s="442">
        <v>26303.86</v>
      </c>
      <c r="R485" s="3"/>
      <c r="S485" s="3"/>
      <c r="AF485" s="415"/>
      <c r="AG485" s="416"/>
      <c r="AH485" s="416"/>
      <c r="AL485" s="426" t="s">
        <v>1708</v>
      </c>
      <c r="AM485" s="416"/>
    </row>
    <row r="486" spans="1:41" customFormat="1" ht="14.4" x14ac:dyDescent="0.3">
      <c r="A486" s="434"/>
      <c r="B486" s="425"/>
      <c r="C486" s="907" t="s">
        <v>1709</v>
      </c>
      <c r="D486" s="907"/>
      <c r="E486" s="907"/>
      <c r="F486" s="428"/>
      <c r="G486" s="429"/>
      <c r="H486" s="429"/>
      <c r="I486" s="429"/>
      <c r="J486" s="436"/>
      <c r="K486" s="429"/>
      <c r="L486" s="430">
        <v>539.57000000000005</v>
      </c>
      <c r="M486" s="429"/>
      <c r="N486" s="433">
        <v>24156.55</v>
      </c>
      <c r="R486" s="3"/>
      <c r="S486" s="3"/>
      <c r="AF486" s="415"/>
      <c r="AG486" s="416"/>
      <c r="AH486" s="416"/>
      <c r="AK486" s="426" t="s">
        <v>1709</v>
      </c>
      <c r="AM486" s="416"/>
    </row>
    <row r="487" spans="1:41" customFormat="1" ht="20.399999999999999" x14ac:dyDescent="0.3">
      <c r="A487" s="434"/>
      <c r="B487" s="425" t="s">
        <v>1953</v>
      </c>
      <c r="C487" s="907" t="s">
        <v>1954</v>
      </c>
      <c r="D487" s="907"/>
      <c r="E487" s="907"/>
      <c r="F487" s="428" t="s">
        <v>1712</v>
      </c>
      <c r="G487" s="443">
        <v>93</v>
      </c>
      <c r="H487" s="429"/>
      <c r="I487" s="443">
        <v>93</v>
      </c>
      <c r="J487" s="436"/>
      <c r="K487" s="429"/>
      <c r="L487" s="430">
        <v>501.8</v>
      </c>
      <c r="M487" s="429"/>
      <c r="N487" s="433">
        <v>22465.59</v>
      </c>
      <c r="R487" s="3"/>
      <c r="S487" s="3"/>
      <c r="AF487" s="415"/>
      <c r="AG487" s="416"/>
      <c r="AH487" s="416"/>
      <c r="AK487" s="426" t="s">
        <v>1954</v>
      </c>
      <c r="AM487" s="416"/>
    </row>
    <row r="488" spans="1:41" customFormat="1" ht="20.399999999999999" x14ac:dyDescent="0.3">
      <c r="A488" s="434"/>
      <c r="B488" s="425" t="s">
        <v>1955</v>
      </c>
      <c r="C488" s="907" t="s">
        <v>1956</v>
      </c>
      <c r="D488" s="907"/>
      <c r="E488" s="907"/>
      <c r="F488" s="428" t="s">
        <v>1712</v>
      </c>
      <c r="G488" s="443">
        <v>62</v>
      </c>
      <c r="H488" s="429"/>
      <c r="I488" s="443">
        <v>62</v>
      </c>
      <c r="J488" s="436"/>
      <c r="K488" s="429"/>
      <c r="L488" s="430">
        <v>334.53</v>
      </c>
      <c r="M488" s="429"/>
      <c r="N488" s="433">
        <v>14977.06</v>
      </c>
      <c r="R488" s="3"/>
      <c r="S488" s="3"/>
      <c r="AF488" s="415"/>
      <c r="AG488" s="416"/>
      <c r="AH488" s="416"/>
      <c r="AK488" s="426" t="s">
        <v>1956</v>
      </c>
      <c r="AM488" s="416"/>
    </row>
    <row r="489" spans="1:41" customFormat="1" ht="14.4" x14ac:dyDescent="0.3">
      <c r="A489" s="444"/>
      <c r="B489" s="445"/>
      <c r="C489" s="916" t="s">
        <v>1715</v>
      </c>
      <c r="D489" s="916"/>
      <c r="E489" s="916"/>
      <c r="F489" s="419"/>
      <c r="G489" s="420"/>
      <c r="H489" s="420"/>
      <c r="I489" s="420"/>
      <c r="J489" s="422"/>
      <c r="K489" s="420"/>
      <c r="L489" s="446">
        <v>1636.27</v>
      </c>
      <c r="M489" s="439"/>
      <c r="N489" s="447">
        <v>63746.51</v>
      </c>
      <c r="R489" s="3"/>
      <c r="S489" s="3"/>
      <c r="AF489" s="415"/>
      <c r="AG489" s="416"/>
      <c r="AH489" s="416"/>
      <c r="AM489" s="416" t="s">
        <v>1715</v>
      </c>
    </row>
    <row r="490" spans="1:41" customFormat="1" ht="14.4" x14ac:dyDescent="0.3">
      <c r="A490" s="417" t="s">
        <v>2048</v>
      </c>
      <c r="B490" s="418" t="s">
        <v>2049</v>
      </c>
      <c r="C490" s="916" t="s">
        <v>2050</v>
      </c>
      <c r="D490" s="916"/>
      <c r="E490" s="916"/>
      <c r="F490" s="419" t="s">
        <v>1890</v>
      </c>
      <c r="G490" s="420">
        <v>1.9</v>
      </c>
      <c r="H490" s="421">
        <v>1</v>
      </c>
      <c r="I490" s="456">
        <v>1.9</v>
      </c>
      <c r="J490" s="422"/>
      <c r="K490" s="420"/>
      <c r="L490" s="422"/>
      <c r="M490" s="420"/>
      <c r="N490" s="423"/>
      <c r="R490" s="3"/>
      <c r="S490" s="3"/>
      <c r="AF490" s="415"/>
      <c r="AG490" s="416"/>
      <c r="AH490" s="416" t="s">
        <v>2050</v>
      </c>
      <c r="AM490" s="416"/>
    </row>
    <row r="491" spans="1:41" customFormat="1" ht="14.4" x14ac:dyDescent="0.3">
      <c r="A491" s="450"/>
      <c r="B491" s="451"/>
      <c r="C491" s="907" t="s">
        <v>2051</v>
      </c>
      <c r="D491" s="907"/>
      <c r="E491" s="907"/>
      <c r="F491" s="907"/>
      <c r="G491" s="907"/>
      <c r="H491" s="907"/>
      <c r="I491" s="907"/>
      <c r="J491" s="907"/>
      <c r="K491" s="907"/>
      <c r="L491" s="907"/>
      <c r="M491" s="907"/>
      <c r="N491" s="919"/>
      <c r="R491" s="3"/>
      <c r="S491" s="3"/>
      <c r="AF491" s="415"/>
      <c r="AG491" s="416"/>
      <c r="AH491" s="416"/>
      <c r="AI491" s="426" t="s">
        <v>2051</v>
      </c>
      <c r="AM491" s="416"/>
    </row>
    <row r="492" spans="1:41" customFormat="1" ht="52.2" x14ac:dyDescent="0.3">
      <c r="A492" s="424"/>
      <c r="B492" s="425" t="s">
        <v>1703</v>
      </c>
      <c r="C492" s="917" t="s">
        <v>1704</v>
      </c>
      <c r="D492" s="917"/>
      <c r="E492" s="917"/>
      <c r="F492" s="917"/>
      <c r="G492" s="917"/>
      <c r="H492" s="917"/>
      <c r="I492" s="917"/>
      <c r="J492" s="917"/>
      <c r="K492" s="917"/>
      <c r="L492" s="917"/>
      <c r="M492" s="917"/>
      <c r="N492" s="918"/>
      <c r="R492" s="3"/>
      <c r="S492" s="3"/>
      <c r="AF492" s="415"/>
      <c r="AG492" s="416"/>
      <c r="AH492" s="416"/>
      <c r="AM492" s="416"/>
      <c r="AO492" s="426" t="s">
        <v>1704</v>
      </c>
    </row>
    <row r="493" spans="1:41" customFormat="1" ht="14.4" x14ac:dyDescent="0.3">
      <c r="A493" s="427"/>
      <c r="B493" s="425" t="s">
        <v>758</v>
      </c>
      <c r="C493" s="907" t="s">
        <v>1705</v>
      </c>
      <c r="D493" s="907"/>
      <c r="E493" s="907"/>
      <c r="F493" s="428"/>
      <c r="G493" s="429"/>
      <c r="H493" s="429"/>
      <c r="I493" s="429"/>
      <c r="J493" s="430">
        <v>66.92</v>
      </c>
      <c r="K493" s="431">
        <v>1.1499999999999999</v>
      </c>
      <c r="L493" s="430">
        <v>146.22</v>
      </c>
      <c r="M493" s="431">
        <v>44.77</v>
      </c>
      <c r="N493" s="433">
        <v>6546.27</v>
      </c>
      <c r="R493" s="3"/>
      <c r="S493" s="3"/>
      <c r="AF493" s="415"/>
      <c r="AG493" s="416"/>
      <c r="AH493" s="416"/>
      <c r="AJ493" s="426" t="s">
        <v>1705</v>
      </c>
      <c r="AM493" s="416"/>
    </row>
    <row r="494" spans="1:41" customFormat="1" ht="14.4" x14ac:dyDescent="0.3">
      <c r="A494" s="427"/>
      <c r="B494" s="425" t="s">
        <v>761</v>
      </c>
      <c r="C494" s="907" t="s">
        <v>1718</v>
      </c>
      <c r="D494" s="907"/>
      <c r="E494" s="907"/>
      <c r="F494" s="428"/>
      <c r="G494" s="429"/>
      <c r="H494" s="429"/>
      <c r="I494" s="429"/>
      <c r="J494" s="430">
        <v>12.52</v>
      </c>
      <c r="K494" s="431">
        <v>1.1499999999999999</v>
      </c>
      <c r="L494" s="430">
        <v>27.36</v>
      </c>
      <c r="M494" s="431">
        <v>13.24</v>
      </c>
      <c r="N494" s="460">
        <v>362.25</v>
      </c>
      <c r="R494" s="3"/>
      <c r="S494" s="3"/>
      <c r="AF494" s="415"/>
      <c r="AG494" s="416"/>
      <c r="AH494" s="416"/>
      <c r="AJ494" s="426" t="s">
        <v>1718</v>
      </c>
      <c r="AM494" s="416"/>
    </row>
    <row r="495" spans="1:41" customFormat="1" ht="14.4" x14ac:dyDescent="0.3">
      <c r="A495" s="434"/>
      <c r="B495" s="425"/>
      <c r="C495" s="907" t="s">
        <v>1706</v>
      </c>
      <c r="D495" s="907"/>
      <c r="E495" s="907"/>
      <c r="F495" s="428" t="s">
        <v>1707</v>
      </c>
      <c r="G495" s="431">
        <v>8.58</v>
      </c>
      <c r="H495" s="431">
        <v>1.1499999999999999</v>
      </c>
      <c r="I495" s="453">
        <v>18.747299999999999</v>
      </c>
      <c r="J495" s="436"/>
      <c r="K495" s="429"/>
      <c r="L495" s="436"/>
      <c r="M495" s="429"/>
      <c r="N495" s="437"/>
      <c r="R495" s="3"/>
      <c r="S495" s="3"/>
      <c r="AF495" s="415"/>
      <c r="AG495" s="416"/>
      <c r="AH495" s="416"/>
      <c r="AK495" s="426" t="s">
        <v>1706</v>
      </c>
      <c r="AM495" s="416"/>
    </row>
    <row r="496" spans="1:41" customFormat="1" ht="14.4" x14ac:dyDescent="0.3">
      <c r="A496" s="427"/>
      <c r="B496" s="425"/>
      <c r="C496" s="908" t="s">
        <v>1708</v>
      </c>
      <c r="D496" s="908"/>
      <c r="E496" s="908"/>
      <c r="F496" s="438"/>
      <c r="G496" s="439"/>
      <c r="H496" s="439"/>
      <c r="I496" s="439"/>
      <c r="J496" s="440">
        <v>79.44</v>
      </c>
      <c r="K496" s="439"/>
      <c r="L496" s="440">
        <v>173.58</v>
      </c>
      <c r="M496" s="439"/>
      <c r="N496" s="442">
        <v>6908.52</v>
      </c>
      <c r="R496" s="3"/>
      <c r="S496" s="3"/>
      <c r="AF496" s="415"/>
      <c r="AG496" s="416"/>
      <c r="AH496" s="416"/>
      <c r="AL496" s="426" t="s">
        <v>1708</v>
      </c>
      <c r="AM496" s="416"/>
    </row>
    <row r="497" spans="1:41" customFormat="1" ht="14.4" x14ac:dyDescent="0.3">
      <c r="A497" s="434"/>
      <c r="B497" s="425"/>
      <c r="C497" s="907" t="s">
        <v>1709</v>
      </c>
      <c r="D497" s="907"/>
      <c r="E497" s="907"/>
      <c r="F497" s="428"/>
      <c r="G497" s="429"/>
      <c r="H497" s="429"/>
      <c r="I497" s="429"/>
      <c r="J497" s="436"/>
      <c r="K497" s="429"/>
      <c r="L497" s="430">
        <v>146.22</v>
      </c>
      <c r="M497" s="429"/>
      <c r="N497" s="433">
        <v>6546.27</v>
      </c>
      <c r="R497" s="3"/>
      <c r="S497" s="3"/>
      <c r="AF497" s="415"/>
      <c r="AG497" s="416"/>
      <c r="AH497" s="416"/>
      <c r="AK497" s="426" t="s">
        <v>1709</v>
      </c>
      <c r="AM497" s="416"/>
    </row>
    <row r="498" spans="1:41" customFormat="1" ht="31.8" x14ac:dyDescent="0.3">
      <c r="A498" s="434"/>
      <c r="B498" s="425" t="s">
        <v>1761</v>
      </c>
      <c r="C498" s="907" t="s">
        <v>1762</v>
      </c>
      <c r="D498" s="907"/>
      <c r="E498" s="907"/>
      <c r="F498" s="428" t="s">
        <v>1712</v>
      </c>
      <c r="G498" s="443">
        <v>91</v>
      </c>
      <c r="H498" s="429"/>
      <c r="I498" s="443">
        <v>91</v>
      </c>
      <c r="J498" s="436"/>
      <c r="K498" s="429"/>
      <c r="L498" s="430">
        <v>133.06</v>
      </c>
      <c r="M498" s="429"/>
      <c r="N498" s="433">
        <v>5957.11</v>
      </c>
      <c r="R498" s="3"/>
      <c r="S498" s="3"/>
      <c r="AF498" s="415"/>
      <c r="AG498" s="416"/>
      <c r="AH498" s="416"/>
      <c r="AK498" s="426" t="s">
        <v>1762</v>
      </c>
      <c r="AM498" s="416"/>
    </row>
    <row r="499" spans="1:41" customFormat="1" ht="31.8" x14ac:dyDescent="0.3">
      <c r="A499" s="434"/>
      <c r="B499" s="425" t="s">
        <v>1763</v>
      </c>
      <c r="C499" s="907" t="s">
        <v>1764</v>
      </c>
      <c r="D499" s="907"/>
      <c r="E499" s="907"/>
      <c r="F499" s="428" t="s">
        <v>1712</v>
      </c>
      <c r="G499" s="443">
        <v>52</v>
      </c>
      <c r="H499" s="429"/>
      <c r="I499" s="443">
        <v>52</v>
      </c>
      <c r="J499" s="436"/>
      <c r="K499" s="429"/>
      <c r="L499" s="430">
        <v>76.03</v>
      </c>
      <c r="M499" s="429"/>
      <c r="N499" s="433">
        <v>3404.06</v>
      </c>
      <c r="R499" s="3"/>
      <c r="S499" s="3"/>
      <c r="AF499" s="415"/>
      <c r="AG499" s="416"/>
      <c r="AH499" s="416"/>
      <c r="AK499" s="426" t="s">
        <v>1764</v>
      </c>
      <c r="AM499" s="416"/>
    </row>
    <row r="500" spans="1:41" customFormat="1" ht="14.4" x14ac:dyDescent="0.3">
      <c r="A500" s="444"/>
      <c r="B500" s="445"/>
      <c r="C500" s="916" t="s">
        <v>1715</v>
      </c>
      <c r="D500" s="916"/>
      <c r="E500" s="916"/>
      <c r="F500" s="419"/>
      <c r="G500" s="420"/>
      <c r="H500" s="420"/>
      <c r="I500" s="420"/>
      <c r="J500" s="422"/>
      <c r="K500" s="420"/>
      <c r="L500" s="449">
        <v>382.67</v>
      </c>
      <c r="M500" s="439"/>
      <c r="N500" s="447">
        <v>16269.69</v>
      </c>
      <c r="R500" s="3"/>
      <c r="S500" s="3"/>
      <c r="AF500" s="415"/>
      <c r="AG500" s="416"/>
      <c r="AH500" s="416"/>
      <c r="AM500" s="416" t="s">
        <v>1715</v>
      </c>
    </row>
    <row r="501" spans="1:41" customFormat="1" ht="31.8" x14ac:dyDescent="0.3">
      <c r="A501" s="417" t="s">
        <v>2052</v>
      </c>
      <c r="B501" s="418" t="s">
        <v>1959</v>
      </c>
      <c r="C501" s="916" t="s">
        <v>1960</v>
      </c>
      <c r="D501" s="916"/>
      <c r="E501" s="916"/>
      <c r="F501" s="419" t="s">
        <v>1723</v>
      </c>
      <c r="G501" s="420">
        <v>4.0999999999999996</v>
      </c>
      <c r="H501" s="421">
        <v>1</v>
      </c>
      <c r="I501" s="456">
        <v>4.0999999999999996</v>
      </c>
      <c r="J501" s="449">
        <v>22.33</v>
      </c>
      <c r="K501" s="420"/>
      <c r="L501" s="449">
        <v>91.55</v>
      </c>
      <c r="M501" s="448">
        <v>13.24</v>
      </c>
      <c r="N501" s="447">
        <v>1212.1199999999999</v>
      </c>
      <c r="R501" s="3"/>
      <c r="S501" s="3"/>
      <c r="AF501" s="415"/>
      <c r="AG501" s="416"/>
      <c r="AH501" s="416" t="s">
        <v>1960</v>
      </c>
      <c r="AM501" s="416"/>
    </row>
    <row r="502" spans="1:41" customFormat="1" ht="14.4" x14ac:dyDescent="0.3">
      <c r="A502" s="444"/>
      <c r="B502" s="445"/>
      <c r="C502" s="907" t="s">
        <v>1724</v>
      </c>
      <c r="D502" s="907"/>
      <c r="E502" s="907"/>
      <c r="F502" s="907"/>
      <c r="G502" s="907"/>
      <c r="H502" s="907"/>
      <c r="I502" s="907"/>
      <c r="J502" s="907"/>
      <c r="K502" s="907"/>
      <c r="L502" s="907"/>
      <c r="M502" s="907"/>
      <c r="N502" s="919"/>
      <c r="R502" s="3"/>
      <c r="S502" s="3"/>
      <c r="AF502" s="415"/>
      <c r="AG502" s="416"/>
      <c r="AH502" s="416"/>
      <c r="AM502" s="416"/>
      <c r="AN502" s="426" t="s">
        <v>1724</v>
      </c>
    </row>
    <row r="503" spans="1:41" customFormat="1" ht="14.4" x14ac:dyDescent="0.3">
      <c r="A503" s="450"/>
      <c r="B503" s="451"/>
      <c r="C503" s="907" t="s">
        <v>2053</v>
      </c>
      <c r="D503" s="907"/>
      <c r="E503" s="907"/>
      <c r="F503" s="907"/>
      <c r="G503" s="907"/>
      <c r="H503" s="907"/>
      <c r="I503" s="907"/>
      <c r="J503" s="907"/>
      <c r="K503" s="907"/>
      <c r="L503" s="907"/>
      <c r="M503" s="907"/>
      <c r="N503" s="919"/>
      <c r="R503" s="3"/>
      <c r="S503" s="3"/>
      <c r="AF503" s="415"/>
      <c r="AG503" s="416"/>
      <c r="AH503" s="416"/>
      <c r="AI503" s="426" t="s">
        <v>2053</v>
      </c>
      <c r="AM503" s="416"/>
    </row>
    <row r="504" spans="1:41" customFormat="1" ht="14.4" x14ac:dyDescent="0.3">
      <c r="A504" s="444"/>
      <c r="B504" s="445"/>
      <c r="C504" s="916" t="s">
        <v>1715</v>
      </c>
      <c r="D504" s="916"/>
      <c r="E504" s="916"/>
      <c r="F504" s="419"/>
      <c r="G504" s="420"/>
      <c r="H504" s="420"/>
      <c r="I504" s="420"/>
      <c r="J504" s="422"/>
      <c r="K504" s="420"/>
      <c r="L504" s="449">
        <v>91.55</v>
      </c>
      <c r="M504" s="439"/>
      <c r="N504" s="447">
        <v>1212.1199999999999</v>
      </c>
      <c r="R504" s="3"/>
      <c r="S504" s="3"/>
      <c r="AF504" s="415"/>
      <c r="AG504" s="416"/>
      <c r="AH504" s="416"/>
      <c r="AM504" s="416" t="s">
        <v>1715</v>
      </c>
    </row>
    <row r="505" spans="1:41" customFormat="1" ht="31.8" x14ac:dyDescent="0.3">
      <c r="A505" s="417" t="s">
        <v>2054</v>
      </c>
      <c r="B505" s="418" t="s">
        <v>2011</v>
      </c>
      <c r="C505" s="916" t="s">
        <v>2012</v>
      </c>
      <c r="D505" s="916"/>
      <c r="E505" s="916"/>
      <c r="F505" s="419" t="s">
        <v>1723</v>
      </c>
      <c r="G505" s="420">
        <v>4.0999999999999996</v>
      </c>
      <c r="H505" s="421">
        <v>1</v>
      </c>
      <c r="I505" s="456">
        <v>4.0999999999999996</v>
      </c>
      <c r="J505" s="449">
        <v>2.91</v>
      </c>
      <c r="K505" s="420"/>
      <c r="L505" s="449">
        <v>11.93</v>
      </c>
      <c r="M505" s="448">
        <v>13.62</v>
      </c>
      <c r="N505" s="455">
        <v>162.49</v>
      </c>
      <c r="R505" s="3"/>
      <c r="S505" s="3"/>
      <c r="AF505" s="415"/>
      <c r="AG505" s="416"/>
      <c r="AH505" s="416" t="s">
        <v>2012</v>
      </c>
      <c r="AM505" s="416"/>
    </row>
    <row r="506" spans="1:41" customFormat="1" ht="14.4" x14ac:dyDescent="0.3">
      <c r="A506" s="444"/>
      <c r="B506" s="445"/>
      <c r="C506" s="916" t="s">
        <v>1715</v>
      </c>
      <c r="D506" s="916"/>
      <c r="E506" s="916"/>
      <c r="F506" s="419"/>
      <c r="G506" s="420"/>
      <c r="H506" s="420"/>
      <c r="I506" s="420"/>
      <c r="J506" s="422"/>
      <c r="K506" s="420"/>
      <c r="L506" s="449">
        <v>11.93</v>
      </c>
      <c r="M506" s="439"/>
      <c r="N506" s="455">
        <v>162.49</v>
      </c>
      <c r="R506" s="3"/>
      <c r="S506" s="3"/>
      <c r="AF506" s="415"/>
      <c r="AG506" s="416"/>
      <c r="AH506" s="416"/>
      <c r="AM506" s="416" t="s">
        <v>1715</v>
      </c>
    </row>
    <row r="507" spans="1:41" customFormat="1" ht="14.4" x14ac:dyDescent="0.3">
      <c r="A507" s="913" t="s">
        <v>2055</v>
      </c>
      <c r="B507" s="914"/>
      <c r="C507" s="914"/>
      <c r="D507" s="914"/>
      <c r="E507" s="914"/>
      <c r="F507" s="914"/>
      <c r="G507" s="914"/>
      <c r="H507" s="914"/>
      <c r="I507" s="914"/>
      <c r="J507" s="914"/>
      <c r="K507" s="914"/>
      <c r="L507" s="914"/>
      <c r="M507" s="914"/>
      <c r="N507" s="915"/>
      <c r="R507" s="3"/>
      <c r="S507" s="3"/>
      <c r="AF507" s="415"/>
      <c r="AG507" s="416" t="s">
        <v>2055</v>
      </c>
      <c r="AH507" s="416"/>
      <c r="AM507" s="416"/>
    </row>
    <row r="508" spans="1:41" customFormat="1" ht="14.4" x14ac:dyDescent="0.3">
      <c r="A508" s="913" t="s">
        <v>2056</v>
      </c>
      <c r="B508" s="914"/>
      <c r="C508" s="914"/>
      <c r="D508" s="914"/>
      <c r="E508" s="914"/>
      <c r="F508" s="914"/>
      <c r="G508" s="914"/>
      <c r="H508" s="914"/>
      <c r="I508" s="914"/>
      <c r="J508" s="914"/>
      <c r="K508" s="914"/>
      <c r="L508" s="914"/>
      <c r="M508" s="914"/>
      <c r="N508" s="915"/>
      <c r="R508" s="3"/>
      <c r="S508" s="3"/>
      <c r="AF508" s="415"/>
      <c r="AG508" s="416" t="s">
        <v>2056</v>
      </c>
      <c r="AH508" s="416"/>
      <c r="AM508" s="416"/>
    </row>
    <row r="509" spans="1:41" customFormat="1" ht="14.4" x14ac:dyDescent="0.3">
      <c r="A509" s="417" t="s">
        <v>2057</v>
      </c>
      <c r="B509" s="418" t="s">
        <v>2058</v>
      </c>
      <c r="C509" s="916" t="s">
        <v>2059</v>
      </c>
      <c r="D509" s="916"/>
      <c r="E509" s="916"/>
      <c r="F509" s="419" t="s">
        <v>2060</v>
      </c>
      <c r="G509" s="420">
        <v>3.54</v>
      </c>
      <c r="H509" s="421">
        <v>1</v>
      </c>
      <c r="I509" s="448">
        <v>3.54</v>
      </c>
      <c r="J509" s="422"/>
      <c r="K509" s="420"/>
      <c r="L509" s="422"/>
      <c r="M509" s="420"/>
      <c r="N509" s="423"/>
      <c r="R509" s="3"/>
      <c r="S509" s="3"/>
      <c r="AF509" s="415"/>
      <c r="AG509" s="416"/>
      <c r="AH509" s="416" t="s">
        <v>2059</v>
      </c>
      <c r="AM509" s="416"/>
    </row>
    <row r="510" spans="1:41" customFormat="1" ht="14.4" x14ac:dyDescent="0.3">
      <c r="A510" s="450"/>
      <c r="B510" s="451"/>
      <c r="C510" s="907" t="s">
        <v>2061</v>
      </c>
      <c r="D510" s="907"/>
      <c r="E510" s="907"/>
      <c r="F510" s="907"/>
      <c r="G510" s="907"/>
      <c r="H510" s="907"/>
      <c r="I510" s="907"/>
      <c r="J510" s="907"/>
      <c r="K510" s="907"/>
      <c r="L510" s="907"/>
      <c r="M510" s="907"/>
      <c r="N510" s="919"/>
      <c r="R510" s="3"/>
      <c r="S510" s="3"/>
      <c r="AF510" s="415"/>
      <c r="AG510" s="416"/>
      <c r="AH510" s="416"/>
      <c r="AI510" s="426" t="s">
        <v>2061</v>
      </c>
      <c r="AM510" s="416"/>
    </row>
    <row r="511" spans="1:41" customFormat="1" ht="52.2" x14ac:dyDescent="0.3">
      <c r="A511" s="424"/>
      <c r="B511" s="425" t="s">
        <v>1703</v>
      </c>
      <c r="C511" s="917" t="s">
        <v>1704</v>
      </c>
      <c r="D511" s="917"/>
      <c r="E511" s="917"/>
      <c r="F511" s="917"/>
      <c r="G511" s="917"/>
      <c r="H511" s="917"/>
      <c r="I511" s="917"/>
      <c r="J511" s="917"/>
      <c r="K511" s="917"/>
      <c r="L511" s="917"/>
      <c r="M511" s="917"/>
      <c r="N511" s="918"/>
      <c r="R511" s="3"/>
      <c r="S511" s="3"/>
      <c r="AF511" s="415"/>
      <c r="AG511" s="416"/>
      <c r="AH511" s="416"/>
      <c r="AM511" s="416"/>
      <c r="AO511" s="426" t="s">
        <v>1704</v>
      </c>
    </row>
    <row r="512" spans="1:41" customFormat="1" ht="14.4" x14ac:dyDescent="0.3">
      <c r="A512" s="427"/>
      <c r="B512" s="425" t="s">
        <v>758</v>
      </c>
      <c r="C512" s="907" t="s">
        <v>1705</v>
      </c>
      <c r="D512" s="907"/>
      <c r="E512" s="907"/>
      <c r="F512" s="428"/>
      <c r="G512" s="429"/>
      <c r="H512" s="429"/>
      <c r="I512" s="429"/>
      <c r="J512" s="430">
        <v>92.08</v>
      </c>
      <c r="K512" s="431">
        <v>1.1499999999999999</v>
      </c>
      <c r="L512" s="430">
        <v>374.86</v>
      </c>
      <c r="M512" s="431">
        <v>44.77</v>
      </c>
      <c r="N512" s="433">
        <v>16782.48</v>
      </c>
      <c r="R512" s="3"/>
      <c r="S512" s="3"/>
      <c r="AF512" s="415"/>
      <c r="AG512" s="416"/>
      <c r="AH512" s="416"/>
      <c r="AJ512" s="426" t="s">
        <v>1705</v>
      </c>
      <c r="AM512" s="416"/>
    </row>
    <row r="513" spans="1:41" customFormat="1" ht="14.4" x14ac:dyDescent="0.3">
      <c r="A513" s="427"/>
      <c r="B513" s="425" t="s">
        <v>761</v>
      </c>
      <c r="C513" s="907" t="s">
        <v>1718</v>
      </c>
      <c r="D513" s="907"/>
      <c r="E513" s="907"/>
      <c r="F513" s="428"/>
      <c r="G513" s="429"/>
      <c r="H513" s="429"/>
      <c r="I513" s="429"/>
      <c r="J513" s="430">
        <v>287.60000000000002</v>
      </c>
      <c r="K513" s="431">
        <v>1.1499999999999999</v>
      </c>
      <c r="L513" s="432">
        <v>1170.82</v>
      </c>
      <c r="M513" s="431">
        <v>13.24</v>
      </c>
      <c r="N513" s="433">
        <v>15501.66</v>
      </c>
      <c r="R513" s="3"/>
      <c r="S513" s="3"/>
      <c r="AF513" s="415"/>
      <c r="AG513" s="416"/>
      <c r="AH513" s="416"/>
      <c r="AJ513" s="426" t="s">
        <v>1718</v>
      </c>
      <c r="AM513" s="416"/>
    </row>
    <row r="514" spans="1:41" customFormat="1" ht="14.4" x14ac:dyDescent="0.3">
      <c r="A514" s="427"/>
      <c r="B514" s="425" t="s">
        <v>1144</v>
      </c>
      <c r="C514" s="907" t="s">
        <v>1719</v>
      </c>
      <c r="D514" s="907"/>
      <c r="E514" s="907"/>
      <c r="F514" s="428"/>
      <c r="G514" s="429"/>
      <c r="H514" s="429"/>
      <c r="I514" s="429"/>
      <c r="J514" s="430">
        <v>37.57</v>
      </c>
      <c r="K514" s="431">
        <v>1.1499999999999999</v>
      </c>
      <c r="L514" s="430">
        <v>152.94999999999999</v>
      </c>
      <c r="M514" s="431">
        <v>44.77</v>
      </c>
      <c r="N514" s="433">
        <v>6847.57</v>
      </c>
      <c r="R514" s="3"/>
      <c r="S514" s="3"/>
      <c r="AF514" s="415"/>
      <c r="AG514" s="416"/>
      <c r="AH514" s="416"/>
      <c r="AJ514" s="426" t="s">
        <v>1719</v>
      </c>
      <c r="AM514" s="416"/>
    </row>
    <row r="515" spans="1:41" customFormat="1" ht="14.4" x14ac:dyDescent="0.3">
      <c r="A515" s="434"/>
      <c r="B515" s="425"/>
      <c r="C515" s="907" t="s">
        <v>1706</v>
      </c>
      <c r="D515" s="907"/>
      <c r="E515" s="907"/>
      <c r="F515" s="428" t="s">
        <v>1707</v>
      </c>
      <c r="G515" s="458">
        <v>11.7</v>
      </c>
      <c r="H515" s="431">
        <v>1.1499999999999999</v>
      </c>
      <c r="I515" s="453">
        <v>47.630699999999997</v>
      </c>
      <c r="J515" s="436"/>
      <c r="K515" s="429"/>
      <c r="L515" s="436"/>
      <c r="M515" s="429"/>
      <c r="N515" s="437"/>
      <c r="R515" s="3"/>
      <c r="S515" s="3"/>
      <c r="AF515" s="415"/>
      <c r="AG515" s="416"/>
      <c r="AH515" s="416"/>
      <c r="AK515" s="426" t="s">
        <v>1706</v>
      </c>
      <c r="AM515" s="416"/>
    </row>
    <row r="516" spans="1:41" customFormat="1" ht="14.4" x14ac:dyDescent="0.3">
      <c r="A516" s="434"/>
      <c r="B516" s="425"/>
      <c r="C516" s="907" t="s">
        <v>1720</v>
      </c>
      <c r="D516" s="907"/>
      <c r="E516" s="907"/>
      <c r="F516" s="428" t="s">
        <v>1707</v>
      </c>
      <c r="G516" s="431">
        <v>2.96</v>
      </c>
      <c r="H516" s="431">
        <v>1.1499999999999999</v>
      </c>
      <c r="I516" s="459">
        <v>12.05016</v>
      </c>
      <c r="J516" s="436"/>
      <c r="K516" s="429"/>
      <c r="L516" s="436"/>
      <c r="M516" s="429"/>
      <c r="N516" s="437"/>
      <c r="R516" s="3"/>
      <c r="S516" s="3"/>
      <c r="AF516" s="415"/>
      <c r="AG516" s="416"/>
      <c r="AH516" s="416"/>
      <c r="AK516" s="426" t="s">
        <v>1720</v>
      </c>
      <c r="AM516" s="416"/>
    </row>
    <row r="517" spans="1:41" customFormat="1" ht="14.4" x14ac:dyDescent="0.3">
      <c r="A517" s="427"/>
      <c r="B517" s="425"/>
      <c r="C517" s="908" t="s">
        <v>1708</v>
      </c>
      <c r="D517" s="908"/>
      <c r="E517" s="908"/>
      <c r="F517" s="438"/>
      <c r="G517" s="439"/>
      <c r="H517" s="439"/>
      <c r="I517" s="439"/>
      <c r="J517" s="440">
        <v>379.68</v>
      </c>
      <c r="K517" s="439"/>
      <c r="L517" s="441">
        <v>1545.68</v>
      </c>
      <c r="M517" s="439"/>
      <c r="N517" s="442">
        <v>32284.14</v>
      </c>
      <c r="R517" s="3"/>
      <c r="S517" s="3"/>
      <c r="AF517" s="415"/>
      <c r="AG517" s="416"/>
      <c r="AH517" s="416"/>
      <c r="AL517" s="426" t="s">
        <v>1708</v>
      </c>
      <c r="AM517" s="416"/>
    </row>
    <row r="518" spans="1:41" customFormat="1" ht="14.4" x14ac:dyDescent="0.3">
      <c r="A518" s="434"/>
      <c r="B518" s="425"/>
      <c r="C518" s="907" t="s">
        <v>1709</v>
      </c>
      <c r="D518" s="907"/>
      <c r="E518" s="907"/>
      <c r="F518" s="428"/>
      <c r="G518" s="429"/>
      <c r="H518" s="429"/>
      <c r="I518" s="429"/>
      <c r="J518" s="436"/>
      <c r="K518" s="429"/>
      <c r="L518" s="430">
        <v>527.80999999999995</v>
      </c>
      <c r="M518" s="429"/>
      <c r="N518" s="433">
        <v>23630.05</v>
      </c>
      <c r="R518" s="3"/>
      <c r="S518" s="3"/>
      <c r="AF518" s="415"/>
      <c r="AG518" s="416"/>
      <c r="AH518" s="416"/>
      <c r="AK518" s="426" t="s">
        <v>1709</v>
      </c>
      <c r="AM518" s="416"/>
    </row>
    <row r="519" spans="1:41" customFormat="1" ht="20.399999999999999" x14ac:dyDescent="0.3">
      <c r="A519" s="434"/>
      <c r="B519" s="425" t="s">
        <v>1710</v>
      </c>
      <c r="C519" s="907" t="s">
        <v>1711</v>
      </c>
      <c r="D519" s="907"/>
      <c r="E519" s="907"/>
      <c r="F519" s="428" t="s">
        <v>1712</v>
      </c>
      <c r="G519" s="443">
        <v>102</v>
      </c>
      <c r="H519" s="429"/>
      <c r="I519" s="443">
        <v>102</v>
      </c>
      <c r="J519" s="436"/>
      <c r="K519" s="429"/>
      <c r="L519" s="430">
        <v>538.37</v>
      </c>
      <c r="M519" s="429"/>
      <c r="N519" s="433">
        <v>24102.65</v>
      </c>
      <c r="R519" s="3"/>
      <c r="S519" s="3"/>
      <c r="AF519" s="415"/>
      <c r="AG519" s="416"/>
      <c r="AH519" s="416"/>
      <c r="AK519" s="426" t="s">
        <v>1711</v>
      </c>
      <c r="AM519" s="416"/>
    </row>
    <row r="520" spans="1:41" customFormat="1" ht="20.399999999999999" x14ac:dyDescent="0.3">
      <c r="A520" s="434"/>
      <c r="B520" s="425" t="s">
        <v>1713</v>
      </c>
      <c r="C520" s="907" t="s">
        <v>1714</v>
      </c>
      <c r="D520" s="907"/>
      <c r="E520" s="907"/>
      <c r="F520" s="428" t="s">
        <v>1712</v>
      </c>
      <c r="G520" s="443">
        <v>54</v>
      </c>
      <c r="H520" s="429"/>
      <c r="I520" s="443">
        <v>54</v>
      </c>
      <c r="J520" s="436"/>
      <c r="K520" s="429"/>
      <c r="L520" s="430">
        <v>285.02</v>
      </c>
      <c r="M520" s="429"/>
      <c r="N520" s="433">
        <v>12760.23</v>
      </c>
      <c r="R520" s="3"/>
      <c r="S520" s="3"/>
      <c r="AF520" s="415"/>
      <c r="AG520" s="416"/>
      <c r="AH520" s="416"/>
      <c r="AK520" s="426" t="s">
        <v>1714</v>
      </c>
      <c r="AM520" s="416"/>
    </row>
    <row r="521" spans="1:41" customFormat="1" ht="14.4" x14ac:dyDescent="0.3">
      <c r="A521" s="444"/>
      <c r="B521" s="445"/>
      <c r="C521" s="916" t="s">
        <v>1715</v>
      </c>
      <c r="D521" s="916"/>
      <c r="E521" s="916"/>
      <c r="F521" s="419"/>
      <c r="G521" s="420"/>
      <c r="H521" s="420"/>
      <c r="I521" s="420"/>
      <c r="J521" s="422"/>
      <c r="K521" s="420"/>
      <c r="L521" s="446">
        <v>2369.0700000000002</v>
      </c>
      <c r="M521" s="439"/>
      <c r="N521" s="447">
        <v>69147.02</v>
      </c>
      <c r="R521" s="3"/>
      <c r="S521" s="3"/>
      <c r="AF521" s="415"/>
      <c r="AG521" s="416"/>
      <c r="AH521" s="416"/>
      <c r="AM521" s="416" t="s">
        <v>1715</v>
      </c>
    </row>
    <row r="522" spans="1:41" customFormat="1" ht="31.8" x14ac:dyDescent="0.3">
      <c r="A522" s="417" t="s">
        <v>2062</v>
      </c>
      <c r="B522" s="418" t="s">
        <v>2063</v>
      </c>
      <c r="C522" s="916" t="s">
        <v>2064</v>
      </c>
      <c r="D522" s="916"/>
      <c r="E522" s="916"/>
      <c r="F522" s="419" t="s">
        <v>193</v>
      </c>
      <c r="G522" s="420">
        <v>354</v>
      </c>
      <c r="H522" s="421">
        <v>1</v>
      </c>
      <c r="I522" s="421">
        <v>354</v>
      </c>
      <c r="J522" s="422"/>
      <c r="K522" s="420"/>
      <c r="L522" s="422"/>
      <c r="M522" s="420"/>
      <c r="N522" s="423"/>
      <c r="R522" s="3"/>
      <c r="S522" s="3"/>
      <c r="AF522" s="415"/>
      <c r="AG522" s="416"/>
      <c r="AH522" s="416" t="s">
        <v>2064</v>
      </c>
      <c r="AM522" s="416"/>
    </row>
    <row r="523" spans="1:41" customFormat="1" ht="52.2" x14ac:dyDescent="0.3">
      <c r="A523" s="424"/>
      <c r="B523" s="425" t="s">
        <v>1703</v>
      </c>
      <c r="C523" s="917" t="s">
        <v>1704</v>
      </c>
      <c r="D523" s="917"/>
      <c r="E523" s="917"/>
      <c r="F523" s="917"/>
      <c r="G523" s="917"/>
      <c r="H523" s="917"/>
      <c r="I523" s="917"/>
      <c r="J523" s="917"/>
      <c r="K523" s="917"/>
      <c r="L523" s="917"/>
      <c r="M523" s="917"/>
      <c r="N523" s="918"/>
      <c r="R523" s="3"/>
      <c r="S523" s="3"/>
      <c r="AF523" s="415"/>
      <c r="AG523" s="416"/>
      <c r="AH523" s="416"/>
      <c r="AM523" s="416"/>
      <c r="AO523" s="426" t="s">
        <v>1704</v>
      </c>
    </row>
    <row r="524" spans="1:41" customFormat="1" ht="14.4" x14ac:dyDescent="0.3">
      <c r="A524" s="427"/>
      <c r="B524" s="425" t="s">
        <v>758</v>
      </c>
      <c r="C524" s="907" t="s">
        <v>1705</v>
      </c>
      <c r="D524" s="907"/>
      <c r="E524" s="907"/>
      <c r="F524" s="428"/>
      <c r="G524" s="429"/>
      <c r="H524" s="429"/>
      <c r="I524" s="429"/>
      <c r="J524" s="430">
        <v>423</v>
      </c>
      <c r="K524" s="431">
        <v>1.1499999999999999</v>
      </c>
      <c r="L524" s="432">
        <v>172203.3</v>
      </c>
      <c r="M524" s="431">
        <v>44.77</v>
      </c>
      <c r="N524" s="433">
        <v>7709541.7400000002</v>
      </c>
      <c r="R524" s="3"/>
      <c r="S524" s="3"/>
      <c r="AF524" s="415"/>
      <c r="AG524" s="416"/>
      <c r="AH524" s="416"/>
      <c r="AJ524" s="426" t="s">
        <v>1705</v>
      </c>
      <c r="AM524" s="416"/>
    </row>
    <row r="525" spans="1:41" customFormat="1" ht="14.4" x14ac:dyDescent="0.3">
      <c r="A525" s="427"/>
      <c r="B525" s="425" t="s">
        <v>761</v>
      </c>
      <c r="C525" s="907" t="s">
        <v>1718</v>
      </c>
      <c r="D525" s="907"/>
      <c r="E525" s="907"/>
      <c r="F525" s="428"/>
      <c r="G525" s="429"/>
      <c r="H525" s="429"/>
      <c r="I525" s="429"/>
      <c r="J525" s="432">
        <v>1197.1500000000001</v>
      </c>
      <c r="K525" s="431">
        <v>1.1499999999999999</v>
      </c>
      <c r="L525" s="432">
        <v>487359.77</v>
      </c>
      <c r="M525" s="431">
        <v>13.24</v>
      </c>
      <c r="N525" s="433">
        <v>6452643.3499999996</v>
      </c>
      <c r="R525" s="3"/>
      <c r="S525" s="3"/>
      <c r="AF525" s="415"/>
      <c r="AG525" s="416"/>
      <c r="AH525" s="416"/>
      <c r="AJ525" s="426" t="s">
        <v>1718</v>
      </c>
      <c r="AM525" s="416"/>
    </row>
    <row r="526" spans="1:41" customFormat="1" ht="14.4" x14ac:dyDescent="0.3">
      <c r="A526" s="434"/>
      <c r="B526" s="425"/>
      <c r="C526" s="907" t="s">
        <v>1706</v>
      </c>
      <c r="D526" s="907"/>
      <c r="E526" s="907"/>
      <c r="F526" s="428" t="s">
        <v>1707</v>
      </c>
      <c r="G526" s="431">
        <v>49.59</v>
      </c>
      <c r="H526" s="431">
        <v>1.1499999999999999</v>
      </c>
      <c r="I526" s="435">
        <v>20188.089</v>
      </c>
      <c r="J526" s="436"/>
      <c r="K526" s="429"/>
      <c r="L526" s="436"/>
      <c r="M526" s="429"/>
      <c r="N526" s="437"/>
      <c r="R526" s="3"/>
      <c r="S526" s="3"/>
      <c r="AF526" s="415"/>
      <c r="AG526" s="416"/>
      <c r="AH526" s="416"/>
      <c r="AK526" s="426" t="s">
        <v>1706</v>
      </c>
      <c r="AM526" s="416"/>
    </row>
    <row r="527" spans="1:41" customFormat="1" ht="14.4" x14ac:dyDescent="0.3">
      <c r="A527" s="427"/>
      <c r="B527" s="425"/>
      <c r="C527" s="908" t="s">
        <v>1708</v>
      </c>
      <c r="D527" s="908"/>
      <c r="E527" s="908"/>
      <c r="F527" s="438"/>
      <c r="G527" s="439"/>
      <c r="H527" s="439"/>
      <c r="I527" s="439"/>
      <c r="J527" s="441">
        <v>1620.15</v>
      </c>
      <c r="K527" s="439"/>
      <c r="L527" s="441">
        <v>659563.06999999995</v>
      </c>
      <c r="M527" s="439"/>
      <c r="N527" s="442">
        <v>14162185.09</v>
      </c>
      <c r="R527" s="3"/>
      <c r="S527" s="3"/>
      <c r="AF527" s="415"/>
      <c r="AG527" s="416"/>
      <c r="AH527" s="416"/>
      <c r="AL527" s="426" t="s">
        <v>1708</v>
      </c>
      <c r="AM527" s="416"/>
    </row>
    <row r="528" spans="1:41" customFormat="1" ht="14.4" x14ac:dyDescent="0.3">
      <c r="A528" s="434"/>
      <c r="B528" s="425"/>
      <c r="C528" s="907" t="s">
        <v>1709</v>
      </c>
      <c r="D528" s="907"/>
      <c r="E528" s="907"/>
      <c r="F528" s="428"/>
      <c r="G528" s="429"/>
      <c r="H528" s="429"/>
      <c r="I528" s="429"/>
      <c r="J528" s="436"/>
      <c r="K528" s="429"/>
      <c r="L528" s="432">
        <v>172203.3</v>
      </c>
      <c r="M528" s="429"/>
      <c r="N528" s="433">
        <v>7709541.7400000002</v>
      </c>
      <c r="R528" s="3"/>
      <c r="S528" s="3"/>
      <c r="AF528" s="415"/>
      <c r="AG528" s="416"/>
      <c r="AH528" s="416"/>
      <c r="AK528" s="426" t="s">
        <v>1709</v>
      </c>
      <c r="AM528" s="416"/>
    </row>
    <row r="529" spans="1:42" customFormat="1" ht="31.8" x14ac:dyDescent="0.3">
      <c r="A529" s="434"/>
      <c r="B529" s="425" t="s">
        <v>1761</v>
      </c>
      <c r="C529" s="907" t="s">
        <v>1762</v>
      </c>
      <c r="D529" s="907"/>
      <c r="E529" s="907"/>
      <c r="F529" s="428" t="s">
        <v>1712</v>
      </c>
      <c r="G529" s="443">
        <v>91</v>
      </c>
      <c r="H529" s="429"/>
      <c r="I529" s="443">
        <v>91</v>
      </c>
      <c r="J529" s="436"/>
      <c r="K529" s="429"/>
      <c r="L529" s="432">
        <v>156705</v>
      </c>
      <c r="M529" s="429"/>
      <c r="N529" s="433">
        <v>7015682.9800000004</v>
      </c>
      <c r="R529" s="3"/>
      <c r="S529" s="3"/>
      <c r="AF529" s="415"/>
      <c r="AG529" s="416"/>
      <c r="AH529" s="416"/>
      <c r="AK529" s="426" t="s">
        <v>1762</v>
      </c>
      <c r="AM529" s="416"/>
    </row>
    <row r="530" spans="1:42" customFormat="1" ht="31.8" x14ac:dyDescent="0.3">
      <c r="A530" s="434"/>
      <c r="B530" s="425" t="s">
        <v>1763</v>
      </c>
      <c r="C530" s="907" t="s">
        <v>1764</v>
      </c>
      <c r="D530" s="907"/>
      <c r="E530" s="907"/>
      <c r="F530" s="428" t="s">
        <v>1712</v>
      </c>
      <c r="G530" s="443">
        <v>52</v>
      </c>
      <c r="H530" s="429"/>
      <c r="I530" s="443">
        <v>52</v>
      </c>
      <c r="J530" s="436"/>
      <c r="K530" s="429"/>
      <c r="L530" s="432">
        <v>89545.72</v>
      </c>
      <c r="M530" s="429"/>
      <c r="N530" s="433">
        <v>4008961.7</v>
      </c>
      <c r="R530" s="3"/>
      <c r="S530" s="3"/>
      <c r="AF530" s="415"/>
      <c r="AG530" s="416"/>
      <c r="AH530" s="416"/>
      <c r="AK530" s="426" t="s">
        <v>1764</v>
      </c>
      <c r="AM530" s="416"/>
    </row>
    <row r="531" spans="1:42" customFormat="1" ht="14.4" x14ac:dyDescent="0.3">
      <c r="A531" s="444"/>
      <c r="B531" s="445"/>
      <c r="C531" s="916" t="s">
        <v>1715</v>
      </c>
      <c r="D531" s="916"/>
      <c r="E531" s="916"/>
      <c r="F531" s="419"/>
      <c r="G531" s="420"/>
      <c r="H531" s="420"/>
      <c r="I531" s="420"/>
      <c r="J531" s="422"/>
      <c r="K531" s="420"/>
      <c r="L531" s="446">
        <v>905813.79</v>
      </c>
      <c r="M531" s="439"/>
      <c r="N531" s="447">
        <v>25186829.77</v>
      </c>
      <c r="R531" s="3"/>
      <c r="S531" s="3"/>
      <c r="AF531" s="415"/>
      <c r="AG531" s="416"/>
      <c r="AH531" s="416"/>
      <c r="AM531" s="416" t="s">
        <v>1715</v>
      </c>
    </row>
    <row r="532" spans="1:42" customFormat="1" ht="42" x14ac:dyDescent="0.3">
      <c r="A532" s="417" t="s">
        <v>2065</v>
      </c>
      <c r="B532" s="418" t="s">
        <v>1747</v>
      </c>
      <c r="C532" s="916" t="s">
        <v>1748</v>
      </c>
      <c r="D532" s="916"/>
      <c r="E532" s="916"/>
      <c r="F532" s="419" t="s">
        <v>1723</v>
      </c>
      <c r="G532" s="420">
        <v>708</v>
      </c>
      <c r="H532" s="421">
        <v>1</v>
      </c>
      <c r="I532" s="421">
        <v>708</v>
      </c>
      <c r="J532" s="449">
        <v>3.28</v>
      </c>
      <c r="K532" s="420"/>
      <c r="L532" s="446">
        <v>2322.2399999999998</v>
      </c>
      <c r="M532" s="448">
        <v>13.24</v>
      </c>
      <c r="N532" s="447">
        <v>30746.46</v>
      </c>
      <c r="R532" s="3"/>
      <c r="S532" s="3"/>
      <c r="AF532" s="415"/>
      <c r="AG532" s="416"/>
      <c r="AH532" s="416" t="s">
        <v>1748</v>
      </c>
      <c r="AM532" s="416"/>
    </row>
    <row r="533" spans="1:42" customFormat="1" ht="14.4" x14ac:dyDescent="0.3">
      <c r="A533" s="450"/>
      <c r="B533" s="451"/>
      <c r="C533" s="907" t="s">
        <v>2066</v>
      </c>
      <c r="D533" s="907"/>
      <c r="E533" s="907"/>
      <c r="F533" s="907"/>
      <c r="G533" s="907"/>
      <c r="H533" s="907"/>
      <c r="I533" s="907"/>
      <c r="J533" s="907"/>
      <c r="K533" s="907"/>
      <c r="L533" s="907"/>
      <c r="M533" s="907"/>
      <c r="N533" s="919"/>
      <c r="R533" s="3"/>
      <c r="S533" s="3"/>
      <c r="AF533" s="415"/>
      <c r="AG533" s="416"/>
      <c r="AH533" s="416"/>
      <c r="AI533" s="426" t="s">
        <v>2066</v>
      </c>
      <c r="AM533" s="416"/>
    </row>
    <row r="534" spans="1:42" customFormat="1" ht="14.4" x14ac:dyDescent="0.3">
      <c r="A534" s="444"/>
      <c r="B534" s="445"/>
      <c r="C534" s="916" t="s">
        <v>1715</v>
      </c>
      <c r="D534" s="916"/>
      <c r="E534" s="916"/>
      <c r="F534" s="419"/>
      <c r="G534" s="420"/>
      <c r="H534" s="420"/>
      <c r="I534" s="420"/>
      <c r="J534" s="422"/>
      <c r="K534" s="420"/>
      <c r="L534" s="446">
        <v>2322.2399999999998</v>
      </c>
      <c r="M534" s="439"/>
      <c r="N534" s="447">
        <v>30746.46</v>
      </c>
      <c r="R534" s="3"/>
      <c r="S534" s="3"/>
      <c r="AF534" s="415"/>
      <c r="AG534" s="416"/>
      <c r="AH534" s="416"/>
      <c r="AM534" s="416" t="s">
        <v>1715</v>
      </c>
    </row>
    <row r="535" spans="1:42" customFormat="1" ht="21.6" x14ac:dyDescent="0.3">
      <c r="A535" s="417" t="s">
        <v>2067</v>
      </c>
      <c r="B535" s="418" t="s">
        <v>1751</v>
      </c>
      <c r="C535" s="916" t="s">
        <v>1752</v>
      </c>
      <c r="D535" s="916"/>
      <c r="E535" s="916"/>
      <c r="F535" s="419" t="s">
        <v>1723</v>
      </c>
      <c r="G535" s="420">
        <v>177</v>
      </c>
      <c r="H535" s="421">
        <v>1</v>
      </c>
      <c r="I535" s="421">
        <v>177</v>
      </c>
      <c r="J535" s="449">
        <v>42.98</v>
      </c>
      <c r="K535" s="420"/>
      <c r="L535" s="446">
        <v>7607.46</v>
      </c>
      <c r="M535" s="448">
        <v>13.24</v>
      </c>
      <c r="N535" s="447">
        <v>100722.77</v>
      </c>
      <c r="R535" s="3"/>
      <c r="S535" s="3"/>
      <c r="AF535" s="415"/>
      <c r="AG535" s="416"/>
      <c r="AH535" s="416" t="s">
        <v>1752</v>
      </c>
      <c r="AM535" s="416"/>
    </row>
    <row r="536" spans="1:42" customFormat="1" ht="14.4" x14ac:dyDescent="0.3">
      <c r="A536" s="450"/>
      <c r="B536" s="451"/>
      <c r="C536" s="907" t="s">
        <v>2068</v>
      </c>
      <c r="D536" s="907"/>
      <c r="E536" s="907"/>
      <c r="F536" s="907"/>
      <c r="G536" s="907"/>
      <c r="H536" s="907"/>
      <c r="I536" s="907"/>
      <c r="J536" s="907"/>
      <c r="K536" s="907"/>
      <c r="L536" s="907"/>
      <c r="M536" s="907"/>
      <c r="N536" s="919"/>
      <c r="R536" s="3"/>
      <c r="S536" s="3"/>
      <c r="AF536" s="415"/>
      <c r="AG536" s="416"/>
      <c r="AH536" s="416"/>
      <c r="AI536" s="426" t="s">
        <v>2068</v>
      </c>
      <c r="AM536" s="416"/>
    </row>
    <row r="537" spans="1:42" customFormat="1" ht="14.4" x14ac:dyDescent="0.3">
      <c r="A537" s="444"/>
      <c r="B537" s="445"/>
      <c r="C537" s="916" t="s">
        <v>1715</v>
      </c>
      <c r="D537" s="916"/>
      <c r="E537" s="916"/>
      <c r="F537" s="419"/>
      <c r="G537" s="420"/>
      <c r="H537" s="420"/>
      <c r="I537" s="420"/>
      <c r="J537" s="422"/>
      <c r="K537" s="420"/>
      <c r="L537" s="446">
        <v>7607.46</v>
      </c>
      <c r="M537" s="439"/>
      <c r="N537" s="447">
        <v>100722.77</v>
      </c>
      <c r="R537" s="3"/>
      <c r="S537" s="3"/>
      <c r="AF537" s="415"/>
      <c r="AG537" s="416"/>
      <c r="AH537" s="416"/>
      <c r="AM537" s="416" t="s">
        <v>1715</v>
      </c>
    </row>
    <row r="538" spans="1:42" customFormat="1" ht="21.6" x14ac:dyDescent="0.3">
      <c r="A538" s="417" t="s">
        <v>2069</v>
      </c>
      <c r="B538" s="418" t="s">
        <v>1726</v>
      </c>
      <c r="C538" s="916" t="s">
        <v>1727</v>
      </c>
      <c r="D538" s="916"/>
      <c r="E538" s="916"/>
      <c r="F538" s="419" t="s">
        <v>193</v>
      </c>
      <c r="G538" s="420">
        <v>354</v>
      </c>
      <c r="H538" s="421">
        <v>1</v>
      </c>
      <c r="I538" s="421">
        <v>354</v>
      </c>
      <c r="J538" s="449">
        <v>162.38</v>
      </c>
      <c r="K538" s="420"/>
      <c r="L538" s="446">
        <v>57482.52</v>
      </c>
      <c r="M538" s="448">
        <v>8.16</v>
      </c>
      <c r="N538" s="447">
        <v>469057.36</v>
      </c>
      <c r="R538" s="3"/>
      <c r="S538" s="3"/>
      <c r="AF538" s="415"/>
      <c r="AG538" s="416"/>
      <c r="AH538" s="416" t="s">
        <v>1727</v>
      </c>
      <c r="AM538" s="416"/>
    </row>
    <row r="539" spans="1:42" customFormat="1" ht="14.4" x14ac:dyDescent="0.3">
      <c r="A539" s="444"/>
      <c r="B539" s="445"/>
      <c r="C539" s="907" t="s">
        <v>1728</v>
      </c>
      <c r="D539" s="907"/>
      <c r="E539" s="907"/>
      <c r="F539" s="907"/>
      <c r="G539" s="907"/>
      <c r="H539" s="907"/>
      <c r="I539" s="907"/>
      <c r="J539" s="907"/>
      <c r="K539" s="907"/>
      <c r="L539" s="907"/>
      <c r="M539" s="907"/>
      <c r="N539" s="919"/>
      <c r="R539" s="3"/>
      <c r="S539" s="3"/>
      <c r="AF539" s="415"/>
      <c r="AG539" s="416"/>
      <c r="AH539" s="416"/>
      <c r="AM539" s="416"/>
      <c r="AN539" s="426" t="s">
        <v>1728</v>
      </c>
    </row>
    <row r="540" spans="1:42" customFormat="1" ht="14.4" x14ac:dyDescent="0.3">
      <c r="A540" s="450"/>
      <c r="B540" s="451"/>
      <c r="C540" s="907" t="s">
        <v>1730</v>
      </c>
      <c r="D540" s="907"/>
      <c r="E540" s="907"/>
      <c r="F540" s="907"/>
      <c r="G540" s="907"/>
      <c r="H540" s="907"/>
      <c r="I540" s="907"/>
      <c r="J540" s="907"/>
      <c r="K540" s="907"/>
      <c r="L540" s="907"/>
      <c r="M540" s="907"/>
      <c r="N540" s="919"/>
      <c r="R540" s="3"/>
      <c r="S540" s="3"/>
      <c r="AF540" s="415"/>
      <c r="AG540" s="416"/>
      <c r="AH540" s="416"/>
      <c r="AM540" s="416"/>
      <c r="AP540" s="426" t="s">
        <v>1730</v>
      </c>
    </row>
    <row r="541" spans="1:42" customFormat="1" ht="14.4" x14ac:dyDescent="0.3">
      <c r="A541" s="444"/>
      <c r="B541" s="445"/>
      <c r="C541" s="916" t="s">
        <v>1715</v>
      </c>
      <c r="D541" s="916"/>
      <c r="E541" s="916"/>
      <c r="F541" s="419"/>
      <c r="G541" s="420"/>
      <c r="H541" s="420"/>
      <c r="I541" s="420"/>
      <c r="J541" s="422"/>
      <c r="K541" s="420"/>
      <c r="L541" s="446">
        <v>57482.52</v>
      </c>
      <c r="M541" s="439"/>
      <c r="N541" s="447">
        <v>469057.36</v>
      </c>
      <c r="R541" s="3"/>
      <c r="S541" s="3"/>
      <c r="AF541" s="415"/>
      <c r="AG541" s="416"/>
      <c r="AH541" s="416"/>
      <c r="AM541" s="416" t="s">
        <v>1715</v>
      </c>
    </row>
    <row r="542" spans="1:42" customFormat="1" ht="14.4" x14ac:dyDescent="0.3">
      <c r="A542" s="913" t="s">
        <v>2070</v>
      </c>
      <c r="B542" s="914"/>
      <c r="C542" s="914"/>
      <c r="D542" s="914"/>
      <c r="E542" s="914"/>
      <c r="F542" s="914"/>
      <c r="G542" s="914"/>
      <c r="H542" s="914"/>
      <c r="I542" s="914"/>
      <c r="J542" s="914"/>
      <c r="K542" s="914"/>
      <c r="L542" s="914"/>
      <c r="M542" s="914"/>
      <c r="N542" s="915"/>
      <c r="R542" s="3"/>
      <c r="S542" s="3"/>
      <c r="AF542" s="415"/>
      <c r="AG542" s="416" t="s">
        <v>2070</v>
      </c>
      <c r="AH542" s="416"/>
      <c r="AM542" s="416"/>
    </row>
    <row r="543" spans="1:42" customFormat="1" ht="21.6" x14ac:dyDescent="0.3">
      <c r="A543" s="417" t="s">
        <v>2071</v>
      </c>
      <c r="B543" s="418" t="s">
        <v>1837</v>
      </c>
      <c r="C543" s="916" t="s">
        <v>2072</v>
      </c>
      <c r="D543" s="916"/>
      <c r="E543" s="916"/>
      <c r="F543" s="419" t="s">
        <v>193</v>
      </c>
      <c r="G543" s="420">
        <v>173.39</v>
      </c>
      <c r="H543" s="421">
        <v>1</v>
      </c>
      <c r="I543" s="448">
        <v>173.39</v>
      </c>
      <c r="J543" s="422"/>
      <c r="K543" s="420"/>
      <c r="L543" s="422"/>
      <c r="M543" s="420"/>
      <c r="N543" s="423"/>
      <c r="R543" s="3"/>
      <c r="S543" s="3"/>
      <c r="AF543" s="415"/>
      <c r="AG543" s="416"/>
      <c r="AH543" s="416" t="s">
        <v>2072</v>
      </c>
      <c r="AM543" s="416"/>
    </row>
    <row r="544" spans="1:42" customFormat="1" ht="52.2" x14ac:dyDescent="0.3">
      <c r="A544" s="424"/>
      <c r="B544" s="425" t="s">
        <v>1703</v>
      </c>
      <c r="C544" s="917" t="s">
        <v>1704</v>
      </c>
      <c r="D544" s="917"/>
      <c r="E544" s="917"/>
      <c r="F544" s="917"/>
      <c r="G544" s="917"/>
      <c r="H544" s="917"/>
      <c r="I544" s="917"/>
      <c r="J544" s="917"/>
      <c r="K544" s="917"/>
      <c r="L544" s="917"/>
      <c r="M544" s="917"/>
      <c r="N544" s="918"/>
      <c r="R544" s="3"/>
      <c r="S544" s="3"/>
      <c r="AF544" s="415"/>
      <c r="AG544" s="416"/>
      <c r="AH544" s="416"/>
      <c r="AM544" s="416"/>
      <c r="AO544" s="426" t="s">
        <v>1704</v>
      </c>
    </row>
    <row r="545" spans="1:39" customFormat="1" ht="14.4" x14ac:dyDescent="0.3">
      <c r="A545" s="427"/>
      <c r="B545" s="425" t="s">
        <v>758</v>
      </c>
      <c r="C545" s="907" t="s">
        <v>1705</v>
      </c>
      <c r="D545" s="907"/>
      <c r="E545" s="907"/>
      <c r="F545" s="428"/>
      <c r="G545" s="429"/>
      <c r="H545" s="429"/>
      <c r="I545" s="429"/>
      <c r="J545" s="430">
        <v>7.76</v>
      </c>
      <c r="K545" s="431">
        <v>1.1499999999999999</v>
      </c>
      <c r="L545" s="432">
        <v>1547.33</v>
      </c>
      <c r="M545" s="431">
        <v>44.77</v>
      </c>
      <c r="N545" s="433">
        <v>69273.960000000006</v>
      </c>
      <c r="R545" s="3"/>
      <c r="S545" s="3"/>
      <c r="AF545" s="415"/>
      <c r="AG545" s="416"/>
      <c r="AH545" s="416"/>
      <c r="AJ545" s="426" t="s">
        <v>1705</v>
      </c>
      <c r="AM545" s="416"/>
    </row>
    <row r="546" spans="1:39" customFormat="1" ht="14.4" x14ac:dyDescent="0.3">
      <c r="A546" s="427"/>
      <c r="B546" s="425" t="s">
        <v>761</v>
      </c>
      <c r="C546" s="907" t="s">
        <v>1718</v>
      </c>
      <c r="D546" s="907"/>
      <c r="E546" s="907"/>
      <c r="F546" s="428"/>
      <c r="G546" s="429"/>
      <c r="H546" s="429"/>
      <c r="I546" s="429"/>
      <c r="J546" s="432">
        <v>1293.92</v>
      </c>
      <c r="K546" s="431">
        <v>1.1499999999999999</v>
      </c>
      <c r="L546" s="432">
        <v>258005.71</v>
      </c>
      <c r="M546" s="431">
        <v>13.24</v>
      </c>
      <c r="N546" s="433">
        <v>3415995.6</v>
      </c>
      <c r="R546" s="3"/>
      <c r="S546" s="3"/>
      <c r="AF546" s="415"/>
      <c r="AG546" s="416"/>
      <c r="AH546" s="416"/>
      <c r="AJ546" s="426" t="s">
        <v>1718</v>
      </c>
      <c r="AM546" s="416"/>
    </row>
    <row r="547" spans="1:39" customFormat="1" ht="14.4" x14ac:dyDescent="0.3">
      <c r="A547" s="427"/>
      <c r="B547" s="425" t="s">
        <v>1144</v>
      </c>
      <c r="C547" s="907" t="s">
        <v>1719</v>
      </c>
      <c r="D547" s="907"/>
      <c r="E547" s="907"/>
      <c r="F547" s="428"/>
      <c r="G547" s="429"/>
      <c r="H547" s="429"/>
      <c r="I547" s="429"/>
      <c r="J547" s="430">
        <v>32.909999999999997</v>
      </c>
      <c r="K547" s="431">
        <v>1.1499999999999999</v>
      </c>
      <c r="L547" s="432">
        <v>6562.2</v>
      </c>
      <c r="M547" s="431">
        <v>44.77</v>
      </c>
      <c r="N547" s="433">
        <v>293789.69</v>
      </c>
      <c r="R547" s="3"/>
      <c r="S547" s="3"/>
      <c r="AF547" s="415"/>
      <c r="AG547" s="416"/>
      <c r="AH547" s="416"/>
      <c r="AJ547" s="426" t="s">
        <v>1719</v>
      </c>
      <c r="AM547" s="416"/>
    </row>
    <row r="548" spans="1:39" customFormat="1" ht="14.4" x14ac:dyDescent="0.3">
      <c r="A548" s="427"/>
      <c r="B548" s="425" t="s">
        <v>586</v>
      </c>
      <c r="C548" s="907" t="s">
        <v>1738</v>
      </c>
      <c r="D548" s="907"/>
      <c r="E548" s="907"/>
      <c r="F548" s="428"/>
      <c r="G548" s="429"/>
      <c r="H548" s="429"/>
      <c r="I548" s="429"/>
      <c r="J548" s="430">
        <v>21.02</v>
      </c>
      <c r="K548" s="429"/>
      <c r="L548" s="432">
        <v>3644.66</v>
      </c>
      <c r="M548" s="431">
        <v>8.16</v>
      </c>
      <c r="N548" s="433">
        <v>29740.43</v>
      </c>
      <c r="R548" s="3"/>
      <c r="S548" s="3"/>
      <c r="AF548" s="415"/>
      <c r="AG548" s="416"/>
      <c r="AH548" s="416"/>
      <c r="AJ548" s="426" t="s">
        <v>1738</v>
      </c>
      <c r="AM548" s="416"/>
    </row>
    <row r="549" spans="1:39" customFormat="1" ht="14.4" x14ac:dyDescent="0.3">
      <c r="A549" s="434"/>
      <c r="B549" s="425"/>
      <c r="C549" s="907" t="s">
        <v>1706</v>
      </c>
      <c r="D549" s="907"/>
      <c r="E549" s="907"/>
      <c r="F549" s="428" t="s">
        <v>1707</v>
      </c>
      <c r="G549" s="431">
        <v>0.91</v>
      </c>
      <c r="H549" s="431">
        <v>1.1499999999999999</v>
      </c>
      <c r="I549" s="457">
        <v>181.45263499999999</v>
      </c>
      <c r="J549" s="436"/>
      <c r="K549" s="429"/>
      <c r="L549" s="436"/>
      <c r="M549" s="429"/>
      <c r="N549" s="437"/>
      <c r="R549" s="3"/>
      <c r="S549" s="3"/>
      <c r="AF549" s="415"/>
      <c r="AG549" s="416"/>
      <c r="AH549" s="416"/>
      <c r="AK549" s="426" t="s">
        <v>1706</v>
      </c>
      <c r="AM549" s="416"/>
    </row>
    <row r="550" spans="1:39" customFormat="1" ht="14.4" x14ac:dyDescent="0.3">
      <c r="A550" s="434"/>
      <c r="B550" s="425"/>
      <c r="C550" s="907" t="s">
        <v>1720</v>
      </c>
      <c r="D550" s="907"/>
      <c r="E550" s="907"/>
      <c r="F550" s="428" t="s">
        <v>1707</v>
      </c>
      <c r="G550" s="458">
        <v>2.1</v>
      </c>
      <c r="H550" s="431">
        <v>1.1499999999999999</v>
      </c>
      <c r="I550" s="459">
        <v>418.73685</v>
      </c>
      <c r="J550" s="436"/>
      <c r="K550" s="429"/>
      <c r="L550" s="436"/>
      <c r="M550" s="429"/>
      <c r="N550" s="437"/>
      <c r="R550" s="3"/>
      <c r="S550" s="3"/>
      <c r="AF550" s="415"/>
      <c r="AG550" s="416"/>
      <c r="AH550" s="416"/>
      <c r="AK550" s="426" t="s">
        <v>1720</v>
      </c>
      <c r="AM550" s="416"/>
    </row>
    <row r="551" spans="1:39" customFormat="1" ht="14.4" x14ac:dyDescent="0.3">
      <c r="A551" s="427"/>
      <c r="B551" s="425"/>
      <c r="C551" s="908" t="s">
        <v>1708</v>
      </c>
      <c r="D551" s="908"/>
      <c r="E551" s="908"/>
      <c r="F551" s="438"/>
      <c r="G551" s="439"/>
      <c r="H551" s="439"/>
      <c r="I551" s="439"/>
      <c r="J551" s="441">
        <v>1322.7</v>
      </c>
      <c r="K551" s="439"/>
      <c r="L551" s="441">
        <v>263197.7</v>
      </c>
      <c r="M551" s="439"/>
      <c r="N551" s="442">
        <v>3515009.99</v>
      </c>
      <c r="R551" s="3"/>
      <c r="S551" s="3"/>
      <c r="AF551" s="415"/>
      <c r="AG551" s="416"/>
      <c r="AH551" s="416"/>
      <c r="AL551" s="426" t="s">
        <v>1708</v>
      </c>
      <c r="AM551" s="416"/>
    </row>
    <row r="552" spans="1:39" customFormat="1" ht="14.4" x14ac:dyDescent="0.3">
      <c r="A552" s="434"/>
      <c r="B552" s="425"/>
      <c r="C552" s="907" t="s">
        <v>1709</v>
      </c>
      <c r="D552" s="907"/>
      <c r="E552" s="907"/>
      <c r="F552" s="428"/>
      <c r="G552" s="429"/>
      <c r="H552" s="429"/>
      <c r="I552" s="429"/>
      <c r="J552" s="436"/>
      <c r="K552" s="429"/>
      <c r="L552" s="432">
        <v>8109.53</v>
      </c>
      <c r="M552" s="429"/>
      <c r="N552" s="433">
        <v>363063.65</v>
      </c>
      <c r="R552" s="3"/>
      <c r="S552" s="3"/>
      <c r="AF552" s="415"/>
      <c r="AG552" s="416"/>
      <c r="AH552" s="416"/>
      <c r="AK552" s="426" t="s">
        <v>1709</v>
      </c>
      <c r="AM552" s="416"/>
    </row>
    <row r="553" spans="1:39" customFormat="1" ht="31.8" x14ac:dyDescent="0.3">
      <c r="A553" s="434"/>
      <c r="B553" s="425" t="s">
        <v>1761</v>
      </c>
      <c r="C553" s="907" t="s">
        <v>1762</v>
      </c>
      <c r="D553" s="907"/>
      <c r="E553" s="907"/>
      <c r="F553" s="428" t="s">
        <v>1712</v>
      </c>
      <c r="G553" s="443">
        <v>91</v>
      </c>
      <c r="H553" s="429"/>
      <c r="I553" s="443">
        <v>91</v>
      </c>
      <c r="J553" s="436"/>
      <c r="K553" s="429"/>
      <c r="L553" s="432">
        <v>7379.67</v>
      </c>
      <c r="M553" s="429"/>
      <c r="N553" s="433">
        <v>330387.92</v>
      </c>
      <c r="R553" s="3"/>
      <c r="S553" s="3"/>
      <c r="AF553" s="415"/>
      <c r="AG553" s="416"/>
      <c r="AH553" s="416"/>
      <c r="AK553" s="426" t="s">
        <v>1762</v>
      </c>
      <c r="AM553" s="416"/>
    </row>
    <row r="554" spans="1:39" customFormat="1" ht="31.8" x14ac:dyDescent="0.3">
      <c r="A554" s="434"/>
      <c r="B554" s="425" t="s">
        <v>1763</v>
      </c>
      <c r="C554" s="907" t="s">
        <v>1764</v>
      </c>
      <c r="D554" s="907"/>
      <c r="E554" s="907"/>
      <c r="F554" s="428" t="s">
        <v>1712</v>
      </c>
      <c r="G554" s="443">
        <v>52</v>
      </c>
      <c r="H554" s="429"/>
      <c r="I554" s="443">
        <v>52</v>
      </c>
      <c r="J554" s="436"/>
      <c r="K554" s="429"/>
      <c r="L554" s="432">
        <v>4216.96</v>
      </c>
      <c r="M554" s="429"/>
      <c r="N554" s="433">
        <v>188793.1</v>
      </c>
      <c r="R554" s="3"/>
      <c r="S554" s="3"/>
      <c r="AF554" s="415"/>
      <c r="AG554" s="416"/>
      <c r="AH554" s="416"/>
      <c r="AK554" s="426" t="s">
        <v>1764</v>
      </c>
      <c r="AM554" s="416"/>
    </row>
    <row r="555" spans="1:39" customFormat="1" ht="14.4" x14ac:dyDescent="0.3">
      <c r="A555" s="444"/>
      <c r="B555" s="445"/>
      <c r="C555" s="916" t="s">
        <v>1715</v>
      </c>
      <c r="D555" s="916"/>
      <c r="E555" s="916"/>
      <c r="F555" s="419"/>
      <c r="G555" s="420"/>
      <c r="H555" s="420"/>
      <c r="I555" s="420"/>
      <c r="J555" s="422"/>
      <c r="K555" s="420"/>
      <c r="L555" s="446">
        <v>274794.33</v>
      </c>
      <c r="M555" s="439"/>
      <c r="N555" s="447">
        <v>4034191.01</v>
      </c>
      <c r="R555" s="3"/>
      <c r="S555" s="3"/>
      <c r="AF555" s="415"/>
      <c r="AG555" s="416"/>
      <c r="AH555" s="416"/>
      <c r="AM555" s="416" t="s">
        <v>1715</v>
      </c>
    </row>
    <row r="556" spans="1:39" customFormat="1" ht="42" x14ac:dyDescent="0.3">
      <c r="A556" s="417" t="s">
        <v>2073</v>
      </c>
      <c r="B556" s="418" t="s">
        <v>1747</v>
      </c>
      <c r="C556" s="916" t="s">
        <v>1748</v>
      </c>
      <c r="D556" s="916"/>
      <c r="E556" s="916"/>
      <c r="F556" s="419" t="s">
        <v>1723</v>
      </c>
      <c r="G556" s="420">
        <v>346.8</v>
      </c>
      <c r="H556" s="421">
        <v>1</v>
      </c>
      <c r="I556" s="456">
        <v>346.8</v>
      </c>
      <c r="J556" s="449">
        <v>3.28</v>
      </c>
      <c r="K556" s="420"/>
      <c r="L556" s="446">
        <v>1137.5</v>
      </c>
      <c r="M556" s="448">
        <v>13.24</v>
      </c>
      <c r="N556" s="447">
        <v>15060.5</v>
      </c>
      <c r="R556" s="3"/>
      <c r="S556" s="3"/>
      <c r="AF556" s="415"/>
      <c r="AG556" s="416"/>
      <c r="AH556" s="416" t="s">
        <v>1748</v>
      </c>
      <c r="AM556" s="416"/>
    </row>
    <row r="557" spans="1:39" customFormat="1" ht="14.4" x14ac:dyDescent="0.3">
      <c r="A557" s="450"/>
      <c r="B557" s="451"/>
      <c r="C557" s="907" t="s">
        <v>2074</v>
      </c>
      <c r="D557" s="907"/>
      <c r="E557" s="907"/>
      <c r="F557" s="907"/>
      <c r="G557" s="907"/>
      <c r="H557" s="907"/>
      <c r="I557" s="907"/>
      <c r="J557" s="907"/>
      <c r="K557" s="907"/>
      <c r="L557" s="907"/>
      <c r="M557" s="907"/>
      <c r="N557" s="919"/>
      <c r="R557" s="3"/>
      <c r="S557" s="3"/>
      <c r="AF557" s="415"/>
      <c r="AG557" s="416"/>
      <c r="AH557" s="416"/>
      <c r="AI557" s="426" t="s">
        <v>2074</v>
      </c>
      <c r="AM557" s="416"/>
    </row>
    <row r="558" spans="1:39" customFormat="1" ht="14.4" x14ac:dyDescent="0.3">
      <c r="A558" s="444"/>
      <c r="B558" s="445"/>
      <c r="C558" s="916" t="s">
        <v>1715</v>
      </c>
      <c r="D558" s="916"/>
      <c r="E558" s="916"/>
      <c r="F558" s="419"/>
      <c r="G558" s="420"/>
      <c r="H558" s="420"/>
      <c r="I558" s="420"/>
      <c r="J558" s="422"/>
      <c r="K558" s="420"/>
      <c r="L558" s="446">
        <v>1137.5</v>
      </c>
      <c r="M558" s="439"/>
      <c r="N558" s="447">
        <v>15060.5</v>
      </c>
      <c r="R558" s="3"/>
      <c r="S558" s="3"/>
      <c r="AF558" s="415"/>
      <c r="AG558" s="416"/>
      <c r="AH558" s="416"/>
      <c r="AM558" s="416" t="s">
        <v>1715</v>
      </c>
    </row>
    <row r="559" spans="1:39" customFormat="1" ht="21.6" x14ac:dyDescent="0.3">
      <c r="A559" s="417" t="s">
        <v>2075</v>
      </c>
      <c r="B559" s="418" t="s">
        <v>1751</v>
      </c>
      <c r="C559" s="916" t="s">
        <v>1752</v>
      </c>
      <c r="D559" s="916"/>
      <c r="E559" s="916"/>
      <c r="F559" s="419" t="s">
        <v>1723</v>
      </c>
      <c r="G559" s="420">
        <v>86.7</v>
      </c>
      <c r="H559" s="421">
        <v>1</v>
      </c>
      <c r="I559" s="456">
        <v>86.7</v>
      </c>
      <c r="J559" s="449">
        <v>42.98</v>
      </c>
      <c r="K559" s="420"/>
      <c r="L559" s="446">
        <v>3726.37</v>
      </c>
      <c r="M559" s="448">
        <v>13.24</v>
      </c>
      <c r="N559" s="447">
        <v>49337.14</v>
      </c>
      <c r="R559" s="3"/>
      <c r="S559" s="3"/>
      <c r="AF559" s="415"/>
      <c r="AG559" s="416"/>
      <c r="AH559" s="416" t="s">
        <v>1752</v>
      </c>
      <c r="AM559" s="416"/>
    </row>
    <row r="560" spans="1:39" customFormat="1" ht="14.4" x14ac:dyDescent="0.3">
      <c r="A560" s="450"/>
      <c r="B560" s="451"/>
      <c r="C560" s="907" t="s">
        <v>2076</v>
      </c>
      <c r="D560" s="907"/>
      <c r="E560" s="907"/>
      <c r="F560" s="907"/>
      <c r="G560" s="907"/>
      <c r="H560" s="907"/>
      <c r="I560" s="907"/>
      <c r="J560" s="907"/>
      <c r="K560" s="907"/>
      <c r="L560" s="907"/>
      <c r="M560" s="907"/>
      <c r="N560" s="919"/>
      <c r="R560" s="3"/>
      <c r="S560" s="3"/>
      <c r="AF560" s="415"/>
      <c r="AG560" s="416"/>
      <c r="AH560" s="416"/>
      <c r="AI560" s="426" t="s">
        <v>2076</v>
      </c>
      <c r="AM560" s="416"/>
    </row>
    <row r="561" spans="1:44" customFormat="1" ht="14.4" x14ac:dyDescent="0.3">
      <c r="A561" s="444"/>
      <c r="B561" s="445"/>
      <c r="C561" s="916" t="s">
        <v>1715</v>
      </c>
      <c r="D561" s="916"/>
      <c r="E561" s="916"/>
      <c r="F561" s="419"/>
      <c r="G561" s="420"/>
      <c r="H561" s="420"/>
      <c r="I561" s="420"/>
      <c r="J561" s="422"/>
      <c r="K561" s="420"/>
      <c r="L561" s="446">
        <v>3726.37</v>
      </c>
      <c r="M561" s="439"/>
      <c r="N561" s="447">
        <v>49337.14</v>
      </c>
      <c r="R561" s="3"/>
      <c r="S561" s="3"/>
      <c r="AF561" s="415"/>
      <c r="AG561" s="416"/>
      <c r="AH561" s="416"/>
      <c r="AM561" s="416" t="s">
        <v>1715</v>
      </c>
    </row>
    <row r="562" spans="1:44" customFormat="1" ht="21.6" x14ac:dyDescent="0.3">
      <c r="A562" s="417" t="s">
        <v>2077</v>
      </c>
      <c r="B562" s="418" t="s">
        <v>1726</v>
      </c>
      <c r="C562" s="916" t="s">
        <v>1727</v>
      </c>
      <c r="D562" s="916"/>
      <c r="E562" s="916"/>
      <c r="F562" s="419" t="s">
        <v>193</v>
      </c>
      <c r="G562" s="420">
        <v>173.39</v>
      </c>
      <c r="H562" s="421">
        <v>1</v>
      </c>
      <c r="I562" s="448">
        <v>173.39</v>
      </c>
      <c r="J562" s="449">
        <v>162.38</v>
      </c>
      <c r="K562" s="420"/>
      <c r="L562" s="446">
        <v>28155.07</v>
      </c>
      <c r="M562" s="448">
        <v>8.16</v>
      </c>
      <c r="N562" s="447">
        <v>229745.37</v>
      </c>
      <c r="R562" s="3"/>
      <c r="S562" s="3"/>
      <c r="AF562" s="415"/>
      <c r="AG562" s="416"/>
      <c r="AH562" s="416" t="s">
        <v>1727</v>
      </c>
      <c r="AM562" s="416"/>
    </row>
    <row r="563" spans="1:44" customFormat="1" ht="14.4" x14ac:dyDescent="0.3">
      <c r="A563" s="444"/>
      <c r="B563" s="445"/>
      <c r="C563" s="907" t="s">
        <v>1728</v>
      </c>
      <c r="D563" s="907"/>
      <c r="E563" s="907"/>
      <c r="F563" s="907"/>
      <c r="G563" s="907"/>
      <c r="H563" s="907"/>
      <c r="I563" s="907"/>
      <c r="J563" s="907"/>
      <c r="K563" s="907"/>
      <c r="L563" s="907"/>
      <c r="M563" s="907"/>
      <c r="N563" s="919"/>
      <c r="R563" s="3"/>
      <c r="S563" s="3"/>
      <c r="AF563" s="415"/>
      <c r="AG563" s="416"/>
      <c r="AH563" s="416"/>
      <c r="AM563" s="416"/>
      <c r="AN563" s="426" t="s">
        <v>1728</v>
      </c>
    </row>
    <row r="564" spans="1:44" customFormat="1" ht="14.4" x14ac:dyDescent="0.3">
      <c r="A564" s="450"/>
      <c r="B564" s="451"/>
      <c r="C564" s="907" t="s">
        <v>1730</v>
      </c>
      <c r="D564" s="907"/>
      <c r="E564" s="907"/>
      <c r="F564" s="907"/>
      <c r="G564" s="907"/>
      <c r="H564" s="907"/>
      <c r="I564" s="907"/>
      <c r="J564" s="907"/>
      <c r="K564" s="907"/>
      <c r="L564" s="907"/>
      <c r="M564" s="907"/>
      <c r="N564" s="919"/>
      <c r="R564" s="3"/>
      <c r="S564" s="3"/>
      <c r="AF564" s="415"/>
      <c r="AG564" s="416"/>
      <c r="AH564" s="416"/>
      <c r="AM564" s="416"/>
      <c r="AP564" s="426" t="s">
        <v>1730</v>
      </c>
    </row>
    <row r="565" spans="1:44" customFormat="1" ht="14.4" x14ac:dyDescent="0.3">
      <c r="A565" s="444"/>
      <c r="B565" s="445"/>
      <c r="C565" s="916" t="s">
        <v>1715</v>
      </c>
      <c r="D565" s="916"/>
      <c r="E565" s="916"/>
      <c r="F565" s="419"/>
      <c r="G565" s="420"/>
      <c r="H565" s="420"/>
      <c r="I565" s="420"/>
      <c r="J565" s="422"/>
      <c r="K565" s="420"/>
      <c r="L565" s="446">
        <v>28155.07</v>
      </c>
      <c r="M565" s="439"/>
      <c r="N565" s="447">
        <v>229745.37</v>
      </c>
      <c r="R565" s="3"/>
      <c r="S565" s="3"/>
      <c r="AF565" s="415"/>
      <c r="AG565" s="416"/>
      <c r="AH565" s="416"/>
      <c r="AM565" s="416" t="s">
        <v>1715</v>
      </c>
    </row>
    <row r="566" spans="1:44" customFormat="1" ht="0" hidden="1" customHeight="1" x14ac:dyDescent="0.3">
      <c r="A566" s="462"/>
      <c r="B566" s="463"/>
      <c r="C566" s="463"/>
      <c r="D566" s="463"/>
      <c r="E566" s="463"/>
      <c r="F566" s="464"/>
      <c r="G566" s="464"/>
      <c r="H566" s="464"/>
      <c r="I566" s="464"/>
      <c r="J566" s="465"/>
      <c r="K566" s="464"/>
      <c r="L566" s="465"/>
      <c r="M566" s="429"/>
      <c r="N566" s="465"/>
      <c r="R566" s="3"/>
      <c r="S566" s="3"/>
      <c r="AF566" s="415"/>
      <c r="AG566" s="416"/>
      <c r="AH566" s="416"/>
      <c r="AM566" s="416"/>
    </row>
    <row r="567" spans="1:44" customFormat="1" ht="14.4" x14ac:dyDescent="0.3">
      <c r="A567" s="469"/>
      <c r="B567" s="470"/>
      <c r="C567" s="916" t="s">
        <v>2078</v>
      </c>
      <c r="D567" s="916"/>
      <c r="E567" s="916"/>
      <c r="F567" s="916"/>
      <c r="G567" s="916"/>
      <c r="H567" s="916"/>
      <c r="I567" s="916"/>
      <c r="J567" s="916"/>
      <c r="K567" s="916"/>
      <c r="L567" s="471"/>
      <c r="M567" s="472"/>
      <c r="N567" s="473"/>
      <c r="R567" s="3"/>
      <c r="S567" s="3"/>
      <c r="AF567" s="415"/>
      <c r="AG567" s="416"/>
      <c r="AH567" s="416"/>
      <c r="AM567" s="416"/>
      <c r="AQ567" s="416" t="s">
        <v>2078</v>
      </c>
    </row>
    <row r="568" spans="1:44" customFormat="1" ht="14.4" x14ac:dyDescent="0.3">
      <c r="A568" s="474"/>
      <c r="B568" s="425"/>
      <c r="C568" s="907" t="s">
        <v>1855</v>
      </c>
      <c r="D568" s="907"/>
      <c r="E568" s="907"/>
      <c r="F568" s="907"/>
      <c r="G568" s="907"/>
      <c r="H568" s="907"/>
      <c r="I568" s="907"/>
      <c r="J568" s="907"/>
      <c r="K568" s="907"/>
      <c r="L568" s="475">
        <v>1409821.37</v>
      </c>
      <c r="M568" s="476"/>
      <c r="N568" s="479"/>
      <c r="R568" s="3"/>
      <c r="S568" s="3"/>
      <c r="AF568" s="415"/>
      <c r="AG568" s="416"/>
      <c r="AH568" s="416"/>
      <c r="AM568" s="416"/>
      <c r="AQ568" s="416"/>
      <c r="AR568" s="426" t="s">
        <v>1855</v>
      </c>
    </row>
    <row r="569" spans="1:44" customFormat="1" ht="14.4" x14ac:dyDescent="0.3">
      <c r="A569" s="474"/>
      <c r="B569" s="425"/>
      <c r="C569" s="907" t="s">
        <v>1856</v>
      </c>
      <c r="D569" s="907"/>
      <c r="E569" s="907"/>
      <c r="F569" s="907"/>
      <c r="G569" s="907"/>
      <c r="H569" s="907"/>
      <c r="I569" s="907"/>
      <c r="J569" s="907"/>
      <c r="K569" s="907"/>
      <c r="L569" s="478"/>
      <c r="M569" s="476"/>
      <c r="N569" s="479"/>
      <c r="R569" s="3"/>
      <c r="S569" s="3"/>
      <c r="AF569" s="415"/>
      <c r="AG569" s="416"/>
      <c r="AH569" s="416"/>
      <c r="AM569" s="416"/>
      <c r="AQ569" s="416"/>
      <c r="AR569" s="426" t="s">
        <v>1856</v>
      </c>
    </row>
    <row r="570" spans="1:44" customFormat="1" ht="14.4" x14ac:dyDescent="0.3">
      <c r="A570" s="474"/>
      <c r="B570" s="425"/>
      <c r="C570" s="907" t="s">
        <v>1857</v>
      </c>
      <c r="D570" s="907"/>
      <c r="E570" s="907"/>
      <c r="F570" s="907"/>
      <c r="G570" s="907"/>
      <c r="H570" s="907"/>
      <c r="I570" s="907"/>
      <c r="J570" s="907"/>
      <c r="K570" s="907"/>
      <c r="L570" s="475">
        <v>218046.42</v>
      </c>
      <c r="M570" s="476"/>
      <c r="N570" s="479"/>
      <c r="R570" s="3"/>
      <c r="S570" s="3"/>
      <c r="AF570" s="415"/>
      <c r="AG570" s="416"/>
      <c r="AH570" s="416"/>
      <c r="AM570" s="416"/>
      <c r="AQ570" s="416"/>
      <c r="AR570" s="426" t="s">
        <v>1857</v>
      </c>
    </row>
    <row r="571" spans="1:44" customFormat="1" ht="14.4" x14ac:dyDescent="0.3">
      <c r="A571" s="474"/>
      <c r="B571" s="425"/>
      <c r="C571" s="907" t="s">
        <v>1858</v>
      </c>
      <c r="D571" s="907"/>
      <c r="E571" s="907"/>
      <c r="F571" s="907"/>
      <c r="G571" s="907"/>
      <c r="H571" s="907"/>
      <c r="I571" s="907"/>
      <c r="J571" s="907"/>
      <c r="K571" s="907"/>
      <c r="L571" s="475">
        <v>892112.94</v>
      </c>
      <c r="M571" s="476"/>
      <c r="N571" s="479"/>
      <c r="R571" s="3"/>
      <c r="S571" s="3"/>
      <c r="AF571" s="415"/>
      <c r="AG571" s="416"/>
      <c r="AH571" s="416"/>
      <c r="AM571" s="416"/>
      <c r="AQ571" s="416"/>
      <c r="AR571" s="426" t="s">
        <v>1858</v>
      </c>
    </row>
    <row r="572" spans="1:44" customFormat="1" ht="14.4" x14ac:dyDescent="0.3">
      <c r="A572" s="474"/>
      <c r="B572" s="425"/>
      <c r="C572" s="907" t="s">
        <v>1859</v>
      </c>
      <c r="D572" s="907"/>
      <c r="E572" s="907"/>
      <c r="F572" s="907"/>
      <c r="G572" s="907"/>
      <c r="H572" s="907"/>
      <c r="I572" s="907"/>
      <c r="J572" s="907"/>
      <c r="K572" s="907"/>
      <c r="L572" s="475">
        <v>12172.47</v>
      </c>
      <c r="M572" s="476"/>
      <c r="N572" s="479"/>
      <c r="R572" s="3"/>
      <c r="S572" s="3"/>
      <c r="AF572" s="415"/>
      <c r="AG572" s="416"/>
      <c r="AH572" s="416"/>
      <c r="AM572" s="416"/>
      <c r="AQ572" s="416"/>
      <c r="AR572" s="426" t="s">
        <v>1859</v>
      </c>
    </row>
    <row r="573" spans="1:44" customFormat="1" ht="14.4" x14ac:dyDescent="0.3">
      <c r="A573" s="474"/>
      <c r="B573" s="425"/>
      <c r="C573" s="907" t="s">
        <v>1860</v>
      </c>
      <c r="D573" s="907"/>
      <c r="E573" s="907"/>
      <c r="F573" s="907"/>
      <c r="G573" s="907"/>
      <c r="H573" s="907"/>
      <c r="I573" s="907"/>
      <c r="J573" s="907"/>
      <c r="K573" s="907"/>
      <c r="L573" s="475">
        <v>299662.01</v>
      </c>
      <c r="M573" s="476"/>
      <c r="N573" s="479"/>
      <c r="R573" s="3"/>
      <c r="S573" s="3"/>
      <c r="AF573" s="415"/>
      <c r="AG573" s="416"/>
      <c r="AH573" s="416"/>
      <c r="AM573" s="416"/>
      <c r="AQ573" s="416"/>
      <c r="AR573" s="426" t="s">
        <v>1860</v>
      </c>
    </row>
    <row r="574" spans="1:44" customFormat="1" ht="14.4" x14ac:dyDescent="0.3">
      <c r="A574" s="474"/>
      <c r="B574" s="425"/>
      <c r="C574" s="907" t="s">
        <v>1861</v>
      </c>
      <c r="D574" s="907"/>
      <c r="E574" s="907"/>
      <c r="F574" s="907"/>
      <c r="G574" s="907"/>
      <c r="H574" s="907"/>
      <c r="I574" s="907"/>
      <c r="J574" s="907"/>
      <c r="K574" s="907"/>
      <c r="L574" s="475">
        <v>1748662.7</v>
      </c>
      <c r="M574" s="476"/>
      <c r="N574" s="479"/>
      <c r="R574" s="3"/>
      <c r="S574" s="3"/>
      <c r="AF574" s="415"/>
      <c r="AG574" s="416"/>
      <c r="AH574" s="416"/>
      <c r="AM574" s="416"/>
      <c r="AQ574" s="416"/>
      <c r="AR574" s="426" t="s">
        <v>1861</v>
      </c>
    </row>
    <row r="575" spans="1:44" customFormat="1" ht="14.4" x14ac:dyDescent="0.3">
      <c r="A575" s="474"/>
      <c r="B575" s="425"/>
      <c r="C575" s="907" t="s">
        <v>1862</v>
      </c>
      <c r="D575" s="907"/>
      <c r="E575" s="907"/>
      <c r="F575" s="907"/>
      <c r="G575" s="907"/>
      <c r="H575" s="907"/>
      <c r="I575" s="907"/>
      <c r="J575" s="907"/>
      <c r="K575" s="907"/>
      <c r="L575" s="475">
        <v>1675563.34</v>
      </c>
      <c r="M575" s="476"/>
      <c r="N575" s="479"/>
      <c r="R575" s="3"/>
      <c r="S575" s="3"/>
      <c r="AF575" s="415"/>
      <c r="AG575" s="416"/>
      <c r="AH575" s="416"/>
      <c r="AM575" s="416"/>
      <c r="AQ575" s="416"/>
      <c r="AR575" s="426" t="s">
        <v>1862</v>
      </c>
    </row>
    <row r="576" spans="1:44" customFormat="1" ht="14.4" x14ac:dyDescent="0.3">
      <c r="A576" s="474"/>
      <c r="B576" s="425"/>
      <c r="C576" s="907" t="s">
        <v>1863</v>
      </c>
      <c r="D576" s="907"/>
      <c r="E576" s="907"/>
      <c r="F576" s="907"/>
      <c r="G576" s="907"/>
      <c r="H576" s="907"/>
      <c r="I576" s="907"/>
      <c r="J576" s="907"/>
      <c r="K576" s="907"/>
      <c r="L576" s="478"/>
      <c r="M576" s="476"/>
      <c r="N576" s="479"/>
      <c r="R576" s="3"/>
      <c r="S576" s="3"/>
      <c r="AF576" s="415"/>
      <c r="AG576" s="416"/>
      <c r="AH576" s="416"/>
      <c r="AM576" s="416"/>
      <c r="AQ576" s="416"/>
      <c r="AR576" s="426" t="s">
        <v>1863</v>
      </c>
    </row>
    <row r="577" spans="1:45" customFormat="1" ht="14.4" x14ac:dyDescent="0.3">
      <c r="A577" s="474"/>
      <c r="B577" s="425"/>
      <c r="C577" s="907" t="s">
        <v>1864</v>
      </c>
      <c r="D577" s="907"/>
      <c r="E577" s="907"/>
      <c r="F577" s="907"/>
      <c r="G577" s="907"/>
      <c r="H577" s="907"/>
      <c r="I577" s="907"/>
      <c r="J577" s="907"/>
      <c r="K577" s="907"/>
      <c r="L577" s="475">
        <v>218046.42</v>
      </c>
      <c r="M577" s="476"/>
      <c r="N577" s="479"/>
      <c r="R577" s="3"/>
      <c r="S577" s="3"/>
      <c r="AF577" s="415"/>
      <c r="AG577" s="416"/>
      <c r="AH577" s="416"/>
      <c r="AM577" s="416"/>
      <c r="AQ577" s="416"/>
      <c r="AR577" s="426" t="s">
        <v>1864</v>
      </c>
    </row>
    <row r="578" spans="1:45" customFormat="1" ht="14.4" x14ac:dyDescent="0.3">
      <c r="A578" s="474"/>
      <c r="B578" s="425"/>
      <c r="C578" s="907" t="s">
        <v>1865</v>
      </c>
      <c r="D578" s="907"/>
      <c r="E578" s="907"/>
      <c r="F578" s="907"/>
      <c r="G578" s="907"/>
      <c r="H578" s="907"/>
      <c r="I578" s="907"/>
      <c r="J578" s="907"/>
      <c r="K578" s="907"/>
      <c r="L578" s="475">
        <v>863925.14</v>
      </c>
      <c r="M578" s="476"/>
      <c r="N578" s="479"/>
      <c r="R578" s="3"/>
      <c r="S578" s="3"/>
      <c r="AF578" s="415"/>
      <c r="AG578" s="416"/>
      <c r="AH578" s="416"/>
      <c r="AM578" s="416"/>
      <c r="AQ578" s="416"/>
      <c r="AR578" s="426" t="s">
        <v>1865</v>
      </c>
    </row>
    <row r="579" spans="1:45" customFormat="1" ht="14.4" x14ac:dyDescent="0.3">
      <c r="A579" s="474"/>
      <c r="B579" s="425"/>
      <c r="C579" s="907" t="s">
        <v>1866</v>
      </c>
      <c r="D579" s="907"/>
      <c r="E579" s="907"/>
      <c r="F579" s="907"/>
      <c r="G579" s="907"/>
      <c r="H579" s="907"/>
      <c r="I579" s="907"/>
      <c r="J579" s="907"/>
      <c r="K579" s="907"/>
      <c r="L579" s="475">
        <v>12172.47</v>
      </c>
      <c r="M579" s="476"/>
      <c r="N579" s="479"/>
      <c r="R579" s="3"/>
      <c r="S579" s="3"/>
      <c r="AF579" s="415"/>
      <c r="AG579" s="416"/>
      <c r="AH579" s="416"/>
      <c r="AM579" s="416"/>
      <c r="AQ579" s="416"/>
      <c r="AR579" s="426" t="s">
        <v>1866</v>
      </c>
    </row>
    <row r="580" spans="1:45" customFormat="1" ht="14.4" x14ac:dyDescent="0.3">
      <c r="A580" s="474"/>
      <c r="B580" s="425"/>
      <c r="C580" s="907" t="s">
        <v>1867</v>
      </c>
      <c r="D580" s="907"/>
      <c r="E580" s="907"/>
      <c r="F580" s="907"/>
      <c r="G580" s="907"/>
      <c r="H580" s="907"/>
      <c r="I580" s="907"/>
      <c r="J580" s="907"/>
      <c r="K580" s="907"/>
      <c r="L580" s="475">
        <v>254750.45</v>
      </c>
      <c r="M580" s="476"/>
      <c r="N580" s="479"/>
      <c r="R580" s="3"/>
      <c r="S580" s="3"/>
      <c r="AF580" s="415"/>
      <c r="AG580" s="416"/>
      <c r="AH580" s="416"/>
      <c r="AM580" s="416"/>
      <c r="AQ580" s="416"/>
      <c r="AR580" s="426" t="s">
        <v>1867</v>
      </c>
    </row>
    <row r="581" spans="1:45" customFormat="1" ht="14.4" x14ac:dyDescent="0.3">
      <c r="A581" s="474"/>
      <c r="B581" s="425"/>
      <c r="C581" s="907" t="s">
        <v>1868</v>
      </c>
      <c r="D581" s="907"/>
      <c r="E581" s="907"/>
      <c r="F581" s="907"/>
      <c r="G581" s="907"/>
      <c r="H581" s="907"/>
      <c r="I581" s="907"/>
      <c r="J581" s="907"/>
      <c r="K581" s="907"/>
      <c r="L581" s="475">
        <v>214653.45</v>
      </c>
      <c r="M581" s="476"/>
      <c r="N581" s="479"/>
      <c r="R581" s="3"/>
      <c r="S581" s="3"/>
      <c r="AF581" s="415"/>
      <c r="AG581" s="416"/>
      <c r="AH581" s="416"/>
      <c r="AM581" s="416"/>
      <c r="AQ581" s="416"/>
      <c r="AR581" s="426" t="s">
        <v>1868</v>
      </c>
    </row>
    <row r="582" spans="1:45" customFormat="1" ht="14.4" x14ac:dyDescent="0.3">
      <c r="A582" s="474"/>
      <c r="B582" s="425"/>
      <c r="C582" s="907" t="s">
        <v>1869</v>
      </c>
      <c r="D582" s="907"/>
      <c r="E582" s="907"/>
      <c r="F582" s="907"/>
      <c r="G582" s="907"/>
      <c r="H582" s="907"/>
      <c r="I582" s="907"/>
      <c r="J582" s="907"/>
      <c r="K582" s="907"/>
      <c r="L582" s="475">
        <v>124187.88</v>
      </c>
      <c r="M582" s="476"/>
      <c r="N582" s="479"/>
      <c r="R582" s="3"/>
      <c r="S582" s="3"/>
      <c r="AF582" s="415"/>
      <c r="AG582" s="416"/>
      <c r="AH582" s="416"/>
      <c r="AM582" s="416"/>
      <c r="AQ582" s="416"/>
      <c r="AR582" s="426" t="s">
        <v>1869</v>
      </c>
    </row>
    <row r="583" spans="1:45" customFormat="1" ht="14.4" x14ac:dyDescent="0.3">
      <c r="A583" s="474"/>
      <c r="B583" s="425"/>
      <c r="C583" s="907" t="s">
        <v>1870</v>
      </c>
      <c r="D583" s="907"/>
      <c r="E583" s="907"/>
      <c r="F583" s="907"/>
      <c r="G583" s="907"/>
      <c r="H583" s="907"/>
      <c r="I583" s="907"/>
      <c r="J583" s="907"/>
      <c r="K583" s="907"/>
      <c r="L583" s="475">
        <v>73099.360000000001</v>
      </c>
      <c r="M583" s="476"/>
      <c r="N583" s="479"/>
      <c r="R583" s="3"/>
      <c r="S583" s="3"/>
      <c r="AF583" s="415"/>
      <c r="AG583" s="416"/>
      <c r="AH583" s="416"/>
      <c r="AM583" s="416"/>
      <c r="AQ583" s="416"/>
      <c r="AR583" s="426" t="s">
        <v>1870</v>
      </c>
    </row>
    <row r="584" spans="1:45" customFormat="1" ht="14.4" x14ac:dyDescent="0.3">
      <c r="A584" s="474"/>
      <c r="B584" s="425"/>
      <c r="C584" s="907" t="s">
        <v>1863</v>
      </c>
      <c r="D584" s="907"/>
      <c r="E584" s="907"/>
      <c r="F584" s="907"/>
      <c r="G584" s="907"/>
      <c r="H584" s="907"/>
      <c r="I584" s="907"/>
      <c r="J584" s="907"/>
      <c r="K584" s="907"/>
      <c r="L584" s="478"/>
      <c r="M584" s="476"/>
      <c r="N584" s="479"/>
      <c r="R584" s="3"/>
      <c r="S584" s="3"/>
      <c r="AF584" s="415"/>
      <c r="AG584" s="416"/>
      <c r="AH584" s="416"/>
      <c r="AM584" s="416"/>
      <c r="AQ584" s="416"/>
      <c r="AR584" s="426" t="s">
        <v>1863</v>
      </c>
    </row>
    <row r="585" spans="1:45" customFormat="1" ht="14.4" x14ac:dyDescent="0.3">
      <c r="A585" s="474"/>
      <c r="B585" s="425"/>
      <c r="C585" s="907" t="s">
        <v>1865</v>
      </c>
      <c r="D585" s="907"/>
      <c r="E585" s="907"/>
      <c r="F585" s="907"/>
      <c r="G585" s="907"/>
      <c r="H585" s="907"/>
      <c r="I585" s="907"/>
      <c r="J585" s="907"/>
      <c r="K585" s="907"/>
      <c r="L585" s="475">
        <v>28187.8</v>
      </c>
      <c r="M585" s="476"/>
      <c r="N585" s="479"/>
      <c r="R585" s="3"/>
      <c r="S585" s="3"/>
      <c r="AF585" s="415"/>
      <c r="AG585" s="416"/>
      <c r="AH585" s="416"/>
      <c r="AM585" s="416"/>
      <c r="AQ585" s="416"/>
      <c r="AR585" s="426" t="s">
        <v>1865</v>
      </c>
    </row>
    <row r="586" spans="1:45" customFormat="1" ht="14.4" x14ac:dyDescent="0.3">
      <c r="A586" s="474"/>
      <c r="B586" s="425"/>
      <c r="C586" s="907" t="s">
        <v>1867</v>
      </c>
      <c r="D586" s="907"/>
      <c r="E586" s="907"/>
      <c r="F586" s="907"/>
      <c r="G586" s="907"/>
      <c r="H586" s="907"/>
      <c r="I586" s="907"/>
      <c r="J586" s="907"/>
      <c r="K586" s="907"/>
      <c r="L586" s="475">
        <v>44911.56</v>
      </c>
      <c r="M586" s="476"/>
      <c r="N586" s="479"/>
      <c r="R586" s="3"/>
      <c r="S586" s="3"/>
      <c r="AF586" s="415"/>
      <c r="AG586" s="416"/>
      <c r="AH586" s="416"/>
      <c r="AM586" s="416"/>
      <c r="AQ586" s="416"/>
      <c r="AR586" s="426" t="s">
        <v>1867</v>
      </c>
    </row>
    <row r="587" spans="1:45" customFormat="1" ht="14.4" x14ac:dyDescent="0.3">
      <c r="A587" s="474"/>
      <c r="B587" s="425"/>
      <c r="C587" s="907" t="s">
        <v>1871</v>
      </c>
      <c r="D587" s="907"/>
      <c r="E587" s="907"/>
      <c r="F587" s="907"/>
      <c r="G587" s="907"/>
      <c r="H587" s="907"/>
      <c r="I587" s="907"/>
      <c r="J587" s="907"/>
      <c r="K587" s="907"/>
      <c r="L587" s="475">
        <v>230218.89</v>
      </c>
      <c r="M587" s="476"/>
      <c r="N587" s="479"/>
      <c r="R587" s="3"/>
      <c r="S587" s="3"/>
      <c r="AF587" s="415"/>
      <c r="AG587" s="416"/>
      <c r="AH587" s="416"/>
      <c r="AM587" s="416"/>
      <c r="AQ587" s="416"/>
      <c r="AR587" s="426" t="s">
        <v>1871</v>
      </c>
    </row>
    <row r="588" spans="1:45" customFormat="1" ht="14.4" x14ac:dyDescent="0.3">
      <c r="A588" s="474"/>
      <c r="B588" s="425"/>
      <c r="C588" s="907" t="s">
        <v>1872</v>
      </c>
      <c r="D588" s="907"/>
      <c r="E588" s="907"/>
      <c r="F588" s="907"/>
      <c r="G588" s="907"/>
      <c r="H588" s="907"/>
      <c r="I588" s="907"/>
      <c r="J588" s="907"/>
      <c r="K588" s="907"/>
      <c r="L588" s="475">
        <v>214653.45</v>
      </c>
      <c r="M588" s="476"/>
      <c r="N588" s="479"/>
      <c r="R588" s="3"/>
      <c r="S588" s="3"/>
      <c r="AF588" s="415"/>
      <c r="AG588" s="416"/>
      <c r="AH588" s="416"/>
      <c r="AM588" s="416"/>
      <c r="AQ588" s="416"/>
      <c r="AR588" s="426" t="s">
        <v>1872</v>
      </c>
    </row>
    <row r="589" spans="1:45" customFormat="1" ht="14.4" x14ac:dyDescent="0.3">
      <c r="A589" s="474"/>
      <c r="B589" s="425"/>
      <c r="C589" s="907" t="s">
        <v>1873</v>
      </c>
      <c r="D589" s="907"/>
      <c r="E589" s="907"/>
      <c r="F589" s="907"/>
      <c r="G589" s="907"/>
      <c r="H589" s="907"/>
      <c r="I589" s="907"/>
      <c r="J589" s="907"/>
      <c r="K589" s="907"/>
      <c r="L589" s="475">
        <v>124187.88</v>
      </c>
      <c r="M589" s="476"/>
      <c r="N589" s="479"/>
      <c r="R589" s="3"/>
      <c r="S589" s="3"/>
      <c r="AF589" s="415"/>
      <c r="AG589" s="416"/>
      <c r="AH589" s="416"/>
      <c r="AM589" s="416"/>
      <c r="AQ589" s="416"/>
      <c r="AR589" s="426" t="s">
        <v>1873</v>
      </c>
    </row>
    <row r="590" spans="1:45" customFormat="1" ht="14.4" x14ac:dyDescent="0.3">
      <c r="A590" s="474"/>
      <c r="B590" s="480"/>
      <c r="C590" s="924" t="s">
        <v>2079</v>
      </c>
      <c r="D590" s="924"/>
      <c r="E590" s="924"/>
      <c r="F590" s="924"/>
      <c r="G590" s="924"/>
      <c r="H590" s="924"/>
      <c r="I590" s="924"/>
      <c r="J590" s="924"/>
      <c r="K590" s="924"/>
      <c r="L590" s="481">
        <v>1748662.7</v>
      </c>
      <c r="M590" s="482"/>
      <c r="N590" s="495"/>
      <c r="R590" s="3"/>
      <c r="S590" s="3"/>
      <c r="AF590" s="415"/>
      <c r="AG590" s="416"/>
      <c r="AH590" s="416"/>
      <c r="AM590" s="416"/>
      <c r="AQ590" s="416"/>
      <c r="AS590" s="416" t="s">
        <v>2079</v>
      </c>
    </row>
    <row r="591" spans="1:45" customFormat="1" ht="14.4" x14ac:dyDescent="0.3">
      <c r="A591" s="910" t="s">
        <v>2080</v>
      </c>
      <c r="B591" s="911"/>
      <c r="C591" s="911"/>
      <c r="D591" s="911"/>
      <c r="E591" s="911"/>
      <c r="F591" s="911"/>
      <c r="G591" s="911"/>
      <c r="H591" s="911"/>
      <c r="I591" s="911"/>
      <c r="J591" s="911"/>
      <c r="K591" s="911"/>
      <c r="L591" s="911"/>
      <c r="M591" s="911"/>
      <c r="N591" s="912"/>
      <c r="R591" s="3"/>
      <c r="S591" s="3"/>
      <c r="AF591" s="415" t="s">
        <v>2080</v>
      </c>
      <c r="AG591" s="416"/>
      <c r="AH591" s="416"/>
      <c r="AM591" s="416"/>
      <c r="AQ591" s="416"/>
      <c r="AS591" s="416"/>
    </row>
    <row r="592" spans="1:45" customFormat="1" ht="31.8" x14ac:dyDescent="0.3">
      <c r="A592" s="417" t="s">
        <v>2081</v>
      </c>
      <c r="B592" s="418" t="s">
        <v>2082</v>
      </c>
      <c r="C592" s="916" t="s">
        <v>2083</v>
      </c>
      <c r="D592" s="916"/>
      <c r="E592" s="916"/>
      <c r="F592" s="419" t="s">
        <v>2060</v>
      </c>
      <c r="G592" s="420">
        <v>17.14</v>
      </c>
      <c r="H592" s="421">
        <v>1</v>
      </c>
      <c r="I592" s="448">
        <v>17.14</v>
      </c>
      <c r="J592" s="422"/>
      <c r="K592" s="420"/>
      <c r="L592" s="422"/>
      <c r="M592" s="420"/>
      <c r="N592" s="423"/>
      <c r="R592" s="3"/>
      <c r="S592" s="3"/>
      <c r="AF592" s="415"/>
      <c r="AG592" s="416"/>
      <c r="AH592" s="416" t="s">
        <v>2083</v>
      </c>
      <c r="AM592" s="416"/>
      <c r="AQ592" s="416"/>
      <c r="AS592" s="416"/>
    </row>
    <row r="593" spans="1:45" customFormat="1" ht="14.4" x14ac:dyDescent="0.3">
      <c r="A593" s="450"/>
      <c r="B593" s="451"/>
      <c r="C593" s="907" t="s">
        <v>2084</v>
      </c>
      <c r="D593" s="907"/>
      <c r="E593" s="907"/>
      <c r="F593" s="907"/>
      <c r="G593" s="907"/>
      <c r="H593" s="907"/>
      <c r="I593" s="907"/>
      <c r="J593" s="907"/>
      <c r="K593" s="907"/>
      <c r="L593" s="907"/>
      <c r="M593" s="907"/>
      <c r="N593" s="919"/>
      <c r="R593" s="3"/>
      <c r="S593" s="3"/>
      <c r="AF593" s="415"/>
      <c r="AG593" s="416"/>
      <c r="AH593" s="416"/>
      <c r="AI593" s="426" t="s">
        <v>2084</v>
      </c>
      <c r="AM593" s="416"/>
      <c r="AQ593" s="416"/>
      <c r="AS593" s="416"/>
    </row>
    <row r="594" spans="1:45" customFormat="1" ht="52.2" x14ac:dyDescent="0.3">
      <c r="A594" s="424"/>
      <c r="B594" s="425" t="s">
        <v>1703</v>
      </c>
      <c r="C594" s="917" t="s">
        <v>1704</v>
      </c>
      <c r="D594" s="917"/>
      <c r="E594" s="917"/>
      <c r="F594" s="917"/>
      <c r="G594" s="917"/>
      <c r="H594" s="917"/>
      <c r="I594" s="917"/>
      <c r="J594" s="917"/>
      <c r="K594" s="917"/>
      <c r="L594" s="917"/>
      <c r="M594" s="917"/>
      <c r="N594" s="918"/>
      <c r="R594" s="3"/>
      <c r="S594" s="3"/>
      <c r="AF594" s="415"/>
      <c r="AG594" s="416"/>
      <c r="AH594" s="416"/>
      <c r="AM594" s="416"/>
      <c r="AO594" s="426" t="s">
        <v>1704</v>
      </c>
      <c r="AQ594" s="416"/>
      <c r="AS594" s="416"/>
    </row>
    <row r="595" spans="1:45" customFormat="1" ht="14.4" x14ac:dyDescent="0.3">
      <c r="A595" s="427"/>
      <c r="B595" s="425" t="s">
        <v>758</v>
      </c>
      <c r="C595" s="907" t="s">
        <v>1705</v>
      </c>
      <c r="D595" s="907"/>
      <c r="E595" s="907"/>
      <c r="F595" s="428"/>
      <c r="G595" s="429"/>
      <c r="H595" s="429"/>
      <c r="I595" s="429"/>
      <c r="J595" s="432">
        <v>2751.21</v>
      </c>
      <c r="K595" s="431">
        <v>1.1499999999999999</v>
      </c>
      <c r="L595" s="432">
        <v>54229.1</v>
      </c>
      <c r="M595" s="431">
        <v>44.77</v>
      </c>
      <c r="N595" s="433">
        <v>2427836.81</v>
      </c>
      <c r="R595" s="3"/>
      <c r="S595" s="3"/>
      <c r="AF595" s="415"/>
      <c r="AG595" s="416"/>
      <c r="AH595" s="416"/>
      <c r="AJ595" s="426" t="s">
        <v>1705</v>
      </c>
      <c r="AM595" s="416"/>
      <c r="AQ595" s="416"/>
      <c r="AS595" s="416"/>
    </row>
    <row r="596" spans="1:45" customFormat="1" ht="14.4" x14ac:dyDescent="0.3">
      <c r="A596" s="427"/>
      <c r="B596" s="425" t="s">
        <v>761</v>
      </c>
      <c r="C596" s="907" t="s">
        <v>1718</v>
      </c>
      <c r="D596" s="907"/>
      <c r="E596" s="907"/>
      <c r="F596" s="428"/>
      <c r="G596" s="429"/>
      <c r="H596" s="429"/>
      <c r="I596" s="429"/>
      <c r="J596" s="430">
        <v>0.66</v>
      </c>
      <c r="K596" s="431">
        <v>1.1499999999999999</v>
      </c>
      <c r="L596" s="430">
        <v>13.01</v>
      </c>
      <c r="M596" s="431">
        <v>13.24</v>
      </c>
      <c r="N596" s="460">
        <v>172.25</v>
      </c>
      <c r="R596" s="3"/>
      <c r="S596" s="3"/>
      <c r="AF596" s="415"/>
      <c r="AG596" s="416"/>
      <c r="AH596" s="416"/>
      <c r="AJ596" s="426" t="s">
        <v>1718</v>
      </c>
      <c r="AM596" s="416"/>
      <c r="AQ596" s="416"/>
      <c r="AS596" s="416"/>
    </row>
    <row r="597" spans="1:45" customFormat="1" ht="14.4" x14ac:dyDescent="0.3">
      <c r="A597" s="427"/>
      <c r="B597" s="425" t="s">
        <v>1144</v>
      </c>
      <c r="C597" s="907" t="s">
        <v>1719</v>
      </c>
      <c r="D597" s="907"/>
      <c r="E597" s="907"/>
      <c r="F597" s="428"/>
      <c r="G597" s="429"/>
      <c r="H597" s="429"/>
      <c r="I597" s="429"/>
      <c r="J597" s="430">
        <v>0.12</v>
      </c>
      <c r="K597" s="431">
        <v>1.1499999999999999</v>
      </c>
      <c r="L597" s="430">
        <v>2.37</v>
      </c>
      <c r="M597" s="431">
        <v>44.77</v>
      </c>
      <c r="N597" s="460">
        <v>106.1</v>
      </c>
      <c r="R597" s="3"/>
      <c r="S597" s="3"/>
      <c r="AF597" s="415"/>
      <c r="AG597" s="416"/>
      <c r="AH597" s="416"/>
      <c r="AJ597" s="426" t="s">
        <v>1719</v>
      </c>
      <c r="AM597" s="416"/>
      <c r="AQ597" s="416"/>
      <c r="AS597" s="416"/>
    </row>
    <row r="598" spans="1:45" customFormat="1" ht="14.4" x14ac:dyDescent="0.3">
      <c r="A598" s="434"/>
      <c r="B598" s="425"/>
      <c r="C598" s="907" t="s">
        <v>1706</v>
      </c>
      <c r="D598" s="907"/>
      <c r="E598" s="907"/>
      <c r="F598" s="428" t="s">
        <v>1707</v>
      </c>
      <c r="G598" s="458">
        <v>346.5</v>
      </c>
      <c r="H598" s="431">
        <v>1.1499999999999999</v>
      </c>
      <c r="I598" s="453">
        <v>6829.8615</v>
      </c>
      <c r="J598" s="436"/>
      <c r="K598" s="429"/>
      <c r="L598" s="436"/>
      <c r="M598" s="429"/>
      <c r="N598" s="437"/>
      <c r="R598" s="3"/>
      <c r="S598" s="3"/>
      <c r="AF598" s="415"/>
      <c r="AG598" s="416"/>
      <c r="AH598" s="416"/>
      <c r="AK598" s="426" t="s">
        <v>1706</v>
      </c>
      <c r="AM598" s="416"/>
      <c r="AQ598" s="416"/>
      <c r="AS598" s="416"/>
    </row>
    <row r="599" spans="1:45" customFormat="1" ht="14.4" x14ac:dyDescent="0.3">
      <c r="A599" s="434"/>
      <c r="B599" s="425"/>
      <c r="C599" s="907" t="s">
        <v>1720</v>
      </c>
      <c r="D599" s="907"/>
      <c r="E599" s="907"/>
      <c r="F599" s="428" t="s">
        <v>1707</v>
      </c>
      <c r="G599" s="431">
        <v>0.01</v>
      </c>
      <c r="H599" s="431">
        <v>1.1499999999999999</v>
      </c>
      <c r="I599" s="459">
        <v>0.19711000000000001</v>
      </c>
      <c r="J599" s="436"/>
      <c r="K599" s="429"/>
      <c r="L599" s="436"/>
      <c r="M599" s="429"/>
      <c r="N599" s="437"/>
      <c r="R599" s="3"/>
      <c r="S599" s="3"/>
      <c r="AF599" s="415"/>
      <c r="AG599" s="416"/>
      <c r="AH599" s="416"/>
      <c r="AK599" s="426" t="s">
        <v>1720</v>
      </c>
      <c r="AM599" s="416"/>
      <c r="AQ599" s="416"/>
      <c r="AS599" s="416"/>
    </row>
    <row r="600" spans="1:45" customFormat="1" ht="14.4" x14ac:dyDescent="0.3">
      <c r="A600" s="427"/>
      <c r="B600" s="425"/>
      <c r="C600" s="908" t="s">
        <v>1708</v>
      </c>
      <c r="D600" s="908"/>
      <c r="E600" s="908"/>
      <c r="F600" s="438"/>
      <c r="G600" s="439"/>
      <c r="H600" s="439"/>
      <c r="I600" s="439"/>
      <c r="J600" s="441">
        <v>2751.87</v>
      </c>
      <c r="K600" s="439"/>
      <c r="L600" s="441">
        <v>54242.11</v>
      </c>
      <c r="M600" s="439"/>
      <c r="N600" s="442">
        <v>2428009.06</v>
      </c>
      <c r="R600" s="3"/>
      <c r="S600" s="3"/>
      <c r="AF600" s="415"/>
      <c r="AG600" s="416"/>
      <c r="AH600" s="416"/>
      <c r="AL600" s="426" t="s">
        <v>1708</v>
      </c>
      <c r="AM600" s="416"/>
      <c r="AQ600" s="416"/>
      <c r="AS600" s="416"/>
    </row>
    <row r="601" spans="1:45" customFormat="1" ht="14.4" x14ac:dyDescent="0.3">
      <c r="A601" s="434"/>
      <c r="B601" s="425"/>
      <c r="C601" s="907" t="s">
        <v>1709</v>
      </c>
      <c r="D601" s="907"/>
      <c r="E601" s="907"/>
      <c r="F601" s="428"/>
      <c r="G601" s="429"/>
      <c r="H601" s="429"/>
      <c r="I601" s="429"/>
      <c r="J601" s="436"/>
      <c r="K601" s="429"/>
      <c r="L601" s="432">
        <v>54231.47</v>
      </c>
      <c r="M601" s="429"/>
      <c r="N601" s="433">
        <v>2427942.91</v>
      </c>
      <c r="R601" s="3"/>
      <c r="S601" s="3"/>
      <c r="AF601" s="415"/>
      <c r="AG601" s="416"/>
      <c r="AH601" s="416"/>
      <c r="AK601" s="426" t="s">
        <v>1709</v>
      </c>
      <c r="AM601" s="416"/>
      <c r="AQ601" s="416"/>
      <c r="AS601" s="416"/>
    </row>
    <row r="602" spans="1:45" customFormat="1" ht="21.6" x14ac:dyDescent="0.3">
      <c r="A602" s="434"/>
      <c r="B602" s="425" t="s">
        <v>2085</v>
      </c>
      <c r="C602" s="907" t="s">
        <v>2086</v>
      </c>
      <c r="D602" s="907"/>
      <c r="E602" s="907"/>
      <c r="F602" s="428" t="s">
        <v>1712</v>
      </c>
      <c r="G602" s="443">
        <v>87</v>
      </c>
      <c r="H602" s="429"/>
      <c r="I602" s="443">
        <v>87</v>
      </c>
      <c r="J602" s="436"/>
      <c r="K602" s="429"/>
      <c r="L602" s="432">
        <v>47181.38</v>
      </c>
      <c r="M602" s="429"/>
      <c r="N602" s="433">
        <v>2112310.33</v>
      </c>
      <c r="R602" s="3"/>
      <c r="S602" s="3"/>
      <c r="AF602" s="415"/>
      <c r="AG602" s="416"/>
      <c r="AH602" s="416"/>
      <c r="AK602" s="426" t="s">
        <v>2086</v>
      </c>
      <c r="AM602" s="416"/>
      <c r="AQ602" s="416"/>
      <c r="AS602" s="416"/>
    </row>
    <row r="603" spans="1:45" customFormat="1" ht="21.6" x14ac:dyDescent="0.3">
      <c r="A603" s="434"/>
      <c r="B603" s="425" t="s">
        <v>2087</v>
      </c>
      <c r="C603" s="907" t="s">
        <v>2088</v>
      </c>
      <c r="D603" s="907"/>
      <c r="E603" s="907"/>
      <c r="F603" s="428" t="s">
        <v>1712</v>
      </c>
      <c r="G603" s="443">
        <v>40</v>
      </c>
      <c r="H603" s="429"/>
      <c r="I603" s="443">
        <v>40</v>
      </c>
      <c r="J603" s="436"/>
      <c r="K603" s="429"/>
      <c r="L603" s="432">
        <v>21692.59</v>
      </c>
      <c r="M603" s="429"/>
      <c r="N603" s="433">
        <v>971177.16</v>
      </c>
      <c r="R603" s="3"/>
      <c r="S603" s="3"/>
      <c r="AF603" s="415"/>
      <c r="AG603" s="416"/>
      <c r="AH603" s="416"/>
      <c r="AK603" s="426" t="s">
        <v>2088</v>
      </c>
      <c r="AM603" s="416"/>
      <c r="AQ603" s="416"/>
      <c r="AS603" s="416"/>
    </row>
    <row r="604" spans="1:45" customFormat="1" ht="14.4" x14ac:dyDescent="0.3">
      <c r="A604" s="444"/>
      <c r="B604" s="445"/>
      <c r="C604" s="916" t="s">
        <v>1715</v>
      </c>
      <c r="D604" s="916"/>
      <c r="E604" s="916"/>
      <c r="F604" s="419"/>
      <c r="G604" s="420"/>
      <c r="H604" s="420"/>
      <c r="I604" s="420"/>
      <c r="J604" s="422"/>
      <c r="K604" s="420"/>
      <c r="L604" s="446">
        <v>123116.08</v>
      </c>
      <c r="M604" s="439"/>
      <c r="N604" s="447">
        <v>5511496.5499999998</v>
      </c>
      <c r="R604" s="3"/>
      <c r="S604" s="3"/>
      <c r="AF604" s="415"/>
      <c r="AG604" s="416"/>
      <c r="AH604" s="416"/>
      <c r="AM604" s="416" t="s">
        <v>1715</v>
      </c>
      <c r="AQ604" s="416"/>
      <c r="AS604" s="416"/>
    </row>
    <row r="605" spans="1:45" customFormat="1" ht="21.6" x14ac:dyDescent="0.3">
      <c r="A605" s="417" t="s">
        <v>2089</v>
      </c>
      <c r="B605" s="418" t="s">
        <v>2090</v>
      </c>
      <c r="C605" s="916" t="s">
        <v>2091</v>
      </c>
      <c r="D605" s="916"/>
      <c r="E605" s="916"/>
      <c r="F605" s="419" t="s">
        <v>2060</v>
      </c>
      <c r="G605" s="420">
        <v>18.791</v>
      </c>
      <c r="H605" s="421">
        <v>1</v>
      </c>
      <c r="I605" s="452">
        <v>18.791</v>
      </c>
      <c r="J605" s="422"/>
      <c r="K605" s="420"/>
      <c r="L605" s="422"/>
      <c r="M605" s="420"/>
      <c r="N605" s="423"/>
      <c r="R605" s="3"/>
      <c r="S605" s="3"/>
      <c r="AF605" s="415"/>
      <c r="AG605" s="416"/>
      <c r="AH605" s="416" t="s">
        <v>2091</v>
      </c>
      <c r="AM605" s="416"/>
      <c r="AQ605" s="416"/>
      <c r="AS605" s="416"/>
    </row>
    <row r="606" spans="1:45" customFormat="1" ht="14.4" x14ac:dyDescent="0.3">
      <c r="A606" s="450"/>
      <c r="B606" s="451"/>
      <c r="C606" s="907" t="s">
        <v>2092</v>
      </c>
      <c r="D606" s="907"/>
      <c r="E606" s="907"/>
      <c r="F606" s="907"/>
      <c r="G606" s="907"/>
      <c r="H606" s="907"/>
      <c r="I606" s="907"/>
      <c r="J606" s="907"/>
      <c r="K606" s="907"/>
      <c r="L606" s="907"/>
      <c r="M606" s="907"/>
      <c r="N606" s="919"/>
      <c r="R606" s="3"/>
      <c r="S606" s="3"/>
      <c r="AF606" s="415"/>
      <c r="AG606" s="416"/>
      <c r="AH606" s="416"/>
      <c r="AI606" s="426" t="s">
        <v>2092</v>
      </c>
      <c r="AM606" s="416"/>
      <c r="AQ606" s="416"/>
      <c r="AS606" s="416"/>
    </row>
    <row r="607" spans="1:45" customFormat="1" ht="52.2" x14ac:dyDescent="0.3">
      <c r="A607" s="424"/>
      <c r="B607" s="425" t="s">
        <v>1703</v>
      </c>
      <c r="C607" s="917" t="s">
        <v>1704</v>
      </c>
      <c r="D607" s="917"/>
      <c r="E607" s="917"/>
      <c r="F607" s="917"/>
      <c r="G607" s="917"/>
      <c r="H607" s="917"/>
      <c r="I607" s="917"/>
      <c r="J607" s="917"/>
      <c r="K607" s="917"/>
      <c r="L607" s="917"/>
      <c r="M607" s="917"/>
      <c r="N607" s="918"/>
      <c r="R607" s="3"/>
      <c r="S607" s="3"/>
      <c r="AF607" s="415"/>
      <c r="AG607" s="416"/>
      <c r="AH607" s="416"/>
      <c r="AM607" s="416"/>
      <c r="AO607" s="426" t="s">
        <v>1704</v>
      </c>
      <c r="AQ607" s="416"/>
      <c r="AS607" s="416"/>
    </row>
    <row r="608" spans="1:45" customFormat="1" ht="14.4" x14ac:dyDescent="0.3">
      <c r="A608" s="427"/>
      <c r="B608" s="425" t="s">
        <v>758</v>
      </c>
      <c r="C608" s="907" t="s">
        <v>1705</v>
      </c>
      <c r="D608" s="907"/>
      <c r="E608" s="907"/>
      <c r="F608" s="428"/>
      <c r="G608" s="429"/>
      <c r="H608" s="429"/>
      <c r="I608" s="429"/>
      <c r="J608" s="430">
        <v>106.88</v>
      </c>
      <c r="K608" s="431">
        <v>1.1499999999999999</v>
      </c>
      <c r="L608" s="432">
        <v>2309.64</v>
      </c>
      <c r="M608" s="431">
        <v>44.77</v>
      </c>
      <c r="N608" s="433">
        <v>103402.58</v>
      </c>
      <c r="R608" s="3"/>
      <c r="S608" s="3"/>
      <c r="AF608" s="415"/>
      <c r="AG608" s="416"/>
      <c r="AH608" s="416"/>
      <c r="AJ608" s="426" t="s">
        <v>1705</v>
      </c>
      <c r="AM608" s="416"/>
      <c r="AQ608" s="416"/>
      <c r="AS608" s="416"/>
    </row>
    <row r="609" spans="1:45" customFormat="1" ht="14.4" x14ac:dyDescent="0.3">
      <c r="A609" s="427"/>
      <c r="B609" s="425" t="s">
        <v>761</v>
      </c>
      <c r="C609" s="907" t="s">
        <v>1718</v>
      </c>
      <c r="D609" s="907"/>
      <c r="E609" s="907"/>
      <c r="F609" s="428"/>
      <c r="G609" s="429"/>
      <c r="H609" s="429"/>
      <c r="I609" s="429"/>
      <c r="J609" s="430">
        <v>241.58</v>
      </c>
      <c r="K609" s="431">
        <v>1.1499999999999999</v>
      </c>
      <c r="L609" s="432">
        <v>5220.46</v>
      </c>
      <c r="M609" s="431">
        <v>13.24</v>
      </c>
      <c r="N609" s="433">
        <v>69118.89</v>
      </c>
      <c r="R609" s="3"/>
      <c r="S609" s="3"/>
      <c r="AF609" s="415"/>
      <c r="AG609" s="416"/>
      <c r="AH609" s="416"/>
      <c r="AJ609" s="426" t="s">
        <v>1718</v>
      </c>
      <c r="AM609" s="416"/>
      <c r="AQ609" s="416"/>
      <c r="AS609" s="416"/>
    </row>
    <row r="610" spans="1:45" customFormat="1" ht="14.4" x14ac:dyDescent="0.3">
      <c r="A610" s="427"/>
      <c r="B610" s="425" t="s">
        <v>1144</v>
      </c>
      <c r="C610" s="907" t="s">
        <v>1719</v>
      </c>
      <c r="D610" s="907"/>
      <c r="E610" s="907"/>
      <c r="F610" s="428"/>
      <c r="G610" s="429"/>
      <c r="H610" s="429"/>
      <c r="I610" s="429"/>
      <c r="J610" s="430">
        <v>26.36</v>
      </c>
      <c r="K610" s="431">
        <v>1.1499999999999999</v>
      </c>
      <c r="L610" s="430">
        <v>569.63</v>
      </c>
      <c r="M610" s="431">
        <v>44.77</v>
      </c>
      <c r="N610" s="433">
        <v>25502.34</v>
      </c>
      <c r="R610" s="3"/>
      <c r="S610" s="3"/>
      <c r="AF610" s="415"/>
      <c r="AG610" s="416"/>
      <c r="AH610" s="416"/>
      <c r="AJ610" s="426" t="s">
        <v>1719</v>
      </c>
      <c r="AM610" s="416"/>
      <c r="AQ610" s="416"/>
      <c r="AS610" s="416"/>
    </row>
    <row r="611" spans="1:45" customFormat="1" ht="14.4" x14ac:dyDescent="0.3">
      <c r="A611" s="434"/>
      <c r="B611" s="425"/>
      <c r="C611" s="907" t="s">
        <v>1706</v>
      </c>
      <c r="D611" s="907"/>
      <c r="E611" s="907"/>
      <c r="F611" s="428" t="s">
        <v>1707</v>
      </c>
      <c r="G611" s="431">
        <v>12.53</v>
      </c>
      <c r="H611" s="431">
        <v>1.1499999999999999</v>
      </c>
      <c r="I611" s="454">
        <v>270.76891449999999</v>
      </c>
      <c r="J611" s="436"/>
      <c r="K611" s="429"/>
      <c r="L611" s="436"/>
      <c r="M611" s="429"/>
      <c r="N611" s="437"/>
      <c r="R611" s="3"/>
      <c r="S611" s="3"/>
      <c r="AF611" s="415"/>
      <c r="AG611" s="416"/>
      <c r="AH611" s="416"/>
      <c r="AK611" s="426" t="s">
        <v>1706</v>
      </c>
      <c r="AM611" s="416"/>
      <c r="AQ611" s="416"/>
      <c r="AS611" s="416"/>
    </row>
    <row r="612" spans="1:45" customFormat="1" ht="14.4" x14ac:dyDescent="0.3">
      <c r="A612" s="434"/>
      <c r="B612" s="425"/>
      <c r="C612" s="907" t="s">
        <v>1720</v>
      </c>
      <c r="D612" s="907"/>
      <c r="E612" s="907"/>
      <c r="F612" s="428" t="s">
        <v>1707</v>
      </c>
      <c r="G612" s="431">
        <v>2.62</v>
      </c>
      <c r="H612" s="431">
        <v>1.1499999999999999</v>
      </c>
      <c r="I612" s="457">
        <v>56.617283</v>
      </c>
      <c r="J612" s="436"/>
      <c r="K612" s="429"/>
      <c r="L612" s="436"/>
      <c r="M612" s="429"/>
      <c r="N612" s="437"/>
      <c r="R612" s="3"/>
      <c r="S612" s="3"/>
      <c r="AF612" s="415"/>
      <c r="AG612" s="416"/>
      <c r="AH612" s="416"/>
      <c r="AK612" s="426" t="s">
        <v>1720</v>
      </c>
      <c r="AM612" s="416"/>
      <c r="AQ612" s="416"/>
      <c r="AS612" s="416"/>
    </row>
    <row r="613" spans="1:45" customFormat="1" ht="14.4" x14ac:dyDescent="0.3">
      <c r="A613" s="427"/>
      <c r="B613" s="425"/>
      <c r="C613" s="908" t="s">
        <v>1708</v>
      </c>
      <c r="D613" s="908"/>
      <c r="E613" s="908"/>
      <c r="F613" s="438"/>
      <c r="G613" s="439"/>
      <c r="H613" s="439"/>
      <c r="I613" s="439"/>
      <c r="J613" s="440">
        <v>348.46</v>
      </c>
      <c r="K613" s="439"/>
      <c r="L613" s="441">
        <v>7530.1</v>
      </c>
      <c r="M613" s="439"/>
      <c r="N613" s="442">
        <v>172521.47</v>
      </c>
      <c r="R613" s="3"/>
      <c r="S613" s="3"/>
      <c r="AF613" s="415"/>
      <c r="AG613" s="416"/>
      <c r="AH613" s="416"/>
      <c r="AL613" s="426" t="s">
        <v>1708</v>
      </c>
      <c r="AM613" s="416"/>
      <c r="AQ613" s="416"/>
      <c r="AS613" s="416"/>
    </row>
    <row r="614" spans="1:45" customFormat="1" ht="14.4" x14ac:dyDescent="0.3">
      <c r="A614" s="434"/>
      <c r="B614" s="425"/>
      <c r="C614" s="907" t="s">
        <v>1709</v>
      </c>
      <c r="D614" s="907"/>
      <c r="E614" s="907"/>
      <c r="F614" s="428"/>
      <c r="G614" s="429"/>
      <c r="H614" s="429"/>
      <c r="I614" s="429"/>
      <c r="J614" s="436"/>
      <c r="K614" s="429"/>
      <c r="L614" s="432">
        <v>2879.27</v>
      </c>
      <c r="M614" s="429"/>
      <c r="N614" s="433">
        <v>128904.92</v>
      </c>
      <c r="R614" s="3"/>
      <c r="S614" s="3"/>
      <c r="AF614" s="415"/>
      <c r="AG614" s="416"/>
      <c r="AH614" s="416"/>
      <c r="AK614" s="426" t="s">
        <v>1709</v>
      </c>
      <c r="AM614" s="416"/>
      <c r="AQ614" s="416"/>
      <c r="AS614" s="416"/>
    </row>
    <row r="615" spans="1:45" customFormat="1" ht="21.6" x14ac:dyDescent="0.3">
      <c r="A615" s="434"/>
      <c r="B615" s="425" t="s">
        <v>1802</v>
      </c>
      <c r="C615" s="907" t="s">
        <v>1803</v>
      </c>
      <c r="D615" s="907"/>
      <c r="E615" s="907"/>
      <c r="F615" s="428" t="s">
        <v>1712</v>
      </c>
      <c r="G615" s="443">
        <v>92</v>
      </c>
      <c r="H615" s="429"/>
      <c r="I615" s="443">
        <v>92</v>
      </c>
      <c r="J615" s="436"/>
      <c r="K615" s="429"/>
      <c r="L615" s="432">
        <v>2648.93</v>
      </c>
      <c r="M615" s="429"/>
      <c r="N615" s="433">
        <v>118592.53</v>
      </c>
      <c r="R615" s="3"/>
      <c r="S615" s="3"/>
      <c r="AF615" s="415"/>
      <c r="AG615" s="416"/>
      <c r="AH615" s="416"/>
      <c r="AK615" s="426" t="s">
        <v>1803</v>
      </c>
      <c r="AM615" s="416"/>
      <c r="AQ615" s="416"/>
      <c r="AS615" s="416"/>
    </row>
    <row r="616" spans="1:45" customFormat="1" ht="21.6" x14ac:dyDescent="0.3">
      <c r="A616" s="434"/>
      <c r="B616" s="425" t="s">
        <v>1804</v>
      </c>
      <c r="C616" s="907" t="s">
        <v>1805</v>
      </c>
      <c r="D616" s="907"/>
      <c r="E616" s="907"/>
      <c r="F616" s="428" t="s">
        <v>1712</v>
      </c>
      <c r="G616" s="443">
        <v>46</v>
      </c>
      <c r="H616" s="429"/>
      <c r="I616" s="443">
        <v>46</v>
      </c>
      <c r="J616" s="436"/>
      <c r="K616" s="429"/>
      <c r="L616" s="432">
        <v>1324.46</v>
      </c>
      <c r="M616" s="429"/>
      <c r="N616" s="433">
        <v>59296.26</v>
      </c>
      <c r="R616" s="3"/>
      <c r="S616" s="3"/>
      <c r="AF616" s="415"/>
      <c r="AG616" s="416"/>
      <c r="AH616" s="416"/>
      <c r="AK616" s="426" t="s">
        <v>1805</v>
      </c>
      <c r="AM616" s="416"/>
      <c r="AQ616" s="416"/>
      <c r="AS616" s="416"/>
    </row>
    <row r="617" spans="1:45" customFormat="1" ht="14.4" x14ac:dyDescent="0.3">
      <c r="A617" s="444"/>
      <c r="B617" s="445"/>
      <c r="C617" s="916" t="s">
        <v>1715</v>
      </c>
      <c r="D617" s="916"/>
      <c r="E617" s="916"/>
      <c r="F617" s="419"/>
      <c r="G617" s="420"/>
      <c r="H617" s="420"/>
      <c r="I617" s="420"/>
      <c r="J617" s="422"/>
      <c r="K617" s="420"/>
      <c r="L617" s="446">
        <v>11503.49</v>
      </c>
      <c r="M617" s="439"/>
      <c r="N617" s="447">
        <v>350410.26</v>
      </c>
      <c r="R617" s="3"/>
      <c r="S617" s="3"/>
      <c r="AF617" s="415"/>
      <c r="AG617" s="416"/>
      <c r="AH617" s="416"/>
      <c r="AM617" s="416" t="s">
        <v>1715</v>
      </c>
      <c r="AQ617" s="416"/>
      <c r="AS617" s="416"/>
    </row>
    <row r="618" spans="1:45" customFormat="1" ht="0" hidden="1" customHeight="1" x14ac:dyDescent="0.3">
      <c r="A618" s="462"/>
      <c r="B618" s="463"/>
      <c r="C618" s="463"/>
      <c r="D618" s="463"/>
      <c r="E618" s="463"/>
      <c r="F618" s="464"/>
      <c r="G618" s="464"/>
      <c r="H618" s="464"/>
      <c r="I618" s="464"/>
      <c r="J618" s="465"/>
      <c r="K618" s="464"/>
      <c r="L618" s="465"/>
      <c r="M618" s="429"/>
      <c r="N618" s="465"/>
      <c r="R618" s="3"/>
      <c r="S618" s="3"/>
      <c r="AF618" s="415"/>
      <c r="AG618" s="416"/>
      <c r="AH618" s="416"/>
      <c r="AM618" s="416"/>
      <c r="AQ618" s="416"/>
      <c r="AS618" s="416"/>
    </row>
    <row r="619" spans="1:45" customFormat="1" ht="14.4" x14ac:dyDescent="0.3">
      <c r="A619" s="469"/>
      <c r="B619" s="470"/>
      <c r="C619" s="916" t="s">
        <v>2093</v>
      </c>
      <c r="D619" s="916"/>
      <c r="E619" s="916"/>
      <c r="F619" s="916"/>
      <c r="G619" s="916"/>
      <c r="H619" s="916"/>
      <c r="I619" s="916"/>
      <c r="J619" s="916"/>
      <c r="K619" s="916"/>
      <c r="L619" s="471"/>
      <c r="M619" s="472"/>
      <c r="N619" s="473"/>
      <c r="R619" s="3"/>
      <c r="S619" s="3"/>
      <c r="AF619" s="415"/>
      <c r="AG619" s="416"/>
      <c r="AH619" s="416"/>
      <c r="AM619" s="416"/>
      <c r="AQ619" s="416" t="s">
        <v>2093</v>
      </c>
      <c r="AS619" s="416"/>
    </row>
    <row r="620" spans="1:45" customFormat="1" ht="14.4" x14ac:dyDescent="0.3">
      <c r="A620" s="474"/>
      <c r="B620" s="425"/>
      <c r="C620" s="907" t="s">
        <v>1855</v>
      </c>
      <c r="D620" s="907"/>
      <c r="E620" s="907"/>
      <c r="F620" s="907"/>
      <c r="G620" s="907"/>
      <c r="H620" s="907"/>
      <c r="I620" s="907"/>
      <c r="J620" s="907"/>
      <c r="K620" s="907"/>
      <c r="L620" s="475">
        <v>61772.21</v>
      </c>
      <c r="M620" s="476"/>
      <c r="N620" s="479"/>
      <c r="R620" s="3"/>
      <c r="S620" s="3"/>
      <c r="AF620" s="415"/>
      <c r="AG620" s="416"/>
      <c r="AH620" s="416"/>
      <c r="AM620" s="416"/>
      <c r="AQ620" s="416"/>
      <c r="AR620" s="426" t="s">
        <v>1855</v>
      </c>
      <c r="AS620" s="416"/>
    </row>
    <row r="621" spans="1:45" customFormat="1" ht="14.4" x14ac:dyDescent="0.3">
      <c r="A621" s="474"/>
      <c r="B621" s="425"/>
      <c r="C621" s="907" t="s">
        <v>1856</v>
      </c>
      <c r="D621" s="907"/>
      <c r="E621" s="907"/>
      <c r="F621" s="907"/>
      <c r="G621" s="907"/>
      <c r="H621" s="907"/>
      <c r="I621" s="907"/>
      <c r="J621" s="907"/>
      <c r="K621" s="907"/>
      <c r="L621" s="478"/>
      <c r="M621" s="476"/>
      <c r="N621" s="479"/>
      <c r="R621" s="3"/>
      <c r="S621" s="3"/>
      <c r="AF621" s="415"/>
      <c r="AG621" s="416"/>
      <c r="AH621" s="416"/>
      <c r="AM621" s="416"/>
      <c r="AQ621" s="416"/>
      <c r="AR621" s="426" t="s">
        <v>1856</v>
      </c>
      <c r="AS621" s="416"/>
    </row>
    <row r="622" spans="1:45" customFormat="1" ht="14.4" x14ac:dyDescent="0.3">
      <c r="A622" s="474"/>
      <c r="B622" s="425"/>
      <c r="C622" s="907" t="s">
        <v>1857</v>
      </c>
      <c r="D622" s="907"/>
      <c r="E622" s="907"/>
      <c r="F622" s="907"/>
      <c r="G622" s="907"/>
      <c r="H622" s="907"/>
      <c r="I622" s="907"/>
      <c r="J622" s="907"/>
      <c r="K622" s="907"/>
      <c r="L622" s="475">
        <v>56538.74</v>
      </c>
      <c r="M622" s="476"/>
      <c r="N622" s="479"/>
      <c r="R622" s="3"/>
      <c r="S622" s="3"/>
      <c r="AF622" s="415"/>
      <c r="AG622" s="416"/>
      <c r="AH622" s="416"/>
      <c r="AM622" s="416"/>
      <c r="AQ622" s="416"/>
      <c r="AR622" s="426" t="s">
        <v>1857</v>
      </c>
      <c r="AS622" s="416"/>
    </row>
    <row r="623" spans="1:45" customFormat="1" ht="14.4" x14ac:dyDescent="0.3">
      <c r="A623" s="474"/>
      <c r="B623" s="425"/>
      <c r="C623" s="907" t="s">
        <v>1858</v>
      </c>
      <c r="D623" s="907"/>
      <c r="E623" s="907"/>
      <c r="F623" s="907"/>
      <c r="G623" s="907"/>
      <c r="H623" s="907"/>
      <c r="I623" s="907"/>
      <c r="J623" s="907"/>
      <c r="K623" s="907"/>
      <c r="L623" s="475">
        <v>5233.47</v>
      </c>
      <c r="M623" s="476"/>
      <c r="N623" s="479"/>
      <c r="R623" s="3"/>
      <c r="S623" s="3"/>
      <c r="AF623" s="415"/>
      <c r="AG623" s="416"/>
      <c r="AH623" s="416"/>
      <c r="AM623" s="416"/>
      <c r="AQ623" s="416"/>
      <c r="AR623" s="426" t="s">
        <v>1858</v>
      </c>
      <c r="AS623" s="416"/>
    </row>
    <row r="624" spans="1:45" customFormat="1" ht="14.4" x14ac:dyDescent="0.3">
      <c r="A624" s="474"/>
      <c r="B624" s="425"/>
      <c r="C624" s="907" t="s">
        <v>1859</v>
      </c>
      <c r="D624" s="907"/>
      <c r="E624" s="907"/>
      <c r="F624" s="907"/>
      <c r="G624" s="907"/>
      <c r="H624" s="907"/>
      <c r="I624" s="907"/>
      <c r="J624" s="907"/>
      <c r="K624" s="907"/>
      <c r="L624" s="496">
        <v>572</v>
      </c>
      <c r="M624" s="476"/>
      <c r="N624" s="479"/>
      <c r="R624" s="3"/>
      <c r="S624" s="3"/>
      <c r="AF624" s="415"/>
      <c r="AG624" s="416"/>
      <c r="AH624" s="416"/>
      <c r="AM624" s="416"/>
      <c r="AQ624" s="416"/>
      <c r="AR624" s="426" t="s">
        <v>1859</v>
      </c>
      <c r="AS624" s="416"/>
    </row>
    <row r="625" spans="1:47" customFormat="1" ht="14.4" x14ac:dyDescent="0.3">
      <c r="A625" s="474"/>
      <c r="B625" s="425"/>
      <c r="C625" s="907" t="s">
        <v>1861</v>
      </c>
      <c r="D625" s="907"/>
      <c r="E625" s="907"/>
      <c r="F625" s="907"/>
      <c r="G625" s="907"/>
      <c r="H625" s="907"/>
      <c r="I625" s="907"/>
      <c r="J625" s="907"/>
      <c r="K625" s="907"/>
      <c r="L625" s="475">
        <v>134619.57</v>
      </c>
      <c r="M625" s="476"/>
      <c r="N625" s="479"/>
      <c r="R625" s="3"/>
      <c r="S625" s="3"/>
      <c r="AF625" s="415"/>
      <c r="AG625" s="416"/>
      <c r="AH625" s="416"/>
      <c r="AM625" s="416"/>
      <c r="AQ625" s="416"/>
      <c r="AR625" s="426" t="s">
        <v>1861</v>
      </c>
      <c r="AS625" s="416"/>
    </row>
    <row r="626" spans="1:47" customFormat="1" ht="14.4" x14ac:dyDescent="0.3">
      <c r="A626" s="474"/>
      <c r="B626" s="425"/>
      <c r="C626" s="907" t="s">
        <v>1856</v>
      </c>
      <c r="D626" s="907"/>
      <c r="E626" s="907"/>
      <c r="F626" s="907"/>
      <c r="G626" s="907"/>
      <c r="H626" s="907"/>
      <c r="I626" s="907"/>
      <c r="J626" s="907"/>
      <c r="K626" s="907"/>
      <c r="L626" s="478"/>
      <c r="M626" s="476"/>
      <c r="N626" s="479"/>
      <c r="R626" s="3"/>
      <c r="S626" s="3"/>
      <c r="AF626" s="415"/>
      <c r="AG626" s="416"/>
      <c r="AH626" s="416"/>
      <c r="AM626" s="416"/>
      <c r="AQ626" s="416"/>
      <c r="AR626" s="426" t="s">
        <v>1856</v>
      </c>
      <c r="AS626" s="416"/>
    </row>
    <row r="627" spans="1:47" customFormat="1" ht="14.4" x14ac:dyDescent="0.3">
      <c r="A627" s="474"/>
      <c r="B627" s="425"/>
      <c r="C627" s="907" t="s">
        <v>2094</v>
      </c>
      <c r="D627" s="907"/>
      <c r="E627" s="907"/>
      <c r="F627" s="907"/>
      <c r="G627" s="907"/>
      <c r="H627" s="907"/>
      <c r="I627" s="907"/>
      <c r="J627" s="907"/>
      <c r="K627" s="907"/>
      <c r="L627" s="475">
        <v>56538.74</v>
      </c>
      <c r="M627" s="476"/>
      <c r="N627" s="479"/>
      <c r="R627" s="3"/>
      <c r="S627" s="3"/>
      <c r="AF627" s="415"/>
      <c r="AG627" s="416"/>
      <c r="AH627" s="416"/>
      <c r="AM627" s="416"/>
      <c r="AQ627" s="416"/>
      <c r="AR627" s="426" t="s">
        <v>2094</v>
      </c>
      <c r="AS627" s="416"/>
    </row>
    <row r="628" spans="1:47" customFormat="1" ht="14.4" x14ac:dyDescent="0.3">
      <c r="A628" s="474"/>
      <c r="B628" s="425"/>
      <c r="C628" s="907" t="s">
        <v>2095</v>
      </c>
      <c r="D628" s="907"/>
      <c r="E628" s="907"/>
      <c r="F628" s="907"/>
      <c r="G628" s="907"/>
      <c r="H628" s="907"/>
      <c r="I628" s="907"/>
      <c r="J628" s="907"/>
      <c r="K628" s="907"/>
      <c r="L628" s="475">
        <v>5233.47</v>
      </c>
      <c r="M628" s="476"/>
      <c r="N628" s="479"/>
      <c r="R628" s="3"/>
      <c r="S628" s="3"/>
      <c r="AF628" s="415"/>
      <c r="AG628" s="416"/>
      <c r="AH628" s="416"/>
      <c r="AM628" s="416"/>
      <c r="AQ628" s="416"/>
      <c r="AR628" s="426" t="s">
        <v>2095</v>
      </c>
      <c r="AS628" s="416"/>
    </row>
    <row r="629" spans="1:47" customFormat="1" ht="14.4" x14ac:dyDescent="0.3">
      <c r="A629" s="474"/>
      <c r="B629" s="425"/>
      <c r="C629" s="907" t="s">
        <v>2096</v>
      </c>
      <c r="D629" s="907"/>
      <c r="E629" s="907"/>
      <c r="F629" s="907"/>
      <c r="G629" s="907"/>
      <c r="H629" s="907"/>
      <c r="I629" s="907"/>
      <c r="J629" s="907"/>
      <c r="K629" s="907"/>
      <c r="L629" s="496">
        <v>572</v>
      </c>
      <c r="M629" s="476"/>
      <c r="N629" s="479"/>
      <c r="R629" s="3"/>
      <c r="S629" s="3"/>
      <c r="AF629" s="415"/>
      <c r="AG629" s="416"/>
      <c r="AH629" s="416"/>
      <c r="AM629" s="416"/>
      <c r="AQ629" s="416"/>
      <c r="AR629" s="426" t="s">
        <v>2096</v>
      </c>
      <c r="AS629" s="416"/>
    </row>
    <row r="630" spans="1:47" customFormat="1" ht="14.4" x14ac:dyDescent="0.3">
      <c r="A630" s="474"/>
      <c r="B630" s="425"/>
      <c r="C630" s="907" t="s">
        <v>2097</v>
      </c>
      <c r="D630" s="907"/>
      <c r="E630" s="907"/>
      <c r="F630" s="907"/>
      <c r="G630" s="907"/>
      <c r="H630" s="907"/>
      <c r="I630" s="907"/>
      <c r="J630" s="907"/>
      <c r="K630" s="907"/>
      <c r="L630" s="475">
        <v>49830.31</v>
      </c>
      <c r="M630" s="476"/>
      <c r="N630" s="479"/>
      <c r="R630" s="3"/>
      <c r="S630" s="3"/>
      <c r="AF630" s="415"/>
      <c r="AG630" s="416"/>
      <c r="AH630" s="416"/>
      <c r="AM630" s="416"/>
      <c r="AQ630" s="416"/>
      <c r="AR630" s="426" t="s">
        <v>2097</v>
      </c>
      <c r="AS630" s="416"/>
    </row>
    <row r="631" spans="1:47" customFormat="1" ht="14.4" x14ac:dyDescent="0.3">
      <c r="A631" s="474"/>
      <c r="B631" s="425"/>
      <c r="C631" s="907" t="s">
        <v>2098</v>
      </c>
      <c r="D631" s="907"/>
      <c r="E631" s="907"/>
      <c r="F631" s="907"/>
      <c r="G631" s="907"/>
      <c r="H631" s="907"/>
      <c r="I631" s="907"/>
      <c r="J631" s="907"/>
      <c r="K631" s="907"/>
      <c r="L631" s="475">
        <v>23017.05</v>
      </c>
      <c r="M631" s="476"/>
      <c r="N631" s="479"/>
      <c r="R631" s="3"/>
      <c r="S631" s="3"/>
      <c r="AF631" s="415"/>
      <c r="AG631" s="416"/>
      <c r="AH631" s="416"/>
      <c r="AM631" s="416"/>
      <c r="AQ631" s="416"/>
      <c r="AR631" s="426" t="s">
        <v>2098</v>
      </c>
      <c r="AS631" s="416"/>
    </row>
    <row r="632" spans="1:47" customFormat="1" ht="14.4" x14ac:dyDescent="0.3">
      <c r="A632" s="474"/>
      <c r="B632" s="425"/>
      <c r="C632" s="907" t="s">
        <v>1871</v>
      </c>
      <c r="D632" s="907"/>
      <c r="E632" s="907"/>
      <c r="F632" s="907"/>
      <c r="G632" s="907"/>
      <c r="H632" s="907"/>
      <c r="I632" s="907"/>
      <c r="J632" s="907"/>
      <c r="K632" s="907"/>
      <c r="L632" s="475">
        <v>57110.74</v>
      </c>
      <c r="M632" s="476"/>
      <c r="N632" s="479"/>
      <c r="R632" s="3"/>
      <c r="S632" s="3"/>
      <c r="AF632" s="415"/>
      <c r="AG632" s="416"/>
      <c r="AH632" s="416"/>
      <c r="AM632" s="416"/>
      <c r="AQ632" s="416"/>
      <c r="AR632" s="426" t="s">
        <v>1871</v>
      </c>
      <c r="AS632" s="416"/>
    </row>
    <row r="633" spans="1:47" customFormat="1" ht="14.4" x14ac:dyDescent="0.3">
      <c r="A633" s="474"/>
      <c r="B633" s="425"/>
      <c r="C633" s="907" t="s">
        <v>1872</v>
      </c>
      <c r="D633" s="907"/>
      <c r="E633" s="907"/>
      <c r="F633" s="907"/>
      <c r="G633" s="907"/>
      <c r="H633" s="907"/>
      <c r="I633" s="907"/>
      <c r="J633" s="907"/>
      <c r="K633" s="907"/>
      <c r="L633" s="475">
        <v>49830.31</v>
      </c>
      <c r="M633" s="476"/>
      <c r="N633" s="479"/>
      <c r="R633" s="3"/>
      <c r="S633" s="3"/>
      <c r="AF633" s="415"/>
      <c r="AG633" s="416"/>
      <c r="AH633" s="416"/>
      <c r="AM633" s="416"/>
      <c r="AQ633" s="416"/>
      <c r="AR633" s="426" t="s">
        <v>1872</v>
      </c>
      <c r="AS633" s="416"/>
    </row>
    <row r="634" spans="1:47" customFormat="1" ht="14.4" x14ac:dyDescent="0.3">
      <c r="A634" s="474"/>
      <c r="B634" s="425"/>
      <c r="C634" s="907" t="s">
        <v>1873</v>
      </c>
      <c r="D634" s="907"/>
      <c r="E634" s="907"/>
      <c r="F634" s="907"/>
      <c r="G634" s="907"/>
      <c r="H634" s="907"/>
      <c r="I634" s="907"/>
      <c r="J634" s="907"/>
      <c r="K634" s="907"/>
      <c r="L634" s="475">
        <v>23017.05</v>
      </c>
      <c r="M634" s="476"/>
      <c r="N634" s="479"/>
      <c r="R634" s="3"/>
      <c r="S634" s="3"/>
      <c r="AF634" s="415"/>
      <c r="AG634" s="416"/>
      <c r="AH634" s="416"/>
      <c r="AM634" s="416"/>
      <c r="AQ634" s="416"/>
      <c r="AR634" s="426" t="s">
        <v>1873</v>
      </c>
      <c r="AS634" s="416"/>
    </row>
    <row r="635" spans="1:47" customFormat="1" ht="14.4" x14ac:dyDescent="0.3">
      <c r="A635" s="474"/>
      <c r="B635" s="480"/>
      <c r="C635" s="924" t="s">
        <v>2099</v>
      </c>
      <c r="D635" s="924"/>
      <c r="E635" s="924"/>
      <c r="F635" s="924"/>
      <c r="G635" s="924"/>
      <c r="H635" s="924"/>
      <c r="I635" s="924"/>
      <c r="J635" s="924"/>
      <c r="K635" s="924"/>
      <c r="L635" s="481">
        <v>134619.57</v>
      </c>
      <c r="M635" s="482"/>
      <c r="N635" s="495"/>
      <c r="R635" s="3"/>
      <c r="S635" s="3"/>
      <c r="AF635" s="415"/>
      <c r="AG635" s="416"/>
      <c r="AH635" s="416"/>
      <c r="AM635" s="416"/>
      <c r="AQ635" s="416"/>
      <c r="AS635" s="416" t="s">
        <v>2099</v>
      </c>
    </row>
    <row r="636" spans="1:47" customFormat="1" ht="11.25" hidden="1" customHeight="1" x14ac:dyDescent="0.3">
      <c r="B636" s="466"/>
      <c r="C636" s="466"/>
      <c r="D636" s="466"/>
      <c r="E636" s="466"/>
      <c r="F636" s="466"/>
      <c r="G636" s="466"/>
      <c r="H636" s="466"/>
      <c r="I636" s="466"/>
      <c r="J636" s="466"/>
      <c r="K636" s="466"/>
      <c r="L636" s="467"/>
      <c r="M636" s="467"/>
      <c r="N636" s="467"/>
      <c r="R636" s="575"/>
      <c r="S636" s="3"/>
    </row>
    <row r="637" spans="1:47" customFormat="1" ht="14.4" x14ac:dyDescent="0.3">
      <c r="A637" s="469"/>
      <c r="B637" s="470"/>
      <c r="C637" s="916" t="s">
        <v>1854</v>
      </c>
      <c r="D637" s="916"/>
      <c r="E637" s="916"/>
      <c r="F637" s="916"/>
      <c r="G637" s="916"/>
      <c r="H637" s="916"/>
      <c r="I637" s="916"/>
      <c r="J637" s="916"/>
      <c r="K637" s="916"/>
      <c r="L637" s="471"/>
      <c r="M637" s="472"/>
      <c r="N637" s="473"/>
      <c r="R637" s="3"/>
      <c r="S637" s="3"/>
      <c r="AT637" s="416" t="s">
        <v>1854</v>
      </c>
    </row>
    <row r="638" spans="1:47" customFormat="1" ht="14.4" x14ac:dyDescent="0.3">
      <c r="A638" s="474"/>
      <c r="B638" s="425"/>
      <c r="C638" s="907" t="s">
        <v>1855</v>
      </c>
      <c r="D638" s="907"/>
      <c r="E638" s="907"/>
      <c r="F638" s="907"/>
      <c r="G638" s="907"/>
      <c r="H638" s="907"/>
      <c r="I638" s="907"/>
      <c r="J638" s="907"/>
      <c r="K638" s="907"/>
      <c r="L638" s="475">
        <v>1471593.58</v>
      </c>
      <c r="M638" s="476"/>
      <c r="N638" s="477">
        <v>26861232.77</v>
      </c>
      <c r="R638" s="3"/>
      <c r="S638" s="3"/>
      <c r="AT638" s="416"/>
      <c r="AU638" s="426" t="s">
        <v>1855</v>
      </c>
    </row>
    <row r="639" spans="1:47" customFormat="1" ht="14.4" x14ac:dyDescent="0.3">
      <c r="A639" s="474"/>
      <c r="B639" s="425"/>
      <c r="C639" s="907" t="s">
        <v>1856</v>
      </c>
      <c r="D639" s="907"/>
      <c r="E639" s="907"/>
      <c r="F639" s="907"/>
      <c r="G639" s="907"/>
      <c r="H639" s="907"/>
      <c r="I639" s="907"/>
      <c r="J639" s="907"/>
      <c r="K639" s="907"/>
      <c r="L639" s="478"/>
      <c r="M639" s="476"/>
      <c r="N639" s="479"/>
      <c r="R639" s="3"/>
      <c r="S639" s="3"/>
      <c r="AT639" s="416"/>
      <c r="AU639" s="426" t="s">
        <v>1856</v>
      </c>
    </row>
    <row r="640" spans="1:47" customFormat="1" ht="14.4" x14ac:dyDescent="0.3">
      <c r="A640" s="474"/>
      <c r="B640" s="425"/>
      <c r="C640" s="907" t="s">
        <v>1857</v>
      </c>
      <c r="D640" s="907"/>
      <c r="E640" s="907"/>
      <c r="F640" s="907"/>
      <c r="G640" s="907"/>
      <c r="H640" s="907"/>
      <c r="I640" s="907"/>
      <c r="J640" s="907"/>
      <c r="K640" s="907"/>
      <c r="L640" s="475">
        <v>274585.15999999997</v>
      </c>
      <c r="M640" s="476"/>
      <c r="N640" s="477">
        <v>12293177.6</v>
      </c>
      <c r="R640" s="3"/>
      <c r="S640" s="3"/>
      <c r="AT640" s="416"/>
      <c r="AU640" s="426" t="s">
        <v>1857</v>
      </c>
    </row>
    <row r="641" spans="1:47" customFormat="1" ht="14.4" x14ac:dyDescent="0.3">
      <c r="A641" s="474"/>
      <c r="B641" s="425"/>
      <c r="C641" s="907" t="s">
        <v>1858</v>
      </c>
      <c r="D641" s="907"/>
      <c r="E641" s="907"/>
      <c r="F641" s="907"/>
      <c r="G641" s="907"/>
      <c r="H641" s="907"/>
      <c r="I641" s="907"/>
      <c r="J641" s="907"/>
      <c r="K641" s="907"/>
      <c r="L641" s="475">
        <v>897346.41</v>
      </c>
      <c r="M641" s="476"/>
      <c r="N641" s="477">
        <v>11883701.970000001</v>
      </c>
      <c r="R641" s="3"/>
      <c r="S641" s="3"/>
      <c r="AT641" s="416"/>
      <c r="AU641" s="426" t="s">
        <v>1858</v>
      </c>
    </row>
    <row r="642" spans="1:47" customFormat="1" ht="14.4" x14ac:dyDescent="0.3">
      <c r="A642" s="474"/>
      <c r="B642" s="425"/>
      <c r="C642" s="907" t="s">
        <v>1859</v>
      </c>
      <c r="D642" s="907"/>
      <c r="E642" s="907"/>
      <c r="F642" s="907"/>
      <c r="G642" s="907"/>
      <c r="H642" s="907"/>
      <c r="I642" s="907"/>
      <c r="J642" s="907"/>
      <c r="K642" s="907"/>
      <c r="L642" s="475">
        <v>12744.47</v>
      </c>
      <c r="M642" s="476"/>
      <c r="N642" s="477">
        <v>570569.92000000004</v>
      </c>
      <c r="R642" s="3"/>
      <c r="S642" s="3"/>
      <c r="AT642" s="416"/>
      <c r="AU642" s="426" t="s">
        <v>1859</v>
      </c>
    </row>
    <row r="643" spans="1:47" customFormat="1" ht="14.4" x14ac:dyDescent="0.3">
      <c r="A643" s="474"/>
      <c r="B643" s="425"/>
      <c r="C643" s="907" t="s">
        <v>1860</v>
      </c>
      <c r="D643" s="907"/>
      <c r="E643" s="907"/>
      <c r="F643" s="907"/>
      <c r="G643" s="907"/>
      <c r="H643" s="907"/>
      <c r="I643" s="907"/>
      <c r="J643" s="907"/>
      <c r="K643" s="907"/>
      <c r="L643" s="475">
        <v>299662.01</v>
      </c>
      <c r="M643" s="476"/>
      <c r="N643" s="477">
        <v>2684353.2000000002</v>
      </c>
      <c r="R643" s="3"/>
      <c r="S643" s="3"/>
      <c r="AT643" s="416"/>
      <c r="AU643" s="426" t="s">
        <v>1860</v>
      </c>
    </row>
    <row r="644" spans="1:47" customFormat="1" ht="14.4" x14ac:dyDescent="0.3">
      <c r="A644" s="474"/>
      <c r="B644" s="425"/>
      <c r="C644" s="907" t="s">
        <v>1861</v>
      </c>
      <c r="D644" s="907"/>
      <c r="E644" s="907"/>
      <c r="F644" s="907"/>
      <c r="G644" s="907"/>
      <c r="H644" s="907"/>
      <c r="I644" s="907"/>
      <c r="J644" s="907"/>
      <c r="K644" s="907"/>
      <c r="L644" s="475">
        <v>1883282.27</v>
      </c>
      <c r="M644" s="476"/>
      <c r="N644" s="477">
        <v>45292534.350000001</v>
      </c>
      <c r="R644" s="3"/>
      <c r="S644" s="3"/>
      <c r="AT644" s="416"/>
      <c r="AU644" s="426" t="s">
        <v>1861</v>
      </c>
    </row>
    <row r="645" spans="1:47" customFormat="1" ht="14.4" x14ac:dyDescent="0.3">
      <c r="A645" s="474"/>
      <c r="B645" s="425"/>
      <c r="C645" s="907" t="s">
        <v>1862</v>
      </c>
      <c r="D645" s="907"/>
      <c r="E645" s="907"/>
      <c r="F645" s="907"/>
      <c r="G645" s="907"/>
      <c r="H645" s="907"/>
      <c r="I645" s="907"/>
      <c r="J645" s="907"/>
      <c r="K645" s="907"/>
      <c r="L645" s="475">
        <v>1810182.91</v>
      </c>
      <c r="M645" s="476"/>
      <c r="N645" s="477">
        <v>44547990.479999997</v>
      </c>
      <c r="R645" s="3"/>
      <c r="S645" s="3"/>
      <c r="AT645" s="416"/>
      <c r="AU645" s="426" t="s">
        <v>1862</v>
      </c>
    </row>
    <row r="646" spans="1:47" customFormat="1" ht="14.4" x14ac:dyDescent="0.3">
      <c r="A646" s="474"/>
      <c r="B646" s="425"/>
      <c r="C646" s="907" t="s">
        <v>1863</v>
      </c>
      <c r="D646" s="907"/>
      <c r="E646" s="907"/>
      <c r="F646" s="907"/>
      <c r="G646" s="907"/>
      <c r="H646" s="907"/>
      <c r="I646" s="907"/>
      <c r="J646" s="907"/>
      <c r="K646" s="907"/>
      <c r="L646" s="478"/>
      <c r="M646" s="476"/>
      <c r="N646" s="479"/>
      <c r="R646" s="3"/>
      <c r="S646" s="3"/>
      <c r="AT646" s="416"/>
      <c r="AU646" s="426" t="s">
        <v>1863</v>
      </c>
    </row>
    <row r="647" spans="1:47" customFormat="1" ht="14.4" x14ac:dyDescent="0.3">
      <c r="A647" s="474"/>
      <c r="B647" s="425"/>
      <c r="C647" s="907" t="s">
        <v>1864</v>
      </c>
      <c r="D647" s="907"/>
      <c r="E647" s="907"/>
      <c r="F647" s="907"/>
      <c r="G647" s="907"/>
      <c r="H647" s="907"/>
      <c r="I647" s="907"/>
      <c r="J647" s="907"/>
      <c r="K647" s="907"/>
      <c r="L647" s="475">
        <v>274585.15999999997</v>
      </c>
      <c r="M647" s="476"/>
      <c r="N647" s="477">
        <v>12293177.6</v>
      </c>
      <c r="R647" s="3"/>
      <c r="S647" s="3"/>
      <c r="AT647" s="416"/>
      <c r="AU647" s="426" t="s">
        <v>1864</v>
      </c>
    </row>
    <row r="648" spans="1:47" customFormat="1" ht="14.4" x14ac:dyDescent="0.3">
      <c r="A648" s="474"/>
      <c r="B648" s="425"/>
      <c r="C648" s="907" t="s">
        <v>1865</v>
      </c>
      <c r="D648" s="907"/>
      <c r="E648" s="907"/>
      <c r="F648" s="907"/>
      <c r="G648" s="907"/>
      <c r="H648" s="907"/>
      <c r="I648" s="907"/>
      <c r="J648" s="907"/>
      <c r="K648" s="907"/>
      <c r="L648" s="475">
        <v>869158.61</v>
      </c>
      <c r="M648" s="476"/>
      <c r="N648" s="477">
        <v>11507660</v>
      </c>
      <c r="R648" s="3"/>
      <c r="S648" s="3"/>
      <c r="AT648" s="416"/>
      <c r="AU648" s="426" t="s">
        <v>1865</v>
      </c>
    </row>
    <row r="649" spans="1:47" customFormat="1" ht="14.4" x14ac:dyDescent="0.3">
      <c r="A649" s="474"/>
      <c r="B649" s="425"/>
      <c r="C649" s="907" t="s">
        <v>1866</v>
      </c>
      <c r="D649" s="907"/>
      <c r="E649" s="907"/>
      <c r="F649" s="907"/>
      <c r="G649" s="907"/>
      <c r="H649" s="907"/>
      <c r="I649" s="907"/>
      <c r="J649" s="907"/>
      <c r="K649" s="907"/>
      <c r="L649" s="475">
        <v>12744.47</v>
      </c>
      <c r="M649" s="476"/>
      <c r="N649" s="477">
        <v>570569.92000000004</v>
      </c>
      <c r="R649" s="3"/>
      <c r="S649" s="3"/>
      <c r="AT649" s="416"/>
      <c r="AU649" s="426" t="s">
        <v>1866</v>
      </c>
    </row>
    <row r="650" spans="1:47" customFormat="1" ht="14.4" x14ac:dyDescent="0.3">
      <c r="A650" s="474"/>
      <c r="B650" s="425"/>
      <c r="C650" s="907" t="s">
        <v>1867</v>
      </c>
      <c r="D650" s="907"/>
      <c r="E650" s="907"/>
      <c r="F650" s="907"/>
      <c r="G650" s="907"/>
      <c r="H650" s="907"/>
      <c r="I650" s="907"/>
      <c r="J650" s="907"/>
      <c r="K650" s="907"/>
      <c r="L650" s="475">
        <v>254750.45</v>
      </c>
      <c r="M650" s="476"/>
      <c r="N650" s="477">
        <v>2315851.2999999998</v>
      </c>
      <c r="R650" s="3"/>
      <c r="S650" s="3"/>
      <c r="AT650" s="416"/>
      <c r="AU650" s="426" t="s">
        <v>1867</v>
      </c>
    </row>
    <row r="651" spans="1:47" customFormat="1" ht="14.4" x14ac:dyDescent="0.3">
      <c r="A651" s="474"/>
      <c r="B651" s="425"/>
      <c r="C651" s="907" t="s">
        <v>1868</v>
      </c>
      <c r="D651" s="907"/>
      <c r="E651" s="907"/>
      <c r="F651" s="907"/>
      <c r="G651" s="907"/>
      <c r="H651" s="907"/>
      <c r="I651" s="907"/>
      <c r="J651" s="907"/>
      <c r="K651" s="907"/>
      <c r="L651" s="475">
        <v>264483.76</v>
      </c>
      <c r="M651" s="476"/>
      <c r="N651" s="477">
        <v>11840937.08</v>
      </c>
      <c r="R651" s="3"/>
      <c r="S651" s="3"/>
      <c r="AT651" s="416"/>
      <c r="AU651" s="426" t="s">
        <v>1868</v>
      </c>
    </row>
    <row r="652" spans="1:47" customFormat="1" ht="14.4" x14ac:dyDescent="0.3">
      <c r="A652" s="474"/>
      <c r="B652" s="425"/>
      <c r="C652" s="907" t="s">
        <v>1869</v>
      </c>
      <c r="D652" s="907"/>
      <c r="E652" s="907"/>
      <c r="F652" s="907"/>
      <c r="G652" s="907"/>
      <c r="H652" s="907"/>
      <c r="I652" s="907"/>
      <c r="J652" s="907"/>
      <c r="K652" s="907"/>
      <c r="L652" s="475">
        <v>147204.93</v>
      </c>
      <c r="M652" s="476"/>
      <c r="N652" s="477">
        <v>6590364.5</v>
      </c>
      <c r="R652" s="3"/>
      <c r="S652" s="3"/>
      <c r="AT652" s="416"/>
      <c r="AU652" s="426" t="s">
        <v>1869</v>
      </c>
    </row>
    <row r="653" spans="1:47" customFormat="1" ht="14.4" x14ac:dyDescent="0.3">
      <c r="A653" s="474"/>
      <c r="B653" s="425"/>
      <c r="C653" s="907" t="s">
        <v>1870</v>
      </c>
      <c r="D653" s="907"/>
      <c r="E653" s="907"/>
      <c r="F653" s="907"/>
      <c r="G653" s="907"/>
      <c r="H653" s="907"/>
      <c r="I653" s="907"/>
      <c r="J653" s="907"/>
      <c r="K653" s="907"/>
      <c r="L653" s="475">
        <v>73099.360000000001</v>
      </c>
      <c r="M653" s="476"/>
      <c r="N653" s="477">
        <v>744543.87</v>
      </c>
      <c r="R653" s="3"/>
      <c r="S653" s="3"/>
      <c r="AT653" s="416"/>
      <c r="AU653" s="426" t="s">
        <v>1870</v>
      </c>
    </row>
    <row r="654" spans="1:47" customFormat="1" ht="14.4" x14ac:dyDescent="0.3">
      <c r="A654" s="474"/>
      <c r="B654" s="425"/>
      <c r="C654" s="907" t="s">
        <v>1863</v>
      </c>
      <c r="D654" s="907"/>
      <c r="E654" s="907"/>
      <c r="F654" s="907"/>
      <c r="G654" s="907"/>
      <c r="H654" s="907"/>
      <c r="I654" s="907"/>
      <c r="J654" s="907"/>
      <c r="K654" s="907"/>
      <c r="L654" s="478"/>
      <c r="M654" s="476"/>
      <c r="N654" s="479"/>
      <c r="R654" s="3"/>
      <c r="S654" s="3"/>
      <c r="AT654" s="416"/>
      <c r="AU654" s="426" t="s">
        <v>1863</v>
      </c>
    </row>
    <row r="655" spans="1:47" customFormat="1" ht="14.4" x14ac:dyDescent="0.3">
      <c r="A655" s="474"/>
      <c r="B655" s="425"/>
      <c r="C655" s="907" t="s">
        <v>1865</v>
      </c>
      <c r="D655" s="907"/>
      <c r="E655" s="907"/>
      <c r="F655" s="907"/>
      <c r="G655" s="907"/>
      <c r="H655" s="907"/>
      <c r="I655" s="907"/>
      <c r="J655" s="907"/>
      <c r="K655" s="907"/>
      <c r="L655" s="475">
        <v>28187.8</v>
      </c>
      <c r="M655" s="476"/>
      <c r="N655" s="477">
        <v>376041.97</v>
      </c>
      <c r="R655" s="3"/>
      <c r="S655" s="3"/>
      <c r="AT655" s="416"/>
      <c r="AU655" s="426" t="s">
        <v>1865</v>
      </c>
    </row>
    <row r="656" spans="1:47" customFormat="1" ht="14.4" x14ac:dyDescent="0.3">
      <c r="A656" s="474"/>
      <c r="B656" s="425"/>
      <c r="C656" s="907" t="s">
        <v>1867</v>
      </c>
      <c r="D656" s="907"/>
      <c r="E656" s="907"/>
      <c r="F656" s="907"/>
      <c r="G656" s="907"/>
      <c r="H656" s="907"/>
      <c r="I656" s="907"/>
      <c r="J656" s="907"/>
      <c r="K656" s="907"/>
      <c r="L656" s="475">
        <v>44911.56</v>
      </c>
      <c r="M656" s="476"/>
      <c r="N656" s="477">
        <v>368501.9</v>
      </c>
      <c r="R656" s="3"/>
      <c r="S656" s="3"/>
      <c r="AT656" s="416"/>
      <c r="AU656" s="426" t="s">
        <v>1867</v>
      </c>
    </row>
    <row r="657" spans="1:52" customFormat="1" ht="14.4" x14ac:dyDescent="0.3">
      <c r="A657" s="474"/>
      <c r="B657" s="425"/>
      <c r="C657" s="907" t="s">
        <v>1871</v>
      </c>
      <c r="D657" s="907"/>
      <c r="E657" s="907"/>
      <c r="F657" s="907"/>
      <c r="G657" s="907"/>
      <c r="H657" s="907"/>
      <c r="I657" s="907"/>
      <c r="J657" s="907"/>
      <c r="K657" s="907"/>
      <c r="L657" s="475">
        <v>287329.63</v>
      </c>
      <c r="M657" s="476"/>
      <c r="N657" s="477">
        <v>12863747.52</v>
      </c>
      <c r="R657" s="3"/>
      <c r="S657" s="3"/>
      <c r="AT657" s="416"/>
      <c r="AU657" s="426" t="s">
        <v>1871</v>
      </c>
    </row>
    <row r="658" spans="1:52" customFormat="1" ht="14.4" x14ac:dyDescent="0.3">
      <c r="A658" s="474"/>
      <c r="B658" s="425"/>
      <c r="C658" s="907" t="s">
        <v>1872</v>
      </c>
      <c r="D658" s="907"/>
      <c r="E658" s="907"/>
      <c r="F658" s="907"/>
      <c r="G658" s="907"/>
      <c r="H658" s="907"/>
      <c r="I658" s="907"/>
      <c r="J658" s="907"/>
      <c r="K658" s="907"/>
      <c r="L658" s="475">
        <v>264483.76</v>
      </c>
      <c r="M658" s="476"/>
      <c r="N658" s="477">
        <v>11840937.08</v>
      </c>
      <c r="R658" s="3"/>
      <c r="S658" s="3"/>
      <c r="AT658" s="416"/>
      <c r="AU658" s="426" t="s">
        <v>1872</v>
      </c>
    </row>
    <row r="659" spans="1:52" customFormat="1" ht="14.4" x14ac:dyDescent="0.3">
      <c r="A659" s="474"/>
      <c r="B659" s="425"/>
      <c r="C659" s="907" t="s">
        <v>1873</v>
      </c>
      <c r="D659" s="907"/>
      <c r="E659" s="907"/>
      <c r="F659" s="907"/>
      <c r="G659" s="907"/>
      <c r="H659" s="907"/>
      <c r="I659" s="907"/>
      <c r="J659" s="907"/>
      <c r="K659" s="907"/>
      <c r="L659" s="475">
        <v>147204.93</v>
      </c>
      <c r="M659" s="476"/>
      <c r="N659" s="477">
        <v>6590364.5</v>
      </c>
      <c r="R659" s="3"/>
      <c r="S659" s="3"/>
      <c r="AT659" s="416"/>
      <c r="AU659" s="426" t="s">
        <v>1873</v>
      </c>
    </row>
    <row r="660" spans="1:52" customFormat="1" ht="14.4" x14ac:dyDescent="0.3">
      <c r="A660" s="474"/>
      <c r="B660" s="480"/>
      <c r="C660" s="924" t="s">
        <v>1874</v>
      </c>
      <c r="D660" s="924"/>
      <c r="E660" s="924"/>
      <c r="F660" s="924"/>
      <c r="G660" s="924"/>
      <c r="H660" s="924"/>
      <c r="I660" s="924"/>
      <c r="J660" s="924"/>
      <c r="K660" s="924"/>
      <c r="L660" s="481">
        <v>1883282.27</v>
      </c>
      <c r="M660" s="482"/>
      <c r="N660" s="576">
        <v>45292534.350000001</v>
      </c>
      <c r="R660" s="577">
        <v>1</v>
      </c>
      <c r="S660" s="3">
        <f>N660*R660</f>
        <v>45292534.350000001</v>
      </c>
      <c r="AT660" s="416"/>
      <c r="AV660" s="416" t="s">
        <v>1874</v>
      </c>
    </row>
    <row r="661" spans="1:52" customFormat="1" ht="13.5" hidden="1" customHeight="1" x14ac:dyDescent="0.3">
      <c r="B661" s="465"/>
      <c r="C661" s="463"/>
      <c r="D661" s="463"/>
      <c r="E661" s="463"/>
      <c r="F661" s="463"/>
      <c r="G661" s="463"/>
      <c r="H661" s="463"/>
      <c r="I661" s="463"/>
      <c r="J661" s="463"/>
      <c r="K661" s="463"/>
      <c r="L661" s="481"/>
      <c r="M661" s="484"/>
      <c r="N661" s="485"/>
    </row>
    <row r="662" spans="1:52" customFormat="1" ht="26.25" customHeight="1" x14ac:dyDescent="0.3">
      <c r="A662" s="486"/>
      <c r="B662" s="487"/>
      <c r="C662" s="487"/>
      <c r="D662" s="487"/>
      <c r="E662" s="487"/>
      <c r="F662" s="487"/>
      <c r="G662" s="487"/>
      <c r="H662" s="487"/>
      <c r="I662" s="487"/>
      <c r="J662" s="487"/>
      <c r="K662" s="487"/>
      <c r="L662" s="487"/>
      <c r="M662" s="487"/>
      <c r="N662" s="487"/>
    </row>
    <row r="663" spans="1:52" s="383" customFormat="1" ht="14.4" x14ac:dyDescent="0.3">
      <c r="A663" s="381"/>
      <c r="B663" s="488" t="s">
        <v>1875</v>
      </c>
      <c r="C663" s="925"/>
      <c r="D663" s="925"/>
      <c r="E663" s="925"/>
      <c r="F663" s="925"/>
      <c r="G663" s="925"/>
      <c r="H663" s="926"/>
      <c r="I663" s="926"/>
      <c r="J663" s="926"/>
      <c r="K663" s="926"/>
      <c r="L663" s="926"/>
      <c r="M663"/>
      <c r="N663"/>
      <c r="O663"/>
      <c r="P663"/>
      <c r="Q663"/>
      <c r="R663"/>
      <c r="S663"/>
      <c r="T663"/>
      <c r="U663"/>
      <c r="V663" s="387"/>
      <c r="W663" s="387"/>
      <c r="X663" s="387"/>
      <c r="Y663" s="387"/>
      <c r="Z663" s="387"/>
      <c r="AA663" s="387"/>
      <c r="AB663" s="387"/>
      <c r="AC663" s="387"/>
      <c r="AD663" s="387"/>
      <c r="AE663" s="387"/>
      <c r="AF663" s="387"/>
      <c r="AG663" s="387"/>
      <c r="AH663" s="387"/>
      <c r="AI663" s="387"/>
      <c r="AJ663" s="387"/>
      <c r="AK663" s="387"/>
      <c r="AL663" s="387"/>
      <c r="AM663" s="387"/>
      <c r="AN663" s="387"/>
      <c r="AO663" s="387"/>
      <c r="AP663" s="387"/>
      <c r="AQ663" s="387"/>
      <c r="AR663" s="387"/>
      <c r="AS663" s="387"/>
      <c r="AT663" s="387"/>
      <c r="AU663" s="387"/>
      <c r="AV663" s="387"/>
      <c r="AW663" s="387" t="s">
        <v>1659</v>
      </c>
      <c r="AX663" s="387" t="s">
        <v>1659</v>
      </c>
      <c r="AY663" s="387"/>
      <c r="AZ663" s="387"/>
    </row>
    <row r="664" spans="1:52" s="489" customFormat="1" ht="16.5" customHeight="1" x14ac:dyDescent="0.3">
      <c r="A664" s="385"/>
      <c r="B664" s="488"/>
      <c r="C664" s="923" t="s">
        <v>1876</v>
      </c>
      <c r="D664" s="923"/>
      <c r="E664" s="923"/>
      <c r="F664" s="923"/>
      <c r="G664" s="923"/>
      <c r="H664" s="923"/>
      <c r="I664" s="923"/>
      <c r="J664" s="923"/>
      <c r="K664" s="923"/>
      <c r="L664" s="923"/>
      <c r="V664" s="490"/>
      <c r="W664" s="490"/>
      <c r="X664" s="490"/>
      <c r="Y664" s="490"/>
      <c r="Z664" s="490"/>
      <c r="AA664" s="490"/>
      <c r="AB664" s="490"/>
      <c r="AC664" s="490"/>
      <c r="AD664" s="490"/>
      <c r="AE664" s="490"/>
      <c r="AF664" s="490"/>
      <c r="AG664" s="490"/>
      <c r="AH664" s="490"/>
      <c r="AI664" s="490"/>
      <c r="AJ664" s="490"/>
      <c r="AK664" s="490"/>
      <c r="AL664" s="490"/>
      <c r="AM664" s="490"/>
      <c r="AN664" s="490"/>
      <c r="AO664" s="490"/>
      <c r="AP664" s="490"/>
      <c r="AQ664" s="490"/>
      <c r="AR664" s="490"/>
      <c r="AS664" s="490"/>
      <c r="AT664" s="490"/>
      <c r="AU664" s="490"/>
      <c r="AV664" s="490"/>
      <c r="AW664" s="490"/>
      <c r="AX664" s="490"/>
      <c r="AY664" s="490"/>
      <c r="AZ664" s="490"/>
    </row>
    <row r="665" spans="1:52" s="383" customFormat="1" ht="14.4" x14ac:dyDescent="0.3">
      <c r="A665" s="381"/>
      <c r="B665" s="488" t="s">
        <v>1877</v>
      </c>
      <c r="C665" s="925"/>
      <c r="D665" s="925"/>
      <c r="E665" s="925"/>
      <c r="F665" s="925"/>
      <c r="G665" s="925"/>
      <c r="H665" s="926"/>
      <c r="I665" s="926"/>
      <c r="J665" s="926"/>
      <c r="K665" s="926"/>
      <c r="L665" s="926"/>
      <c r="M665"/>
      <c r="N665"/>
      <c r="O665"/>
      <c r="P665"/>
      <c r="Q665"/>
      <c r="R665"/>
      <c r="S665"/>
      <c r="T665"/>
      <c r="U665"/>
      <c r="V665" s="387"/>
      <c r="W665" s="387"/>
      <c r="X665" s="387"/>
      <c r="Y665" s="387"/>
      <c r="Z665" s="387"/>
      <c r="AA665" s="387"/>
      <c r="AB665" s="387"/>
      <c r="AC665" s="387"/>
      <c r="AD665" s="387"/>
      <c r="AE665" s="387"/>
      <c r="AF665" s="387"/>
      <c r="AG665" s="387"/>
      <c r="AH665" s="387"/>
      <c r="AI665" s="387"/>
      <c r="AJ665" s="387"/>
      <c r="AK665" s="387"/>
      <c r="AL665" s="387"/>
      <c r="AM665" s="387"/>
      <c r="AN665" s="387"/>
      <c r="AO665" s="387"/>
      <c r="AP665" s="387"/>
      <c r="AQ665" s="387"/>
      <c r="AR665" s="387"/>
      <c r="AS665" s="387"/>
      <c r="AT665" s="387"/>
      <c r="AU665" s="387"/>
      <c r="AV665" s="387"/>
      <c r="AW665" s="387"/>
      <c r="AX665" s="387"/>
      <c r="AY665" s="387" t="s">
        <v>1659</v>
      </c>
      <c r="AZ665" s="387" t="s">
        <v>1659</v>
      </c>
    </row>
    <row r="666" spans="1:52" s="489" customFormat="1" ht="16.5" customHeight="1" x14ac:dyDescent="0.3">
      <c r="A666" s="385"/>
      <c r="C666" s="923" t="s">
        <v>1876</v>
      </c>
      <c r="D666" s="923"/>
      <c r="E666" s="923"/>
      <c r="F666" s="923"/>
      <c r="G666" s="923"/>
      <c r="H666" s="923"/>
      <c r="I666" s="923"/>
      <c r="J666" s="923"/>
      <c r="K666" s="923"/>
      <c r="L666" s="923"/>
      <c r="V666" s="490"/>
      <c r="W666" s="490"/>
      <c r="X666" s="490"/>
      <c r="Y666" s="490"/>
      <c r="Z666" s="490"/>
      <c r="AA666" s="490"/>
      <c r="AB666" s="490"/>
      <c r="AC666" s="490"/>
      <c r="AD666" s="490"/>
      <c r="AE666" s="490"/>
      <c r="AF666" s="490"/>
      <c r="AG666" s="490"/>
      <c r="AH666" s="490"/>
      <c r="AI666" s="490"/>
      <c r="AJ666" s="490"/>
      <c r="AK666" s="490"/>
      <c r="AL666" s="490"/>
      <c r="AM666" s="490"/>
      <c r="AN666" s="490"/>
      <c r="AO666" s="490"/>
      <c r="AP666" s="490"/>
      <c r="AQ666" s="490"/>
      <c r="AR666" s="490"/>
      <c r="AS666" s="490"/>
      <c r="AT666" s="490"/>
      <c r="AU666" s="490"/>
      <c r="AV666" s="490"/>
      <c r="AW666" s="490"/>
      <c r="AX666" s="490"/>
      <c r="AY666" s="490"/>
      <c r="AZ666" s="490"/>
    </row>
    <row r="667" spans="1:52" s="383" customFormat="1" ht="19.5" customHeight="1" x14ac:dyDescent="0.2">
      <c r="A667" s="381"/>
      <c r="C667" s="491"/>
      <c r="D667" s="491"/>
      <c r="E667" s="491"/>
      <c r="F667" s="491"/>
      <c r="G667" s="491"/>
      <c r="H667" s="491"/>
      <c r="I667" s="491"/>
      <c r="J667" s="491"/>
      <c r="K667" s="491"/>
      <c r="L667" s="491"/>
      <c r="V667" s="387"/>
      <c r="W667" s="387"/>
      <c r="X667" s="387"/>
      <c r="Y667" s="387"/>
      <c r="Z667" s="387"/>
      <c r="AA667" s="387"/>
      <c r="AB667" s="387"/>
      <c r="AC667" s="387"/>
      <c r="AD667" s="387"/>
      <c r="AE667" s="387"/>
      <c r="AF667" s="387"/>
      <c r="AG667" s="387"/>
      <c r="AH667" s="387"/>
      <c r="AI667" s="387"/>
      <c r="AJ667" s="387"/>
      <c r="AK667" s="387"/>
      <c r="AL667" s="387"/>
      <c r="AM667" s="387"/>
      <c r="AN667" s="387"/>
      <c r="AO667" s="387"/>
      <c r="AP667" s="387"/>
      <c r="AQ667" s="387"/>
      <c r="AR667" s="387"/>
      <c r="AS667" s="387"/>
      <c r="AT667" s="387"/>
      <c r="AU667" s="387"/>
      <c r="AV667" s="387"/>
      <c r="AW667" s="387"/>
      <c r="AX667" s="387"/>
      <c r="AY667" s="387"/>
      <c r="AZ667" s="387"/>
    </row>
    <row r="668" spans="1:52" customFormat="1" ht="22.5" customHeight="1" x14ac:dyDescent="0.3">
      <c r="A668" s="917" t="s">
        <v>1878</v>
      </c>
      <c r="B668" s="917"/>
      <c r="C668" s="917"/>
      <c r="D668" s="917"/>
      <c r="E668" s="917"/>
      <c r="F668" s="917"/>
      <c r="G668" s="917"/>
      <c r="H668" s="917"/>
      <c r="I668" s="917"/>
      <c r="J668" s="917"/>
      <c r="K668" s="917"/>
      <c r="L668" s="917"/>
      <c r="M668" s="917"/>
      <c r="N668" s="917"/>
      <c r="O668" s="466"/>
      <c r="P668" s="466"/>
    </row>
    <row r="669" spans="1:52" customFormat="1" ht="12.75" customHeight="1" x14ac:dyDescent="0.3">
      <c r="A669" s="917" t="s">
        <v>1879</v>
      </c>
      <c r="B669" s="917"/>
      <c r="C669" s="917"/>
      <c r="D669" s="917"/>
      <c r="E669" s="917"/>
      <c r="F669" s="917"/>
      <c r="G669" s="917"/>
      <c r="H669" s="917"/>
      <c r="I669" s="917"/>
      <c r="J669" s="917"/>
      <c r="K669" s="917"/>
      <c r="L669" s="917"/>
      <c r="M669" s="917"/>
      <c r="N669" s="917"/>
      <c r="O669" s="466"/>
      <c r="P669" s="466"/>
    </row>
    <row r="670" spans="1:52" customFormat="1" ht="12.75" customHeight="1" x14ac:dyDescent="0.3">
      <c r="A670" s="917" t="s">
        <v>1880</v>
      </c>
      <c r="B670" s="917"/>
      <c r="C670" s="917"/>
      <c r="D670" s="917"/>
      <c r="E670" s="917"/>
      <c r="F670" s="917"/>
      <c r="G670" s="917"/>
      <c r="H670" s="917"/>
      <c r="I670" s="917"/>
      <c r="J670" s="917"/>
      <c r="K670" s="917"/>
      <c r="L670" s="917"/>
      <c r="M670" s="917"/>
      <c r="N670" s="917"/>
      <c r="O670" s="466"/>
      <c r="P670" s="466"/>
    </row>
    <row r="671" spans="1:52" customFormat="1" ht="19.5" customHeight="1" x14ac:dyDescent="0.3"/>
    <row r="672" spans="1:52" customFormat="1" ht="14.4" x14ac:dyDescent="0.3">
      <c r="B672" s="492"/>
      <c r="D672" s="492"/>
      <c r="F672" s="492"/>
    </row>
  </sheetData>
  <mergeCells count="662">
    <mergeCell ref="C665:G665"/>
    <mergeCell ref="H665:L665"/>
    <mergeCell ref="C666:L666"/>
    <mergeCell ref="A668:N668"/>
    <mergeCell ref="A669:N669"/>
    <mergeCell ref="A670:N670"/>
    <mergeCell ref="C658:K658"/>
    <mergeCell ref="C659:K659"/>
    <mergeCell ref="C660:K660"/>
    <mergeCell ref="C663:G663"/>
    <mergeCell ref="H663:L663"/>
    <mergeCell ref="C664:L664"/>
    <mergeCell ref="C652:K652"/>
    <mergeCell ref="C653:K653"/>
    <mergeCell ref="C654:K654"/>
    <mergeCell ref="C655:K655"/>
    <mergeCell ref="C656:K656"/>
    <mergeCell ref="C657:K657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33:K633"/>
    <mergeCell ref="C634:K634"/>
    <mergeCell ref="C635:K635"/>
    <mergeCell ref="C637:K637"/>
    <mergeCell ref="C638:K638"/>
    <mergeCell ref="C639:K639"/>
    <mergeCell ref="C627:K627"/>
    <mergeCell ref="C628:K628"/>
    <mergeCell ref="C629:K629"/>
    <mergeCell ref="C630:K630"/>
    <mergeCell ref="C631:K631"/>
    <mergeCell ref="C632:K632"/>
    <mergeCell ref="C621:K621"/>
    <mergeCell ref="C622:K622"/>
    <mergeCell ref="C623:K623"/>
    <mergeCell ref="C624:K624"/>
    <mergeCell ref="C625:K625"/>
    <mergeCell ref="C626:K626"/>
    <mergeCell ref="C614:E614"/>
    <mergeCell ref="C615:E615"/>
    <mergeCell ref="C616:E616"/>
    <mergeCell ref="C617:E617"/>
    <mergeCell ref="C619:K619"/>
    <mergeCell ref="C620:K620"/>
    <mergeCell ref="C608:E608"/>
    <mergeCell ref="C609:E609"/>
    <mergeCell ref="C610:E610"/>
    <mergeCell ref="C611:E611"/>
    <mergeCell ref="C612:E612"/>
    <mergeCell ref="C613:E613"/>
    <mergeCell ref="C602:E602"/>
    <mergeCell ref="C603:E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E600"/>
    <mergeCell ref="C601:E601"/>
    <mergeCell ref="C590:K590"/>
    <mergeCell ref="A591:N591"/>
    <mergeCell ref="C592:E592"/>
    <mergeCell ref="C593:N593"/>
    <mergeCell ref="C594:N594"/>
    <mergeCell ref="C595:E595"/>
    <mergeCell ref="C584:K584"/>
    <mergeCell ref="C585:K585"/>
    <mergeCell ref="C586:K586"/>
    <mergeCell ref="C587:K587"/>
    <mergeCell ref="C588:K588"/>
    <mergeCell ref="C589:K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5:E565"/>
    <mergeCell ref="C567:K567"/>
    <mergeCell ref="C568:K568"/>
    <mergeCell ref="C569:K569"/>
    <mergeCell ref="C570:K570"/>
    <mergeCell ref="C571:K571"/>
    <mergeCell ref="C559:E559"/>
    <mergeCell ref="C560:N560"/>
    <mergeCell ref="C561:E561"/>
    <mergeCell ref="C562:E562"/>
    <mergeCell ref="C563:N563"/>
    <mergeCell ref="C564:N564"/>
    <mergeCell ref="C553:E553"/>
    <mergeCell ref="C554:E554"/>
    <mergeCell ref="C555:E555"/>
    <mergeCell ref="C556:E556"/>
    <mergeCell ref="C557:N557"/>
    <mergeCell ref="C558:E558"/>
    <mergeCell ref="C547:E547"/>
    <mergeCell ref="C548:E548"/>
    <mergeCell ref="C549:E549"/>
    <mergeCell ref="C550:E550"/>
    <mergeCell ref="C551:E551"/>
    <mergeCell ref="C552:E552"/>
    <mergeCell ref="C541:E541"/>
    <mergeCell ref="A542:N542"/>
    <mergeCell ref="C543:E543"/>
    <mergeCell ref="C544:N544"/>
    <mergeCell ref="C545:E545"/>
    <mergeCell ref="C546:E546"/>
    <mergeCell ref="C535:E535"/>
    <mergeCell ref="C536:N536"/>
    <mergeCell ref="C537:E537"/>
    <mergeCell ref="C538:E538"/>
    <mergeCell ref="C539:N539"/>
    <mergeCell ref="C540:N540"/>
    <mergeCell ref="C529:E529"/>
    <mergeCell ref="C530:E530"/>
    <mergeCell ref="C531:E531"/>
    <mergeCell ref="C532:E532"/>
    <mergeCell ref="C533:N533"/>
    <mergeCell ref="C534:E534"/>
    <mergeCell ref="C523:N523"/>
    <mergeCell ref="C524:E524"/>
    <mergeCell ref="C525:E525"/>
    <mergeCell ref="C526:E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11:N511"/>
    <mergeCell ref="C512:E512"/>
    <mergeCell ref="C513:E513"/>
    <mergeCell ref="C514:E514"/>
    <mergeCell ref="C515:E515"/>
    <mergeCell ref="C516:E516"/>
    <mergeCell ref="C505:E505"/>
    <mergeCell ref="C506:E506"/>
    <mergeCell ref="A507:N507"/>
    <mergeCell ref="A508:N508"/>
    <mergeCell ref="C509:E509"/>
    <mergeCell ref="C510:N510"/>
    <mergeCell ref="C499:E499"/>
    <mergeCell ref="C500:E500"/>
    <mergeCell ref="C501:E501"/>
    <mergeCell ref="C502:N502"/>
    <mergeCell ref="C503:N503"/>
    <mergeCell ref="C504:E504"/>
    <mergeCell ref="C493:E493"/>
    <mergeCell ref="C494:E494"/>
    <mergeCell ref="C495:E495"/>
    <mergeCell ref="C496:E496"/>
    <mergeCell ref="C497:E497"/>
    <mergeCell ref="C498:E498"/>
    <mergeCell ref="C487:E487"/>
    <mergeCell ref="C488:E488"/>
    <mergeCell ref="C489:E489"/>
    <mergeCell ref="C490:E490"/>
    <mergeCell ref="C491:N491"/>
    <mergeCell ref="C492:N492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N477"/>
    <mergeCell ref="C478:N478"/>
    <mergeCell ref="C479:E479"/>
    <mergeCell ref="C480:E480"/>
    <mergeCell ref="C469:E469"/>
    <mergeCell ref="C470:E470"/>
    <mergeCell ref="C471:E471"/>
    <mergeCell ref="C472:E472"/>
    <mergeCell ref="C473:E473"/>
    <mergeCell ref="C474:E474"/>
    <mergeCell ref="C463:N463"/>
    <mergeCell ref="C464:N464"/>
    <mergeCell ref="C465:E465"/>
    <mergeCell ref="C466:E466"/>
    <mergeCell ref="C467:E467"/>
    <mergeCell ref="C468:E468"/>
    <mergeCell ref="C457:E457"/>
    <mergeCell ref="C458:N458"/>
    <mergeCell ref="C459:N459"/>
    <mergeCell ref="C460:E460"/>
    <mergeCell ref="A461:N461"/>
    <mergeCell ref="C462:E462"/>
    <mergeCell ref="C451:E451"/>
    <mergeCell ref="C452:N452"/>
    <mergeCell ref="C453:E453"/>
    <mergeCell ref="C454:E454"/>
    <mergeCell ref="C455:N455"/>
    <mergeCell ref="C456:E456"/>
    <mergeCell ref="C445:E445"/>
    <mergeCell ref="C446:E446"/>
    <mergeCell ref="C447:E447"/>
    <mergeCell ref="C448:E448"/>
    <mergeCell ref="C449:N449"/>
    <mergeCell ref="C450:E450"/>
    <mergeCell ref="C439:N439"/>
    <mergeCell ref="C440:E440"/>
    <mergeCell ref="C441:E441"/>
    <mergeCell ref="C442:E442"/>
    <mergeCell ref="C443:E443"/>
    <mergeCell ref="C444:E444"/>
    <mergeCell ref="C433:N433"/>
    <mergeCell ref="C434:N434"/>
    <mergeCell ref="C435:E435"/>
    <mergeCell ref="A436:N436"/>
    <mergeCell ref="C437:E437"/>
    <mergeCell ref="C438:N438"/>
    <mergeCell ref="C427:N427"/>
    <mergeCell ref="C428:E428"/>
    <mergeCell ref="C429:E429"/>
    <mergeCell ref="C430:N430"/>
    <mergeCell ref="C431:E431"/>
    <mergeCell ref="C432:E432"/>
    <mergeCell ref="C421:N421"/>
    <mergeCell ref="C422:E422"/>
    <mergeCell ref="C423:E423"/>
    <mergeCell ref="C424:N424"/>
    <mergeCell ref="C425:E425"/>
    <mergeCell ref="C426:E426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A404:N404"/>
    <mergeCell ref="C405:E405"/>
    <mergeCell ref="C406:N406"/>
    <mergeCell ref="C407:N407"/>
    <mergeCell ref="C408:N408"/>
    <mergeCell ref="C397:N397"/>
    <mergeCell ref="C398:E398"/>
    <mergeCell ref="C399:E399"/>
    <mergeCell ref="C400:E400"/>
    <mergeCell ref="C401:E401"/>
    <mergeCell ref="C402:N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N383"/>
    <mergeCell ref="C384:N384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E369"/>
    <mergeCell ref="C370:E370"/>
    <mergeCell ref="C371:E371"/>
    <mergeCell ref="C372:E372"/>
    <mergeCell ref="C361:E361"/>
    <mergeCell ref="C362:N362"/>
    <mergeCell ref="C363:N363"/>
    <mergeCell ref="C364:E364"/>
    <mergeCell ref="C365:E365"/>
    <mergeCell ref="C366:E366"/>
    <mergeCell ref="C355:E355"/>
    <mergeCell ref="C356:N356"/>
    <mergeCell ref="C357:N357"/>
    <mergeCell ref="C358:N358"/>
    <mergeCell ref="C359:E359"/>
    <mergeCell ref="A360:N360"/>
    <mergeCell ref="C349:E349"/>
    <mergeCell ref="C350:N350"/>
    <mergeCell ref="C351:E351"/>
    <mergeCell ref="C352:E352"/>
    <mergeCell ref="C353:N353"/>
    <mergeCell ref="C354:E354"/>
    <mergeCell ref="C343:N343"/>
    <mergeCell ref="C344:E344"/>
    <mergeCell ref="C345:E345"/>
    <mergeCell ref="C346:N346"/>
    <mergeCell ref="C347:N347"/>
    <mergeCell ref="C348:E348"/>
    <mergeCell ref="C337:E337"/>
    <mergeCell ref="C338:E338"/>
    <mergeCell ref="C339:N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N326"/>
    <mergeCell ref="C327:N327"/>
    <mergeCell ref="C328:E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N311"/>
    <mergeCell ref="C312:N312"/>
    <mergeCell ref="C301:E301"/>
    <mergeCell ref="C302:E302"/>
    <mergeCell ref="C303:E303"/>
    <mergeCell ref="C304:E304"/>
    <mergeCell ref="C305:E305"/>
    <mergeCell ref="C306:E306"/>
    <mergeCell ref="C295:E295"/>
    <mergeCell ref="C296:N296"/>
    <mergeCell ref="C297:N297"/>
    <mergeCell ref="C298:N298"/>
    <mergeCell ref="C299:E299"/>
    <mergeCell ref="C300:E300"/>
    <mergeCell ref="C289:E289"/>
    <mergeCell ref="C290:N290"/>
    <mergeCell ref="C291:N291"/>
    <mergeCell ref="C292:N292"/>
    <mergeCell ref="C293:E293"/>
    <mergeCell ref="A294:N294"/>
    <mergeCell ref="C283:E283"/>
    <mergeCell ref="C284:N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N265"/>
    <mergeCell ref="C266:E266"/>
    <mergeCell ref="C267:E267"/>
    <mergeCell ref="C268:N268"/>
    <mergeCell ref="C269:E269"/>
    <mergeCell ref="A270:N270"/>
    <mergeCell ref="C259:E259"/>
    <mergeCell ref="C260:E260"/>
    <mergeCell ref="C261:N261"/>
    <mergeCell ref="C262:N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N218"/>
    <mergeCell ref="C219:N219"/>
    <mergeCell ref="C220:N220"/>
    <mergeCell ref="C221:E221"/>
    <mergeCell ref="A222:N222"/>
    <mergeCell ref="C211:E211"/>
    <mergeCell ref="C212:N212"/>
    <mergeCell ref="C213:E213"/>
    <mergeCell ref="C214:E214"/>
    <mergeCell ref="C215:N215"/>
    <mergeCell ref="C216:E216"/>
    <mergeCell ref="C205:N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N169"/>
    <mergeCell ref="C170:N170"/>
    <mergeCell ref="C171:N171"/>
    <mergeCell ref="C172:E172"/>
    <mergeCell ref="A173:N173"/>
    <mergeCell ref="C174:E174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E134"/>
    <mergeCell ref="C135:E135"/>
    <mergeCell ref="C136:N136"/>
    <mergeCell ref="C137:N137"/>
    <mergeCell ref="C138:E138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N109"/>
    <mergeCell ref="C110:N110"/>
    <mergeCell ref="C111:E111"/>
    <mergeCell ref="A112:N112"/>
    <mergeCell ref="C113:E113"/>
    <mergeCell ref="C114:N114"/>
    <mergeCell ref="C103:E103"/>
    <mergeCell ref="C104:E104"/>
    <mergeCell ref="C105:N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N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E57"/>
    <mergeCell ref="C58:E58"/>
    <mergeCell ref="C59:N59"/>
    <mergeCell ref="C60:N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0FDF-2E54-485E-9DB6-181D86FC8F00}">
  <sheetPr>
    <tabColor rgb="FFFF0000"/>
  </sheetPr>
  <dimension ref="A1:L123"/>
  <sheetViews>
    <sheetView tabSelected="1" topLeftCell="A73" workbookViewId="0">
      <selection activeCell="C92" sqref="C92"/>
    </sheetView>
  </sheetViews>
  <sheetFormatPr defaultRowHeight="14.4" x14ac:dyDescent="0.3"/>
  <cols>
    <col min="1" max="1" width="5.33203125" bestFit="1" customWidth="1"/>
    <col min="2" max="2" width="19.77734375" bestFit="1" customWidth="1"/>
    <col min="3" max="3" width="14.33203125" bestFit="1" customWidth="1"/>
    <col min="4" max="4" width="39.5546875" bestFit="1" customWidth="1"/>
    <col min="5" max="5" width="7.6640625" bestFit="1" customWidth="1"/>
    <col min="6" max="6" width="6.77734375" bestFit="1" customWidth="1"/>
    <col min="7" max="7" width="12.21875" customWidth="1"/>
    <col min="8" max="8" width="14.88671875" style="864" bestFit="1" customWidth="1"/>
    <col min="9" max="9" width="30.33203125" style="864" bestFit="1" customWidth="1"/>
    <col min="12" max="12" width="35.88671875" customWidth="1"/>
  </cols>
  <sheetData>
    <row r="1" spans="1:11" x14ac:dyDescent="0.3">
      <c r="A1" s="928" t="s">
        <v>2298</v>
      </c>
      <c r="B1" s="928"/>
      <c r="C1" s="929" t="s">
        <v>2299</v>
      </c>
      <c r="D1" s="929"/>
    </row>
    <row r="2" spans="1:11" s="856" customFormat="1" x14ac:dyDescent="0.3">
      <c r="A2" s="853" t="s">
        <v>2293</v>
      </c>
      <c r="B2" s="853" t="s">
        <v>2295</v>
      </c>
      <c r="C2" s="854" t="s">
        <v>2304</v>
      </c>
      <c r="D2" s="853" t="s">
        <v>2300</v>
      </c>
      <c r="E2" s="853" t="s">
        <v>2294</v>
      </c>
      <c r="F2" s="853" t="s">
        <v>2154</v>
      </c>
      <c r="G2" s="855" t="s">
        <v>2296</v>
      </c>
      <c r="H2" s="852" t="s">
        <v>2297</v>
      </c>
      <c r="I2" s="852" t="s">
        <v>2301</v>
      </c>
      <c r="J2" s="855" t="s">
        <v>2294</v>
      </c>
      <c r="K2" s="855" t="s">
        <v>2154</v>
      </c>
    </row>
    <row r="3" spans="1:11" s="202" customFormat="1" x14ac:dyDescent="0.3">
      <c r="A3" s="857"/>
      <c r="B3" s="1017" t="s">
        <v>2305</v>
      </c>
      <c r="C3" s="1017">
        <v>10</v>
      </c>
      <c r="D3" s="1017" t="s">
        <v>559</v>
      </c>
      <c r="E3" s="1017" t="s">
        <v>254</v>
      </c>
      <c r="F3" s="1017">
        <v>4.3840000000000003</v>
      </c>
      <c r="G3" s="1018" t="s">
        <v>2329</v>
      </c>
      <c r="H3" s="865"/>
      <c r="I3" s="865"/>
      <c r="J3" s="858"/>
      <c r="K3" s="858"/>
    </row>
    <row r="4" spans="1:11" s="202" customFormat="1" x14ac:dyDescent="0.3">
      <c r="A4" s="857"/>
      <c r="B4" s="1017" t="s">
        <v>2305</v>
      </c>
      <c r="C4" s="1017">
        <v>11</v>
      </c>
      <c r="D4" s="1017" t="s">
        <v>560</v>
      </c>
      <c r="E4" s="1017" t="s">
        <v>254</v>
      </c>
      <c r="F4" s="1017">
        <v>3.8879999999999999</v>
      </c>
      <c r="G4" s="1018" t="s">
        <v>2329</v>
      </c>
      <c r="H4" s="865"/>
      <c r="I4" s="865"/>
      <c r="J4" s="858"/>
      <c r="K4" s="858"/>
    </row>
    <row r="5" spans="1:11" s="202" customFormat="1" x14ac:dyDescent="0.3">
      <c r="A5" s="857"/>
      <c r="B5" s="1017" t="s">
        <v>2305</v>
      </c>
      <c r="C5" s="1017">
        <v>12</v>
      </c>
      <c r="D5" s="1017" t="s">
        <v>561</v>
      </c>
      <c r="E5" s="1017" t="s">
        <v>254</v>
      </c>
      <c r="F5" s="1017">
        <v>1.024</v>
      </c>
      <c r="G5" s="1018" t="s">
        <v>2329</v>
      </c>
      <c r="H5" s="865"/>
      <c r="I5" s="865"/>
      <c r="J5" s="858"/>
      <c r="K5" s="858"/>
    </row>
    <row r="6" spans="1:11" s="202" customFormat="1" x14ac:dyDescent="0.3">
      <c r="A6" s="857"/>
      <c r="B6" s="1017" t="s">
        <v>2305</v>
      </c>
      <c r="C6" s="1017">
        <v>13</v>
      </c>
      <c r="D6" s="1017" t="s">
        <v>562</v>
      </c>
      <c r="E6" s="1017" t="s">
        <v>254</v>
      </c>
      <c r="F6" s="1017">
        <v>1.1359999999999999</v>
      </c>
      <c r="G6" s="1018" t="s">
        <v>2329</v>
      </c>
      <c r="H6" s="865"/>
      <c r="I6" s="865"/>
      <c r="J6" s="858"/>
      <c r="K6" s="858"/>
    </row>
    <row r="7" spans="1:11" s="202" customFormat="1" x14ac:dyDescent="0.3">
      <c r="A7" s="857"/>
      <c r="B7" s="1017" t="s">
        <v>2305</v>
      </c>
      <c r="C7" s="1017">
        <v>14</v>
      </c>
      <c r="D7" s="1017" t="s">
        <v>563</v>
      </c>
      <c r="E7" s="1017" t="s">
        <v>254</v>
      </c>
      <c r="F7" s="1017">
        <v>0.83199999999999996</v>
      </c>
      <c r="G7" s="1018" t="s">
        <v>2329</v>
      </c>
      <c r="H7" s="865"/>
      <c r="I7" s="865"/>
      <c r="J7" s="858"/>
      <c r="K7" s="858"/>
    </row>
    <row r="8" spans="1:11" s="202" customFormat="1" x14ac:dyDescent="0.3">
      <c r="A8" s="857"/>
      <c r="B8" s="1017" t="s">
        <v>2305</v>
      </c>
      <c r="C8" s="1017">
        <v>15</v>
      </c>
      <c r="D8" s="1017" t="s">
        <v>564</v>
      </c>
      <c r="E8" s="1017" t="s">
        <v>254</v>
      </c>
      <c r="F8" s="1017">
        <v>0.5504</v>
      </c>
      <c r="G8" s="1018" t="s">
        <v>2329</v>
      </c>
      <c r="H8" s="865"/>
      <c r="I8" s="865"/>
      <c r="J8" s="858"/>
      <c r="K8" s="858"/>
    </row>
    <row r="9" spans="1:11" s="202" customFormat="1" x14ac:dyDescent="0.3">
      <c r="A9" s="857"/>
      <c r="B9" s="1017" t="s">
        <v>2305</v>
      </c>
      <c r="C9" s="1017">
        <v>16</v>
      </c>
      <c r="D9" s="1017" t="s">
        <v>565</v>
      </c>
      <c r="E9" s="1017" t="s">
        <v>220</v>
      </c>
      <c r="F9" s="1017">
        <v>4</v>
      </c>
      <c r="G9" s="1018" t="s">
        <v>2329</v>
      </c>
      <c r="H9" s="865"/>
      <c r="I9" s="865"/>
      <c r="J9" s="858"/>
      <c r="K9" s="858"/>
    </row>
    <row r="10" spans="1:11" s="202" customFormat="1" x14ac:dyDescent="0.3">
      <c r="A10" s="857"/>
      <c r="B10" s="1017" t="s">
        <v>2305</v>
      </c>
      <c r="C10" s="1017">
        <v>17</v>
      </c>
      <c r="D10" s="1017" t="s">
        <v>566</v>
      </c>
      <c r="E10" s="1017" t="s">
        <v>220</v>
      </c>
      <c r="F10" s="1017">
        <v>2</v>
      </c>
      <c r="G10" s="1018" t="s">
        <v>2329</v>
      </c>
      <c r="H10" s="865"/>
      <c r="I10" s="865"/>
      <c r="J10" s="858"/>
      <c r="K10" s="858"/>
    </row>
    <row r="11" spans="1:11" x14ac:dyDescent="0.3">
      <c r="A11" s="850"/>
      <c r="B11" s="1017" t="s">
        <v>2305</v>
      </c>
      <c r="C11" s="1017">
        <v>48</v>
      </c>
      <c r="D11" s="1017" t="s">
        <v>234</v>
      </c>
      <c r="E11" s="1017" t="s">
        <v>193</v>
      </c>
      <c r="F11" s="1017">
        <v>636.5</v>
      </c>
      <c r="G11" s="1018" t="s">
        <v>2326</v>
      </c>
      <c r="H11" s="866">
        <v>12</v>
      </c>
      <c r="I11" s="866" t="s">
        <v>2306</v>
      </c>
      <c r="J11" s="851" t="s">
        <v>193</v>
      </c>
      <c r="K11" s="851">
        <v>0</v>
      </c>
    </row>
    <row r="12" spans="1:11" x14ac:dyDescent="0.3">
      <c r="A12" s="850"/>
      <c r="B12" s="850" t="s">
        <v>2305</v>
      </c>
      <c r="C12" s="850">
        <v>60</v>
      </c>
      <c r="D12" s="850" t="s">
        <v>1123</v>
      </c>
      <c r="E12" s="850" t="s">
        <v>220</v>
      </c>
      <c r="F12" s="850">
        <v>2</v>
      </c>
      <c r="G12" s="851" t="s">
        <v>2327</v>
      </c>
      <c r="H12" s="866">
        <v>6</v>
      </c>
      <c r="I12" s="866" t="s">
        <v>2308</v>
      </c>
      <c r="J12" s="851" t="s">
        <v>178</v>
      </c>
      <c r="K12" s="851">
        <v>1</v>
      </c>
    </row>
    <row r="13" spans="1:11" x14ac:dyDescent="0.3">
      <c r="A13" s="850"/>
      <c r="B13" s="850" t="s">
        <v>2305</v>
      </c>
      <c r="C13" s="850">
        <v>104</v>
      </c>
      <c r="D13" s="850" t="s">
        <v>587</v>
      </c>
      <c r="E13" s="850" t="s">
        <v>220</v>
      </c>
      <c r="F13" s="850">
        <v>2</v>
      </c>
      <c r="G13" s="851" t="s">
        <v>2327</v>
      </c>
      <c r="H13" s="866">
        <v>6</v>
      </c>
      <c r="I13" s="866" t="s">
        <v>2307</v>
      </c>
      <c r="J13" s="851" t="s">
        <v>178</v>
      </c>
      <c r="K13" s="851">
        <v>2</v>
      </c>
    </row>
    <row r="14" spans="1:11" x14ac:dyDescent="0.3">
      <c r="A14" s="850"/>
      <c r="B14" s="850" t="s">
        <v>2305</v>
      </c>
      <c r="C14" s="850">
        <v>93</v>
      </c>
      <c r="D14" s="850" t="s">
        <v>587</v>
      </c>
      <c r="E14" s="850" t="s">
        <v>220</v>
      </c>
      <c r="F14" s="850">
        <v>4</v>
      </c>
      <c r="G14" s="851" t="s">
        <v>2328</v>
      </c>
      <c r="H14" s="866">
        <v>6</v>
      </c>
      <c r="I14" s="866" t="s">
        <v>2309</v>
      </c>
      <c r="J14" s="851" t="s">
        <v>178</v>
      </c>
      <c r="K14" s="851">
        <v>3</v>
      </c>
    </row>
    <row r="15" spans="1:11" x14ac:dyDescent="0.3">
      <c r="A15" s="850"/>
      <c r="B15" s="850" t="s">
        <v>2305</v>
      </c>
      <c r="C15" s="850">
        <v>72</v>
      </c>
      <c r="D15" s="850" t="s">
        <v>757</v>
      </c>
      <c r="E15" s="850" t="s">
        <v>220</v>
      </c>
      <c r="F15" s="850">
        <v>10</v>
      </c>
      <c r="G15" s="851" t="s">
        <v>2328</v>
      </c>
      <c r="H15" s="866">
        <v>6</v>
      </c>
      <c r="I15" s="866" t="s">
        <v>2310</v>
      </c>
      <c r="J15" s="851" t="s">
        <v>178</v>
      </c>
      <c r="K15" s="851">
        <v>5</v>
      </c>
    </row>
    <row r="16" spans="1:11" x14ac:dyDescent="0.3">
      <c r="A16" s="850"/>
      <c r="B16" s="850" t="s">
        <v>2305</v>
      </c>
      <c r="C16" s="850">
        <v>73</v>
      </c>
      <c r="D16" s="850" t="s">
        <v>1129</v>
      </c>
      <c r="E16" s="850" t="s">
        <v>220</v>
      </c>
      <c r="F16" s="850">
        <v>5</v>
      </c>
      <c r="G16" s="851" t="s">
        <v>2328</v>
      </c>
      <c r="H16" s="866">
        <v>6</v>
      </c>
      <c r="I16" s="866" t="s">
        <v>2311</v>
      </c>
      <c r="J16" s="851" t="s">
        <v>178</v>
      </c>
      <c r="K16" s="851">
        <v>5</v>
      </c>
    </row>
    <row r="17" spans="1:11" x14ac:dyDescent="0.3">
      <c r="A17" s="850"/>
      <c r="B17" s="850" t="s">
        <v>2305</v>
      </c>
      <c r="C17" s="850">
        <v>71</v>
      </c>
      <c r="D17" s="850" t="s">
        <v>1123</v>
      </c>
      <c r="E17" s="850" t="s">
        <v>220</v>
      </c>
      <c r="F17" s="850">
        <v>2</v>
      </c>
      <c r="G17" s="851" t="s">
        <v>2328</v>
      </c>
      <c r="H17" s="866">
        <v>6</v>
      </c>
      <c r="I17" s="866" t="s">
        <v>2312</v>
      </c>
      <c r="J17" s="851" t="s">
        <v>178</v>
      </c>
      <c r="K17" s="851">
        <v>1</v>
      </c>
    </row>
    <row r="18" spans="1:11" x14ac:dyDescent="0.3">
      <c r="A18" s="850"/>
      <c r="B18" s="850" t="s">
        <v>2305</v>
      </c>
      <c r="C18" s="850">
        <v>86</v>
      </c>
      <c r="D18" s="850" t="s">
        <v>1120</v>
      </c>
      <c r="E18" s="850" t="s">
        <v>220</v>
      </c>
      <c r="F18" s="850">
        <v>2</v>
      </c>
      <c r="G18" s="851" t="s">
        <v>2328</v>
      </c>
      <c r="H18" s="866">
        <v>6</v>
      </c>
      <c r="I18" s="866"/>
      <c r="J18" s="851"/>
      <c r="K18" s="851"/>
    </row>
    <row r="19" spans="1:11" x14ac:dyDescent="0.3">
      <c r="A19" s="850"/>
      <c r="B19" s="850" t="s">
        <v>2305</v>
      </c>
      <c r="C19" s="850">
        <v>87</v>
      </c>
      <c r="D19" s="850" t="s">
        <v>1121</v>
      </c>
      <c r="E19" s="850" t="s">
        <v>220</v>
      </c>
      <c r="F19" s="850">
        <v>2</v>
      </c>
      <c r="G19" s="851" t="s">
        <v>2328</v>
      </c>
      <c r="H19" s="866">
        <v>6</v>
      </c>
      <c r="I19" s="866"/>
      <c r="J19" s="851"/>
      <c r="K19" s="851"/>
    </row>
    <row r="20" spans="1:11" x14ac:dyDescent="0.3">
      <c r="A20" s="850"/>
      <c r="B20" s="850" t="s">
        <v>2305</v>
      </c>
      <c r="C20" s="850">
        <v>88</v>
      </c>
      <c r="D20" s="850" t="s">
        <v>1122</v>
      </c>
      <c r="E20" s="850" t="s">
        <v>220</v>
      </c>
      <c r="F20" s="850">
        <v>2</v>
      </c>
      <c r="G20" s="851" t="s">
        <v>2328</v>
      </c>
      <c r="H20" s="866">
        <v>6</v>
      </c>
      <c r="I20" s="866"/>
      <c r="J20" s="851"/>
      <c r="K20" s="851"/>
    </row>
    <row r="21" spans="1:11" x14ac:dyDescent="0.3">
      <c r="A21" s="850"/>
      <c r="B21" s="850" t="s">
        <v>2305</v>
      </c>
      <c r="C21" s="850">
        <v>89</v>
      </c>
      <c r="D21" s="850" t="s">
        <v>1142</v>
      </c>
      <c r="E21" s="850" t="s">
        <v>220</v>
      </c>
      <c r="F21" s="850">
        <v>2</v>
      </c>
      <c r="G21" s="851" t="s">
        <v>2328</v>
      </c>
      <c r="H21" s="866">
        <v>8</v>
      </c>
      <c r="I21" s="866" t="s">
        <v>2319</v>
      </c>
      <c r="J21" s="851" t="s">
        <v>178</v>
      </c>
      <c r="K21" s="851">
        <v>3</v>
      </c>
    </row>
    <row r="22" spans="1:11" x14ac:dyDescent="0.3">
      <c r="A22" s="850"/>
      <c r="B22" s="850" t="s">
        <v>2305</v>
      </c>
      <c r="C22" s="850"/>
      <c r="D22" s="850"/>
      <c r="E22" s="850"/>
      <c r="F22" s="850"/>
      <c r="G22" s="851" t="s">
        <v>2328</v>
      </c>
      <c r="H22" s="866">
        <v>6</v>
      </c>
      <c r="I22" s="866" t="s">
        <v>2313</v>
      </c>
      <c r="J22" s="851" t="s">
        <v>178</v>
      </c>
      <c r="K22" s="851">
        <v>2</v>
      </c>
    </row>
    <row r="23" spans="1:11" x14ac:dyDescent="0.3">
      <c r="A23" s="850"/>
      <c r="B23" s="850" t="s">
        <v>2305</v>
      </c>
      <c r="C23" s="850"/>
      <c r="D23" s="850"/>
      <c r="E23" s="850"/>
      <c r="F23" s="850"/>
      <c r="G23" s="851" t="s">
        <v>2328</v>
      </c>
      <c r="H23" s="866">
        <v>6</v>
      </c>
      <c r="I23" s="866" t="s">
        <v>2314</v>
      </c>
      <c r="J23" s="851" t="s">
        <v>178</v>
      </c>
      <c r="K23" s="851">
        <v>1</v>
      </c>
    </row>
    <row r="24" spans="1:11" x14ac:dyDescent="0.3">
      <c r="A24" s="850"/>
      <c r="B24" s="850" t="s">
        <v>2305</v>
      </c>
      <c r="C24" s="850"/>
      <c r="D24" s="850"/>
      <c r="E24" s="850"/>
      <c r="F24" s="850"/>
      <c r="G24" s="851" t="s">
        <v>2328</v>
      </c>
      <c r="H24" s="866">
        <v>6</v>
      </c>
      <c r="I24" s="866" t="s">
        <v>2315</v>
      </c>
      <c r="J24" s="851" t="s">
        <v>178</v>
      </c>
      <c r="K24" s="851">
        <v>1</v>
      </c>
    </row>
    <row r="25" spans="1:11" x14ac:dyDescent="0.3">
      <c r="A25" s="850"/>
      <c r="B25" s="850" t="s">
        <v>2305</v>
      </c>
      <c r="C25" s="850"/>
      <c r="D25" s="850"/>
      <c r="E25" s="850"/>
      <c r="F25" s="850"/>
      <c r="G25" s="851" t="s">
        <v>2328</v>
      </c>
      <c r="H25" s="866">
        <v>6</v>
      </c>
      <c r="I25" s="866" t="s">
        <v>2316</v>
      </c>
      <c r="J25" s="851" t="s">
        <v>178</v>
      </c>
      <c r="K25" s="851">
        <v>2</v>
      </c>
    </row>
    <row r="26" spans="1:11" x14ac:dyDescent="0.3">
      <c r="A26" s="850"/>
      <c r="B26" s="850" t="s">
        <v>2305</v>
      </c>
      <c r="C26" s="850"/>
      <c r="D26" s="850"/>
      <c r="E26" s="850"/>
      <c r="F26" s="850"/>
      <c r="G26" s="851" t="s">
        <v>2328</v>
      </c>
      <c r="H26" s="866">
        <v>6</v>
      </c>
      <c r="I26" s="866" t="s">
        <v>2317</v>
      </c>
      <c r="J26" s="851" t="s">
        <v>178</v>
      </c>
      <c r="K26" s="851">
        <v>2</v>
      </c>
    </row>
    <row r="27" spans="1:11" x14ac:dyDescent="0.3">
      <c r="A27" s="850"/>
      <c r="B27" s="850" t="s">
        <v>2305</v>
      </c>
      <c r="C27" s="850"/>
      <c r="D27" s="850"/>
      <c r="E27" s="850"/>
      <c r="F27" s="850"/>
      <c r="G27" s="851" t="s">
        <v>2328</v>
      </c>
      <c r="H27" s="866">
        <v>6</v>
      </c>
      <c r="I27" s="866" t="s">
        <v>2318</v>
      </c>
      <c r="J27" s="851" t="s">
        <v>178</v>
      </c>
      <c r="K27" s="851">
        <v>3</v>
      </c>
    </row>
    <row r="28" spans="1:11" x14ac:dyDescent="0.3">
      <c r="A28" s="850"/>
      <c r="B28" s="850" t="s">
        <v>2305</v>
      </c>
      <c r="C28" s="850">
        <v>101</v>
      </c>
      <c r="D28" s="850" t="s">
        <v>1147</v>
      </c>
      <c r="E28" s="850" t="s">
        <v>220</v>
      </c>
      <c r="F28" s="850">
        <v>2</v>
      </c>
      <c r="G28" s="851" t="s">
        <v>2328</v>
      </c>
      <c r="H28" s="866">
        <v>9</v>
      </c>
      <c r="I28" s="866" t="s">
        <v>2320</v>
      </c>
      <c r="J28" s="851" t="s">
        <v>178</v>
      </c>
      <c r="K28" s="851">
        <v>6</v>
      </c>
    </row>
    <row r="29" spans="1:11" x14ac:dyDescent="0.3">
      <c r="A29" s="850"/>
      <c r="B29" s="850" t="s">
        <v>2305</v>
      </c>
      <c r="C29" s="850">
        <v>79</v>
      </c>
      <c r="D29" s="850" t="s">
        <v>1133</v>
      </c>
      <c r="E29" s="850" t="s">
        <v>220</v>
      </c>
      <c r="F29" s="850">
        <v>15</v>
      </c>
      <c r="G29" s="851" t="s">
        <v>2328</v>
      </c>
      <c r="H29" s="866">
        <v>9</v>
      </c>
      <c r="I29" s="866" t="s">
        <v>2321</v>
      </c>
      <c r="J29" s="851" t="s">
        <v>178</v>
      </c>
      <c r="K29" s="851">
        <v>25</v>
      </c>
    </row>
    <row r="30" spans="1:11" x14ac:dyDescent="0.3">
      <c r="A30" s="850"/>
      <c r="B30" s="850" t="s">
        <v>2305</v>
      </c>
      <c r="C30" s="850">
        <v>56</v>
      </c>
      <c r="D30" s="850" t="s">
        <v>756</v>
      </c>
      <c r="E30" s="850" t="s">
        <v>193</v>
      </c>
      <c r="F30" s="850">
        <v>8.2100000000000009</v>
      </c>
      <c r="G30" s="851" t="s">
        <v>2328</v>
      </c>
      <c r="H30" s="866">
        <v>7</v>
      </c>
      <c r="I30" s="866" t="s">
        <v>2322</v>
      </c>
      <c r="J30" s="851" t="s">
        <v>193</v>
      </c>
      <c r="K30" s="851">
        <f>4.52+1.88+6.33</f>
        <v>12.73</v>
      </c>
    </row>
    <row r="31" spans="1:11" x14ac:dyDescent="0.3">
      <c r="A31" s="850"/>
      <c r="B31" s="850" t="s">
        <v>2305</v>
      </c>
      <c r="C31" s="850">
        <v>128</v>
      </c>
      <c r="D31" s="850" t="s">
        <v>756</v>
      </c>
      <c r="E31" s="850" t="s">
        <v>193</v>
      </c>
      <c r="F31" s="850">
        <v>3.1</v>
      </c>
      <c r="G31" s="851" t="s">
        <v>2325</v>
      </c>
      <c r="H31" s="866">
        <v>7</v>
      </c>
      <c r="I31" s="866">
        <v>10.11</v>
      </c>
      <c r="J31" s="851" t="s">
        <v>193</v>
      </c>
      <c r="K31" s="851">
        <v>4.2</v>
      </c>
    </row>
    <row r="32" spans="1:11" x14ac:dyDescent="0.3">
      <c r="A32" s="850"/>
      <c r="B32" s="850" t="s">
        <v>2305</v>
      </c>
      <c r="C32" s="850">
        <v>118</v>
      </c>
      <c r="D32" s="850" t="s">
        <v>610</v>
      </c>
      <c r="E32" s="850" t="s">
        <v>220</v>
      </c>
      <c r="F32" s="850">
        <v>7</v>
      </c>
      <c r="G32" s="851" t="s">
        <v>2325</v>
      </c>
      <c r="H32" s="866">
        <v>6</v>
      </c>
      <c r="I32" s="872" t="s">
        <v>2323</v>
      </c>
      <c r="J32" s="851" t="s">
        <v>178</v>
      </c>
      <c r="K32" s="851">
        <v>6</v>
      </c>
    </row>
    <row r="33" spans="1:11" x14ac:dyDescent="0.3">
      <c r="A33" s="850"/>
      <c r="B33" s="850" t="s">
        <v>2305</v>
      </c>
      <c r="C33" s="850">
        <v>119</v>
      </c>
      <c r="D33" s="850" t="s">
        <v>611</v>
      </c>
      <c r="E33" s="850" t="s">
        <v>220</v>
      </c>
      <c r="F33" s="850">
        <v>14</v>
      </c>
      <c r="G33" s="851" t="s">
        <v>2325</v>
      </c>
      <c r="H33" s="866">
        <v>6</v>
      </c>
      <c r="I33" s="872" t="s">
        <v>2323</v>
      </c>
      <c r="J33" s="851" t="s">
        <v>178</v>
      </c>
      <c r="K33" s="851">
        <v>8</v>
      </c>
    </row>
    <row r="34" spans="1:11" x14ac:dyDescent="0.3">
      <c r="A34" s="850"/>
      <c r="B34" s="850" t="s">
        <v>2305</v>
      </c>
      <c r="C34" s="850">
        <v>120</v>
      </c>
      <c r="D34" s="850" t="s">
        <v>590</v>
      </c>
      <c r="E34" s="850" t="s">
        <v>220</v>
      </c>
      <c r="F34" s="850">
        <v>7</v>
      </c>
      <c r="G34" s="851" t="s">
        <v>2325</v>
      </c>
      <c r="H34" s="866">
        <v>6</v>
      </c>
      <c r="I34" s="872" t="s">
        <v>2323</v>
      </c>
      <c r="J34" s="851" t="s">
        <v>178</v>
      </c>
      <c r="K34" s="851">
        <v>17</v>
      </c>
    </row>
    <row r="35" spans="1:11" x14ac:dyDescent="0.3">
      <c r="A35" s="850"/>
      <c r="B35" s="850" t="s">
        <v>2305</v>
      </c>
      <c r="C35" s="850">
        <v>121</v>
      </c>
      <c r="D35" s="850" t="s">
        <v>591</v>
      </c>
      <c r="E35" s="850" t="s">
        <v>220</v>
      </c>
      <c r="F35" s="850">
        <v>7</v>
      </c>
      <c r="G35" s="851" t="s">
        <v>2325</v>
      </c>
      <c r="H35" s="866">
        <v>6</v>
      </c>
      <c r="I35" s="872" t="s">
        <v>2323</v>
      </c>
      <c r="J35" s="851" t="s">
        <v>178</v>
      </c>
      <c r="K35" s="851">
        <v>2</v>
      </c>
    </row>
    <row r="36" spans="1:11" x14ac:dyDescent="0.3">
      <c r="A36" s="850"/>
      <c r="B36" s="850" t="s">
        <v>2305</v>
      </c>
      <c r="C36" s="850">
        <v>122</v>
      </c>
      <c r="D36" s="850" t="s">
        <v>592</v>
      </c>
      <c r="E36" s="850" t="s">
        <v>220</v>
      </c>
      <c r="F36" s="850">
        <v>7</v>
      </c>
      <c r="G36" s="851" t="s">
        <v>2325</v>
      </c>
      <c r="H36" s="866">
        <v>7</v>
      </c>
      <c r="I36" s="866">
        <v>5</v>
      </c>
      <c r="J36" s="851" t="s">
        <v>178</v>
      </c>
      <c r="K36" s="851">
        <v>9</v>
      </c>
    </row>
    <row r="37" spans="1:11" x14ac:dyDescent="0.3">
      <c r="A37" s="850"/>
      <c r="B37" s="850" t="s">
        <v>2305</v>
      </c>
      <c r="C37" s="850">
        <v>111</v>
      </c>
      <c r="D37" s="850" t="s">
        <v>234</v>
      </c>
      <c r="E37" s="850" t="s">
        <v>193</v>
      </c>
      <c r="F37" s="850">
        <v>248.20000000000002</v>
      </c>
      <c r="G37" s="851" t="s">
        <v>2325</v>
      </c>
      <c r="H37" s="866"/>
      <c r="I37" s="866"/>
      <c r="J37" s="851"/>
      <c r="K37" s="851"/>
    </row>
    <row r="38" spans="1:11" x14ac:dyDescent="0.3">
      <c r="A38" s="850"/>
      <c r="B38" s="850" t="s">
        <v>2305</v>
      </c>
      <c r="C38" s="850">
        <v>112</v>
      </c>
      <c r="D38" s="850" t="s">
        <v>160</v>
      </c>
      <c r="E38" s="850" t="s">
        <v>193</v>
      </c>
      <c r="F38" s="850">
        <v>30.73</v>
      </c>
      <c r="G38" s="851" t="s">
        <v>2325</v>
      </c>
      <c r="H38" s="866"/>
      <c r="I38" s="866"/>
      <c r="J38" s="851"/>
      <c r="K38" s="851"/>
    </row>
    <row r="39" spans="1:11" x14ac:dyDescent="0.3">
      <c r="A39" s="850"/>
      <c r="B39" s="850" t="s">
        <v>2305</v>
      </c>
      <c r="C39" s="850">
        <v>133</v>
      </c>
      <c r="D39" s="850" t="s">
        <v>1229</v>
      </c>
      <c r="E39" s="850" t="s">
        <v>193</v>
      </c>
      <c r="F39" s="850">
        <v>104</v>
      </c>
      <c r="G39" s="851" t="s">
        <v>2324</v>
      </c>
      <c r="H39" s="866"/>
      <c r="I39" s="866"/>
      <c r="J39" s="851"/>
      <c r="K39" s="851"/>
    </row>
    <row r="40" spans="1:11" x14ac:dyDescent="0.3">
      <c r="A40" s="850"/>
      <c r="B40" s="850" t="s">
        <v>2305</v>
      </c>
      <c r="C40" s="850">
        <v>140</v>
      </c>
      <c r="D40" s="850" t="s">
        <v>623</v>
      </c>
      <c r="E40" s="850" t="s">
        <v>193</v>
      </c>
      <c r="F40" s="850">
        <v>2117</v>
      </c>
      <c r="G40" s="851" t="s">
        <v>2324</v>
      </c>
      <c r="H40" s="866">
        <v>11</v>
      </c>
      <c r="I40" s="866">
        <v>4</v>
      </c>
      <c r="J40" s="851" t="s">
        <v>193</v>
      </c>
      <c r="K40" s="851">
        <v>3920.72</v>
      </c>
    </row>
    <row r="41" spans="1:11" x14ac:dyDescent="0.3">
      <c r="A41" s="850"/>
      <c r="B41" s="850" t="s">
        <v>2305</v>
      </c>
      <c r="C41" s="850">
        <v>141</v>
      </c>
      <c r="D41" s="850" t="s">
        <v>624</v>
      </c>
      <c r="E41" s="850" t="s">
        <v>193</v>
      </c>
      <c r="F41" s="850">
        <v>2117</v>
      </c>
      <c r="G41" s="851" t="s">
        <v>2324</v>
      </c>
      <c r="H41" s="866"/>
      <c r="I41" s="866"/>
      <c r="J41" s="851"/>
      <c r="K41" s="851"/>
    </row>
    <row r="42" spans="1:11" x14ac:dyDescent="0.3">
      <c r="A42" s="850"/>
      <c r="B42" s="850" t="s">
        <v>2330</v>
      </c>
      <c r="C42" s="850">
        <v>9</v>
      </c>
      <c r="D42" s="850" t="s">
        <v>1303</v>
      </c>
      <c r="E42" s="850" t="s">
        <v>220</v>
      </c>
      <c r="F42" s="850">
        <v>15</v>
      </c>
      <c r="G42" s="851" t="s">
        <v>2334</v>
      </c>
      <c r="H42" s="866">
        <v>9</v>
      </c>
      <c r="I42" s="1019" t="s">
        <v>2331</v>
      </c>
      <c r="J42" s="851" t="s">
        <v>178</v>
      </c>
      <c r="K42" s="851">
        <v>17</v>
      </c>
    </row>
    <row r="43" spans="1:11" x14ac:dyDescent="0.3">
      <c r="A43" s="850"/>
      <c r="B43" s="850" t="s">
        <v>2330</v>
      </c>
      <c r="C43" s="850">
        <v>8</v>
      </c>
      <c r="D43" s="850" t="s">
        <v>1301</v>
      </c>
      <c r="E43" s="850" t="s">
        <v>220</v>
      </c>
      <c r="F43" s="850">
        <v>2</v>
      </c>
      <c r="G43" s="851" t="s">
        <v>2334</v>
      </c>
      <c r="H43" s="866"/>
      <c r="I43" s="866"/>
      <c r="J43" s="851"/>
      <c r="K43" s="851"/>
    </row>
    <row r="44" spans="1:11" x14ac:dyDescent="0.3">
      <c r="A44" s="850"/>
      <c r="B44" s="850" t="s">
        <v>2332</v>
      </c>
      <c r="C44" s="850">
        <v>80</v>
      </c>
      <c r="D44" s="850" t="s">
        <v>407</v>
      </c>
      <c r="E44" s="850" t="s">
        <v>243</v>
      </c>
      <c r="F44" s="850">
        <v>1</v>
      </c>
      <c r="G44" s="851" t="s">
        <v>2335</v>
      </c>
      <c r="H44" s="866"/>
      <c r="I44" s="866"/>
      <c r="J44" s="851"/>
      <c r="K44" s="851"/>
    </row>
    <row r="45" spans="1:11" x14ac:dyDescent="0.3">
      <c r="A45" s="850"/>
      <c r="B45" s="850" t="s">
        <v>2333</v>
      </c>
      <c r="C45" s="850">
        <v>71</v>
      </c>
      <c r="D45" s="850" t="s">
        <v>407</v>
      </c>
      <c r="E45" s="850" t="s">
        <v>243</v>
      </c>
      <c r="F45" s="850">
        <v>1</v>
      </c>
      <c r="G45" s="851" t="s">
        <v>2336</v>
      </c>
      <c r="H45" s="866"/>
      <c r="I45" s="866"/>
      <c r="J45" s="851"/>
      <c r="K45" s="851"/>
    </row>
    <row r="46" spans="1:11" x14ac:dyDescent="0.3">
      <c r="A46" s="850"/>
      <c r="B46" s="850" t="s">
        <v>2333</v>
      </c>
      <c r="C46" s="850">
        <v>4</v>
      </c>
      <c r="D46" s="850" t="s">
        <v>1489</v>
      </c>
      <c r="E46" s="850" t="s">
        <v>193</v>
      </c>
      <c r="F46" s="850">
        <v>9.51</v>
      </c>
      <c r="G46" s="851" t="s">
        <v>2336</v>
      </c>
      <c r="H46" s="866">
        <v>11</v>
      </c>
      <c r="I46" s="866">
        <v>3</v>
      </c>
      <c r="J46" s="851" t="s">
        <v>239</v>
      </c>
      <c r="K46" s="851">
        <v>9.51</v>
      </c>
    </row>
    <row r="47" spans="1:11" x14ac:dyDescent="0.3">
      <c r="A47" s="850"/>
      <c r="B47" s="850" t="s">
        <v>2333</v>
      </c>
      <c r="C47" s="850">
        <v>14</v>
      </c>
      <c r="D47" s="850" t="s">
        <v>1489</v>
      </c>
      <c r="E47" s="850" t="s">
        <v>193</v>
      </c>
      <c r="F47" s="850">
        <v>7.4</v>
      </c>
      <c r="G47" s="851" t="s">
        <v>2336</v>
      </c>
      <c r="H47" s="866">
        <v>12</v>
      </c>
      <c r="I47" s="866">
        <v>3</v>
      </c>
      <c r="J47" s="851" t="s">
        <v>239</v>
      </c>
      <c r="K47" s="851">
        <v>7.4</v>
      </c>
    </row>
    <row r="48" spans="1:11" x14ac:dyDescent="0.3">
      <c r="A48" s="850"/>
      <c r="B48" s="850" t="s">
        <v>2333</v>
      </c>
      <c r="C48" s="850">
        <v>23</v>
      </c>
      <c r="D48" s="850" t="s">
        <v>1489</v>
      </c>
      <c r="E48" s="850" t="s">
        <v>193</v>
      </c>
      <c r="F48" s="850">
        <v>1.64</v>
      </c>
      <c r="G48" s="851" t="s">
        <v>2336</v>
      </c>
      <c r="H48" s="866">
        <v>12</v>
      </c>
      <c r="I48" s="866">
        <v>3</v>
      </c>
      <c r="J48" s="851" t="s">
        <v>239</v>
      </c>
      <c r="K48" s="851">
        <v>1.64</v>
      </c>
    </row>
    <row r="49" spans="1:12" x14ac:dyDescent="0.3">
      <c r="A49" s="850"/>
      <c r="B49" s="850" t="s">
        <v>2333</v>
      </c>
      <c r="C49" s="850">
        <v>30</v>
      </c>
      <c r="D49" s="850" t="s">
        <v>1489</v>
      </c>
      <c r="E49" s="850" t="s">
        <v>193</v>
      </c>
      <c r="F49" s="850">
        <v>1.88</v>
      </c>
      <c r="G49" s="851" t="s">
        <v>2336</v>
      </c>
      <c r="H49" s="866">
        <v>12</v>
      </c>
      <c r="I49" s="866">
        <v>3</v>
      </c>
      <c r="J49" s="851" t="s">
        <v>239</v>
      </c>
      <c r="K49" s="851">
        <v>1.88</v>
      </c>
    </row>
    <row r="50" spans="1:12" x14ac:dyDescent="0.3">
      <c r="A50" s="850"/>
      <c r="B50" s="850" t="s">
        <v>2333</v>
      </c>
      <c r="C50" s="850">
        <v>37</v>
      </c>
      <c r="D50" s="850" t="s">
        <v>1489</v>
      </c>
      <c r="E50" s="850" t="s">
        <v>193</v>
      </c>
      <c r="F50" s="850">
        <v>1.08</v>
      </c>
      <c r="G50" s="851" t="s">
        <v>2336</v>
      </c>
      <c r="H50" s="866">
        <v>13</v>
      </c>
      <c r="I50" s="866">
        <v>3</v>
      </c>
      <c r="J50" s="851" t="s">
        <v>239</v>
      </c>
      <c r="K50" s="851">
        <v>1.08</v>
      </c>
    </row>
    <row r="51" spans="1:12" x14ac:dyDescent="0.3">
      <c r="A51" s="850"/>
      <c r="B51" s="850" t="s">
        <v>2333</v>
      </c>
      <c r="C51" s="850">
        <v>44</v>
      </c>
      <c r="D51" s="850" t="s">
        <v>1489</v>
      </c>
      <c r="E51" s="850" t="s">
        <v>193</v>
      </c>
      <c r="F51" s="850">
        <v>1.8</v>
      </c>
      <c r="G51" s="851" t="s">
        <v>2336</v>
      </c>
      <c r="H51" s="866">
        <v>13</v>
      </c>
      <c r="I51" s="866">
        <v>3</v>
      </c>
      <c r="J51" s="851" t="s">
        <v>239</v>
      </c>
      <c r="K51" s="851">
        <v>1.8</v>
      </c>
    </row>
    <row r="52" spans="1:12" x14ac:dyDescent="0.3">
      <c r="A52" s="850"/>
      <c r="B52" s="850" t="s">
        <v>2333</v>
      </c>
      <c r="C52" s="850">
        <v>51</v>
      </c>
      <c r="D52" s="850" t="s">
        <v>1489</v>
      </c>
      <c r="E52" s="850" t="s">
        <v>193</v>
      </c>
      <c r="F52" s="850">
        <v>1.08</v>
      </c>
      <c r="G52" s="851" t="s">
        <v>2336</v>
      </c>
      <c r="H52" s="866">
        <v>13</v>
      </c>
      <c r="I52" s="866">
        <v>3</v>
      </c>
      <c r="J52" s="851" t="s">
        <v>239</v>
      </c>
      <c r="K52" s="851">
        <v>1.08</v>
      </c>
    </row>
    <row r="53" spans="1:12" x14ac:dyDescent="0.3">
      <c r="A53" s="850"/>
      <c r="B53" s="850" t="s">
        <v>2337</v>
      </c>
      <c r="C53" s="850"/>
      <c r="D53" s="850" t="s">
        <v>1545</v>
      </c>
      <c r="E53" s="850"/>
      <c r="F53" s="850"/>
      <c r="G53" s="851"/>
      <c r="H53" s="866"/>
      <c r="I53" s="866"/>
      <c r="J53" s="851"/>
      <c r="K53" s="851"/>
      <c r="L53" t="s">
        <v>2338</v>
      </c>
    </row>
    <row r="54" spans="1:12" x14ac:dyDescent="0.3">
      <c r="A54" s="850"/>
      <c r="B54" s="850" t="s">
        <v>2337</v>
      </c>
      <c r="C54" s="850">
        <v>54</v>
      </c>
      <c r="D54" s="850" t="s">
        <v>1002</v>
      </c>
      <c r="E54" s="850" t="s">
        <v>193</v>
      </c>
      <c r="F54" s="850">
        <v>0.46</v>
      </c>
      <c r="G54" s="851"/>
      <c r="H54" s="866"/>
      <c r="I54" s="866"/>
      <c r="J54" s="851"/>
      <c r="K54" s="851"/>
      <c r="L54" t="s">
        <v>2338</v>
      </c>
    </row>
    <row r="55" spans="1:12" x14ac:dyDescent="0.3">
      <c r="A55" s="850"/>
      <c r="B55" s="850" t="s">
        <v>2337</v>
      </c>
      <c r="C55" s="850">
        <v>55</v>
      </c>
      <c r="D55" s="850" t="s">
        <v>1580</v>
      </c>
      <c r="E55" s="850" t="s">
        <v>193</v>
      </c>
      <c r="F55" s="850">
        <v>10.199999999999999</v>
      </c>
      <c r="G55" s="851"/>
      <c r="H55" s="866"/>
      <c r="I55" s="866"/>
      <c r="J55" s="851"/>
      <c r="K55" s="851"/>
      <c r="L55" t="s">
        <v>2338</v>
      </c>
    </row>
    <row r="56" spans="1:12" x14ac:dyDescent="0.3">
      <c r="A56" s="850"/>
      <c r="B56" s="850" t="s">
        <v>2337</v>
      </c>
      <c r="C56" s="850">
        <v>56</v>
      </c>
      <c r="D56" s="850" t="s">
        <v>1066</v>
      </c>
      <c r="E56" s="850" t="s">
        <v>387</v>
      </c>
      <c r="F56" s="850">
        <v>18.899999999999999</v>
      </c>
      <c r="G56" s="851"/>
      <c r="H56" s="866"/>
      <c r="I56" s="866"/>
      <c r="J56" s="851"/>
      <c r="K56" s="851"/>
      <c r="L56" t="s">
        <v>2338</v>
      </c>
    </row>
    <row r="57" spans="1:12" x14ac:dyDescent="0.3">
      <c r="A57" s="850"/>
      <c r="B57" s="850" t="s">
        <v>2337</v>
      </c>
      <c r="C57" s="850">
        <v>57</v>
      </c>
      <c r="D57" s="850" t="s">
        <v>1065</v>
      </c>
      <c r="E57" s="850" t="s">
        <v>254</v>
      </c>
      <c r="F57" s="850">
        <v>70.599999999999994</v>
      </c>
      <c r="G57" s="851"/>
      <c r="H57" s="866"/>
      <c r="I57" s="866"/>
      <c r="J57" s="851"/>
      <c r="K57" s="851"/>
      <c r="L57" t="s">
        <v>2338</v>
      </c>
    </row>
    <row r="58" spans="1:12" x14ac:dyDescent="0.3">
      <c r="A58" s="850"/>
      <c r="B58" s="850" t="s">
        <v>2337</v>
      </c>
      <c r="C58" s="850">
        <v>58</v>
      </c>
      <c r="D58" s="850" t="s">
        <v>1581</v>
      </c>
      <c r="E58" s="850" t="s">
        <v>220</v>
      </c>
      <c r="F58" s="850">
        <v>3</v>
      </c>
      <c r="G58" s="851"/>
      <c r="H58" s="866"/>
      <c r="I58" s="866"/>
      <c r="J58" s="851"/>
      <c r="K58" s="851"/>
      <c r="L58" t="s">
        <v>2338</v>
      </c>
    </row>
    <row r="59" spans="1:12" x14ac:dyDescent="0.3">
      <c r="A59" s="850"/>
      <c r="B59" s="850" t="s">
        <v>2337</v>
      </c>
      <c r="C59" s="850">
        <v>59</v>
      </c>
      <c r="D59" s="850" t="s">
        <v>402</v>
      </c>
      <c r="E59" s="850" t="s">
        <v>254</v>
      </c>
      <c r="F59" s="850">
        <v>10.4</v>
      </c>
      <c r="G59" s="851"/>
      <c r="H59" s="866"/>
      <c r="I59" s="866"/>
      <c r="J59" s="851"/>
      <c r="K59" s="851"/>
      <c r="L59" t="s">
        <v>2338</v>
      </c>
    </row>
    <row r="60" spans="1:12" x14ac:dyDescent="0.3">
      <c r="A60" s="850"/>
      <c r="B60" s="850" t="s">
        <v>2337</v>
      </c>
      <c r="C60" s="850">
        <v>60</v>
      </c>
      <c r="D60" s="850" t="s">
        <v>403</v>
      </c>
      <c r="E60" s="850" t="s">
        <v>254</v>
      </c>
      <c r="F60" s="850">
        <v>18.2</v>
      </c>
      <c r="G60" s="851"/>
      <c r="H60" s="866"/>
      <c r="I60" s="866"/>
      <c r="J60" s="851"/>
      <c r="K60" s="851"/>
      <c r="L60" t="s">
        <v>2338</v>
      </c>
    </row>
    <row r="61" spans="1:12" x14ac:dyDescent="0.3">
      <c r="A61" s="850"/>
      <c r="B61" s="850" t="s">
        <v>2337</v>
      </c>
      <c r="C61" s="850">
        <v>61</v>
      </c>
      <c r="D61" s="850" t="s">
        <v>1582</v>
      </c>
      <c r="E61" s="850" t="s">
        <v>254</v>
      </c>
      <c r="F61" s="850">
        <v>18.468</v>
      </c>
      <c r="G61" s="851"/>
      <c r="H61" s="866"/>
      <c r="I61" s="866"/>
      <c r="J61" s="851"/>
      <c r="K61" s="851"/>
      <c r="L61" t="s">
        <v>2338</v>
      </c>
    </row>
    <row r="62" spans="1:12" x14ac:dyDescent="0.3">
      <c r="A62" s="850"/>
      <c r="B62" s="850" t="s">
        <v>2337</v>
      </c>
      <c r="C62" s="850">
        <v>62</v>
      </c>
      <c r="D62" s="850" t="s">
        <v>1583</v>
      </c>
      <c r="E62" s="850" t="s">
        <v>254</v>
      </c>
      <c r="F62" s="850">
        <v>5.3959999999999999</v>
      </c>
      <c r="G62" s="851"/>
      <c r="H62" s="866"/>
      <c r="I62" s="866"/>
      <c r="J62" s="851"/>
      <c r="K62" s="851"/>
      <c r="L62" t="s">
        <v>2338</v>
      </c>
    </row>
    <row r="63" spans="1:12" x14ac:dyDescent="0.3">
      <c r="A63" s="850"/>
      <c r="B63" s="850" t="s">
        <v>2337</v>
      </c>
      <c r="C63" s="850">
        <v>63</v>
      </c>
      <c r="D63" s="850" t="s">
        <v>1584</v>
      </c>
      <c r="E63" s="850" t="s">
        <v>254</v>
      </c>
      <c r="F63" s="850">
        <v>1.3071999999999999</v>
      </c>
      <c r="G63" s="851"/>
      <c r="H63" s="866"/>
      <c r="I63" s="866"/>
      <c r="J63" s="851"/>
      <c r="K63" s="851"/>
      <c r="L63" t="s">
        <v>2338</v>
      </c>
    </row>
    <row r="64" spans="1:12" x14ac:dyDescent="0.3">
      <c r="A64" s="850"/>
      <c r="B64" s="850" t="s">
        <v>2337</v>
      </c>
      <c r="C64" s="850">
        <v>64</v>
      </c>
      <c r="D64" s="850" t="s">
        <v>1585</v>
      </c>
      <c r="E64" s="850" t="s">
        <v>254</v>
      </c>
      <c r="F64" s="850">
        <v>1.1399999999999999</v>
      </c>
      <c r="G64" s="851"/>
      <c r="H64" s="866"/>
      <c r="I64" s="866"/>
      <c r="J64" s="851"/>
      <c r="K64" s="851"/>
      <c r="L64" t="s">
        <v>2338</v>
      </c>
    </row>
    <row r="65" spans="1:12" x14ac:dyDescent="0.3">
      <c r="A65" s="850"/>
      <c r="B65" s="850" t="s">
        <v>2337</v>
      </c>
      <c r="C65" s="850">
        <v>65</v>
      </c>
      <c r="D65" s="850" t="s">
        <v>1586</v>
      </c>
      <c r="E65" s="850" t="s">
        <v>254</v>
      </c>
      <c r="F65" s="850">
        <v>13.200000000000001</v>
      </c>
      <c r="G65" s="851"/>
      <c r="H65" s="866"/>
      <c r="I65" s="866"/>
      <c r="J65" s="851"/>
      <c r="K65" s="851"/>
      <c r="L65" t="s">
        <v>2338</v>
      </c>
    </row>
    <row r="66" spans="1:12" x14ac:dyDescent="0.3">
      <c r="A66" s="850"/>
      <c r="B66" s="850" t="s">
        <v>2337</v>
      </c>
      <c r="C66" s="850">
        <v>66</v>
      </c>
      <c r="D66" s="850" t="s">
        <v>1587</v>
      </c>
      <c r="E66" s="850" t="s">
        <v>254</v>
      </c>
      <c r="F66" s="850">
        <v>4.28</v>
      </c>
      <c r="G66" s="851"/>
      <c r="H66" s="866"/>
      <c r="I66" s="866"/>
      <c r="J66" s="851"/>
      <c r="K66" s="851"/>
      <c r="L66" t="s">
        <v>2338</v>
      </c>
    </row>
    <row r="67" spans="1:12" x14ac:dyDescent="0.3">
      <c r="A67" s="850"/>
      <c r="B67" s="850" t="s">
        <v>2337</v>
      </c>
      <c r="C67" s="850">
        <v>67</v>
      </c>
      <c r="D67" s="850" t="s">
        <v>1588</v>
      </c>
      <c r="E67" s="850" t="s">
        <v>254</v>
      </c>
      <c r="F67" s="850">
        <v>1.2</v>
      </c>
      <c r="G67" s="851"/>
      <c r="H67" s="866"/>
      <c r="I67" s="866"/>
      <c r="J67" s="851"/>
      <c r="K67" s="851"/>
      <c r="L67" t="s">
        <v>2338</v>
      </c>
    </row>
    <row r="68" spans="1:12" x14ac:dyDescent="0.3">
      <c r="A68" s="850"/>
      <c r="B68" s="850" t="s">
        <v>2337</v>
      </c>
      <c r="C68" s="850">
        <v>68</v>
      </c>
      <c r="D68" s="850" t="s">
        <v>1589</v>
      </c>
      <c r="E68" s="850" t="s">
        <v>254</v>
      </c>
      <c r="F68" s="850">
        <v>2.72</v>
      </c>
      <c r="G68" s="851"/>
      <c r="H68" s="866"/>
      <c r="I68" s="866"/>
      <c r="J68" s="851"/>
      <c r="K68" s="851"/>
      <c r="L68" t="s">
        <v>2338</v>
      </c>
    </row>
    <row r="69" spans="1:12" x14ac:dyDescent="0.3">
      <c r="A69" s="850"/>
      <c r="B69" s="850" t="s">
        <v>2337</v>
      </c>
      <c r="C69" s="850"/>
      <c r="D69" s="850" t="s">
        <v>1550</v>
      </c>
      <c r="E69" s="850"/>
      <c r="F69" s="850"/>
      <c r="G69" s="851"/>
      <c r="H69" s="866"/>
      <c r="I69" s="866"/>
      <c r="J69" s="851"/>
      <c r="K69" s="851"/>
      <c r="L69" t="s">
        <v>2338</v>
      </c>
    </row>
    <row r="70" spans="1:12" x14ac:dyDescent="0.3">
      <c r="A70" s="850"/>
      <c r="B70" s="850" t="s">
        <v>2337</v>
      </c>
      <c r="C70" s="850">
        <v>69</v>
      </c>
      <c r="D70" s="850" t="s">
        <v>1590</v>
      </c>
      <c r="E70" s="850" t="s">
        <v>193</v>
      </c>
      <c r="F70" s="850">
        <v>0.52</v>
      </c>
      <c r="G70" s="851"/>
      <c r="H70" s="866"/>
      <c r="I70" s="866"/>
      <c r="J70" s="851"/>
      <c r="K70" s="851"/>
      <c r="L70" t="s">
        <v>2338</v>
      </c>
    </row>
    <row r="71" spans="1:12" x14ac:dyDescent="0.3">
      <c r="A71" s="850"/>
      <c r="B71" s="850" t="s">
        <v>2337</v>
      </c>
      <c r="C71" s="850">
        <v>70</v>
      </c>
      <c r="D71" s="850" t="s">
        <v>1591</v>
      </c>
      <c r="E71" s="850" t="s">
        <v>193</v>
      </c>
      <c r="F71" s="850">
        <v>2.52</v>
      </c>
      <c r="G71" s="851"/>
      <c r="H71" s="866"/>
      <c r="I71" s="866"/>
      <c r="J71" s="851"/>
      <c r="K71" s="851"/>
      <c r="L71" t="s">
        <v>2338</v>
      </c>
    </row>
    <row r="72" spans="1:12" x14ac:dyDescent="0.3">
      <c r="A72" s="850"/>
      <c r="B72" s="850" t="s">
        <v>2337</v>
      </c>
      <c r="C72" s="850">
        <v>71</v>
      </c>
      <c r="D72" s="850" t="s">
        <v>407</v>
      </c>
      <c r="E72" s="850" t="s">
        <v>243</v>
      </c>
      <c r="F72" s="850">
        <v>1</v>
      </c>
      <c r="G72" s="851"/>
      <c r="H72" s="866"/>
      <c r="I72" s="866"/>
      <c r="J72" s="851"/>
      <c r="K72" s="851"/>
      <c r="L72" t="s">
        <v>2338</v>
      </c>
    </row>
    <row r="73" spans="1:12" x14ac:dyDescent="0.3">
      <c r="A73" s="850"/>
      <c r="B73" s="850" t="s">
        <v>2303</v>
      </c>
      <c r="C73" s="850">
        <v>22</v>
      </c>
      <c r="D73" s="850" t="s">
        <v>192</v>
      </c>
      <c r="E73" s="850" t="s">
        <v>178</v>
      </c>
      <c r="F73" s="850">
        <v>1</v>
      </c>
      <c r="G73" s="851"/>
      <c r="H73" s="866"/>
      <c r="I73" s="866"/>
      <c r="J73" s="851"/>
      <c r="K73" s="851"/>
    </row>
    <row r="74" spans="1:12" x14ac:dyDescent="0.3">
      <c r="A74" s="850"/>
      <c r="B74" s="850" t="s">
        <v>2303</v>
      </c>
      <c r="C74" s="850">
        <v>10</v>
      </c>
      <c r="D74" s="850" t="s">
        <v>184</v>
      </c>
      <c r="E74" s="850" t="s">
        <v>194</v>
      </c>
      <c r="F74" s="850">
        <v>37.5</v>
      </c>
      <c r="G74" s="851"/>
      <c r="H74" s="866"/>
      <c r="I74" s="866"/>
      <c r="J74" s="851"/>
      <c r="K74" s="851"/>
    </row>
    <row r="75" spans="1:12" x14ac:dyDescent="0.3">
      <c r="A75" s="850"/>
      <c r="B75" s="850" t="s">
        <v>2303</v>
      </c>
      <c r="C75" s="850">
        <v>11</v>
      </c>
      <c r="D75" s="850" t="s">
        <v>183</v>
      </c>
      <c r="E75" s="850" t="s">
        <v>194</v>
      </c>
      <c r="F75" s="850">
        <v>25</v>
      </c>
      <c r="G75" s="851"/>
      <c r="H75" s="866"/>
      <c r="I75" s="866"/>
      <c r="J75" s="851"/>
      <c r="K75" s="851"/>
    </row>
    <row r="76" spans="1:12" x14ac:dyDescent="0.3">
      <c r="A76" s="850"/>
      <c r="B76" s="850" t="s">
        <v>2303</v>
      </c>
      <c r="C76" s="850">
        <v>23</v>
      </c>
      <c r="D76" s="850" t="s">
        <v>731</v>
      </c>
      <c r="E76" s="850" t="s">
        <v>193</v>
      </c>
      <c r="F76" s="850">
        <v>80</v>
      </c>
      <c r="G76" s="851"/>
      <c r="H76" s="866"/>
      <c r="I76" s="866"/>
      <c r="J76" s="851"/>
      <c r="K76" s="851"/>
    </row>
    <row r="77" spans="1:12" x14ac:dyDescent="0.3">
      <c r="A77" s="850"/>
      <c r="B77" s="850" t="s">
        <v>2303</v>
      </c>
      <c r="C77" s="850">
        <v>24</v>
      </c>
      <c r="D77" s="850" t="s">
        <v>719</v>
      </c>
      <c r="E77" s="850" t="s">
        <v>732</v>
      </c>
      <c r="F77" s="850">
        <v>1</v>
      </c>
      <c r="G77" s="851"/>
      <c r="H77" s="866"/>
      <c r="I77" s="866"/>
      <c r="J77" s="851"/>
      <c r="K77" s="851"/>
    </row>
    <row r="78" spans="1:12" x14ac:dyDescent="0.3">
      <c r="A78" s="850"/>
      <c r="B78" s="850" t="s">
        <v>2303</v>
      </c>
      <c r="C78" s="850">
        <v>20</v>
      </c>
      <c r="D78" s="850" t="s">
        <v>1322</v>
      </c>
      <c r="E78" s="850" t="s">
        <v>178</v>
      </c>
      <c r="F78" s="850">
        <v>9</v>
      </c>
      <c r="G78" s="851"/>
      <c r="H78" s="866"/>
      <c r="I78" s="866"/>
      <c r="J78" s="851"/>
      <c r="K78" s="851"/>
    </row>
    <row r="79" spans="1:12" x14ac:dyDescent="0.3">
      <c r="A79" s="850"/>
      <c r="B79" s="850" t="s">
        <v>2303</v>
      </c>
      <c r="C79" s="850">
        <v>2</v>
      </c>
      <c r="D79" s="850" t="s">
        <v>179</v>
      </c>
      <c r="E79" s="850" t="s">
        <v>193</v>
      </c>
      <c r="F79" s="850">
        <v>6737.6888999999992</v>
      </c>
      <c r="G79" s="851" t="s">
        <v>2339</v>
      </c>
      <c r="H79" s="866">
        <v>59</v>
      </c>
      <c r="I79" s="866" t="s">
        <v>2340</v>
      </c>
      <c r="J79" s="851" t="s">
        <v>193</v>
      </c>
      <c r="K79" s="851">
        <v>5327.17</v>
      </c>
    </row>
    <row r="80" spans="1:12" x14ac:dyDescent="0.3">
      <c r="A80" s="850"/>
      <c r="B80" s="850" t="s">
        <v>2303</v>
      </c>
      <c r="C80" s="850">
        <v>3</v>
      </c>
      <c r="D80" s="850" t="s">
        <v>180</v>
      </c>
      <c r="E80" s="850" t="s">
        <v>431</v>
      </c>
      <c r="F80" s="850">
        <v>6000</v>
      </c>
      <c r="G80" s="851"/>
      <c r="H80" s="866"/>
      <c r="I80" s="866"/>
      <c r="J80" s="851"/>
      <c r="K80" s="851"/>
    </row>
    <row r="81" spans="1:11" x14ac:dyDescent="0.3">
      <c r="A81" s="850"/>
      <c r="B81" s="850" t="s">
        <v>2341</v>
      </c>
      <c r="C81" s="850">
        <v>147</v>
      </c>
      <c r="D81" s="850" t="s">
        <v>241</v>
      </c>
      <c r="E81" s="850" t="s">
        <v>193</v>
      </c>
      <c r="F81" s="850">
        <v>1.85</v>
      </c>
      <c r="G81" s="851"/>
      <c r="H81" s="866"/>
      <c r="I81" s="866"/>
      <c r="J81" s="851"/>
      <c r="K81" s="851"/>
    </row>
    <row r="82" spans="1:11" x14ac:dyDescent="0.3">
      <c r="A82" s="850"/>
      <c r="B82" s="850" t="s">
        <v>2341</v>
      </c>
      <c r="C82" s="850">
        <v>148</v>
      </c>
      <c r="D82" s="850" t="s">
        <v>396</v>
      </c>
      <c r="E82" s="850" t="s">
        <v>193</v>
      </c>
      <c r="F82" s="850">
        <v>0.28999999999999998</v>
      </c>
      <c r="G82" s="851"/>
      <c r="H82" s="866"/>
      <c r="I82" s="866"/>
      <c r="J82" s="851"/>
      <c r="K82" s="851"/>
    </row>
    <row r="83" spans="1:11" x14ac:dyDescent="0.3">
      <c r="A83" s="850"/>
      <c r="B83" s="850" t="s">
        <v>2341</v>
      </c>
      <c r="C83" s="850">
        <v>149</v>
      </c>
      <c r="D83" s="850" t="s">
        <v>397</v>
      </c>
      <c r="E83" s="850" t="s">
        <v>193</v>
      </c>
      <c r="F83" s="850">
        <v>0.22</v>
      </c>
      <c r="G83" s="851"/>
      <c r="H83" s="866"/>
      <c r="I83" s="866"/>
      <c r="J83" s="851"/>
      <c r="K83" s="851"/>
    </row>
    <row r="84" spans="1:11" x14ac:dyDescent="0.3">
      <c r="A84" s="850"/>
      <c r="B84" s="850" t="s">
        <v>2341</v>
      </c>
      <c r="C84" s="850">
        <v>150</v>
      </c>
      <c r="D84" s="850" t="s">
        <v>398</v>
      </c>
      <c r="E84" s="850" t="s">
        <v>243</v>
      </c>
      <c r="F84" s="850">
        <v>1</v>
      </c>
      <c r="G84" s="851"/>
      <c r="H84" s="866"/>
      <c r="I84" s="866"/>
      <c r="J84" s="851"/>
      <c r="K84" s="851"/>
    </row>
    <row r="85" spans="1:11" x14ac:dyDescent="0.3">
      <c r="A85" s="850"/>
      <c r="B85" s="850" t="s">
        <v>2341</v>
      </c>
      <c r="C85" s="850">
        <v>121</v>
      </c>
      <c r="D85" s="850" t="s">
        <v>370</v>
      </c>
      <c r="E85" s="850" t="s">
        <v>239</v>
      </c>
      <c r="F85" s="850">
        <v>1.4</v>
      </c>
      <c r="G85" s="851" t="s">
        <v>2342</v>
      </c>
      <c r="H85" s="866">
        <v>8</v>
      </c>
      <c r="I85" s="866">
        <v>2</v>
      </c>
      <c r="J85" s="851" t="s">
        <v>239</v>
      </c>
      <c r="K85" s="851">
        <v>6.9</v>
      </c>
    </row>
    <row r="86" spans="1:11" x14ac:dyDescent="0.3">
      <c r="A86" s="850"/>
      <c r="B86" s="850" t="s">
        <v>2341</v>
      </c>
      <c r="C86" s="850">
        <v>127</v>
      </c>
      <c r="D86" s="850" t="s">
        <v>262</v>
      </c>
      <c r="E86" s="850" t="s">
        <v>243</v>
      </c>
      <c r="F86" s="850">
        <v>1</v>
      </c>
      <c r="G86" s="851"/>
      <c r="H86" s="866"/>
      <c r="I86" s="866"/>
      <c r="J86" s="851"/>
      <c r="K86" s="851"/>
    </row>
    <row r="87" spans="1:11" x14ac:dyDescent="0.3">
      <c r="A87" s="850"/>
      <c r="B87" s="850" t="s">
        <v>2341</v>
      </c>
      <c r="C87" s="850">
        <v>100</v>
      </c>
      <c r="D87" s="850" t="s">
        <v>262</v>
      </c>
      <c r="E87" s="850" t="s">
        <v>243</v>
      </c>
      <c r="F87" s="850">
        <v>1</v>
      </c>
      <c r="G87" s="851"/>
      <c r="H87" s="866"/>
      <c r="I87" s="866"/>
      <c r="J87" s="851"/>
      <c r="K87" s="851"/>
    </row>
    <row r="88" spans="1:11" x14ac:dyDescent="0.3">
      <c r="A88" s="850"/>
      <c r="B88" s="850" t="s">
        <v>2341</v>
      </c>
      <c r="C88" s="850">
        <v>116</v>
      </c>
      <c r="D88" s="850" t="s">
        <v>262</v>
      </c>
      <c r="E88" s="850" t="s">
        <v>243</v>
      </c>
      <c r="F88" s="850">
        <v>1</v>
      </c>
      <c r="G88" s="851"/>
      <c r="H88" s="866"/>
      <c r="I88" s="866"/>
      <c r="J88" s="851"/>
      <c r="K88" s="851"/>
    </row>
    <row r="89" spans="1:11" x14ac:dyDescent="0.3">
      <c r="A89" s="850"/>
      <c r="B89" s="850"/>
      <c r="C89" s="850"/>
      <c r="D89" s="850"/>
      <c r="E89" s="850"/>
      <c r="F89" s="850"/>
      <c r="G89" s="851"/>
      <c r="H89" s="866"/>
      <c r="I89" s="866"/>
      <c r="J89" s="851"/>
      <c r="K89" s="851"/>
    </row>
    <row r="90" spans="1:11" x14ac:dyDescent="0.3">
      <c r="A90" s="850"/>
      <c r="B90" s="850"/>
      <c r="C90" s="850"/>
      <c r="D90" s="850"/>
      <c r="E90" s="850"/>
      <c r="F90" s="850"/>
      <c r="G90" s="851"/>
      <c r="H90" s="866"/>
      <c r="I90" s="866"/>
      <c r="J90" s="851"/>
      <c r="K90" s="851"/>
    </row>
    <row r="91" spans="1:11" x14ac:dyDescent="0.3">
      <c r="A91" s="850"/>
      <c r="B91" s="850"/>
      <c r="C91" s="850"/>
      <c r="D91" s="850"/>
      <c r="E91" s="850"/>
      <c r="F91" s="850"/>
      <c r="G91" s="851"/>
      <c r="H91" s="866"/>
      <c r="I91" s="866"/>
      <c r="J91" s="851"/>
      <c r="K91" s="851"/>
    </row>
    <row r="92" spans="1:11" x14ac:dyDescent="0.3">
      <c r="A92" s="850"/>
      <c r="B92" s="850"/>
      <c r="C92" s="850"/>
      <c r="D92" s="850"/>
      <c r="E92" s="850"/>
      <c r="F92" s="850"/>
      <c r="G92" s="851"/>
      <c r="H92" s="866"/>
      <c r="I92" s="866"/>
      <c r="J92" s="851"/>
      <c r="K92" s="851"/>
    </row>
    <row r="93" spans="1:11" x14ac:dyDescent="0.3">
      <c r="A93" s="850"/>
      <c r="B93" s="850"/>
      <c r="C93" s="850"/>
      <c r="D93" s="850"/>
      <c r="E93" s="850"/>
      <c r="F93" s="850"/>
      <c r="G93" s="851"/>
      <c r="H93" s="866"/>
      <c r="I93" s="866"/>
      <c r="J93" s="851"/>
      <c r="K93" s="851"/>
    </row>
    <row r="94" spans="1:11" x14ac:dyDescent="0.3">
      <c r="A94" s="850"/>
      <c r="B94" s="850"/>
      <c r="C94" s="850"/>
      <c r="D94" s="850"/>
      <c r="E94" s="850"/>
      <c r="F94" s="850"/>
      <c r="G94" s="851"/>
      <c r="H94" s="866"/>
      <c r="I94" s="866"/>
      <c r="J94" s="851"/>
      <c r="K94" s="851"/>
    </row>
    <row r="95" spans="1:11" x14ac:dyDescent="0.3">
      <c r="A95" s="850"/>
      <c r="B95" s="850"/>
      <c r="C95" s="850"/>
      <c r="D95" s="850"/>
      <c r="E95" s="850"/>
      <c r="F95" s="850"/>
      <c r="G95" s="851"/>
      <c r="H95" s="866"/>
      <c r="I95" s="866"/>
      <c r="J95" s="851"/>
      <c r="K95" s="851"/>
    </row>
    <row r="96" spans="1:11" x14ac:dyDescent="0.3">
      <c r="A96" s="850"/>
      <c r="B96" s="850"/>
      <c r="C96" s="850"/>
      <c r="D96" s="850"/>
      <c r="E96" s="850"/>
      <c r="F96" s="850"/>
      <c r="G96" s="851"/>
      <c r="H96" s="866"/>
      <c r="I96" s="866"/>
      <c r="J96" s="851"/>
      <c r="K96" s="851"/>
    </row>
    <row r="97" spans="1:11" x14ac:dyDescent="0.3">
      <c r="A97" s="850"/>
      <c r="B97" s="850"/>
      <c r="C97" s="850"/>
      <c r="D97" s="850"/>
      <c r="E97" s="850"/>
      <c r="F97" s="850"/>
      <c r="G97" s="851"/>
      <c r="H97" s="866"/>
      <c r="I97" s="866"/>
      <c r="J97" s="851"/>
      <c r="K97" s="851"/>
    </row>
    <row r="98" spans="1:11" x14ac:dyDescent="0.3">
      <c r="A98" s="850"/>
      <c r="B98" s="850"/>
      <c r="C98" s="850"/>
      <c r="D98" s="850"/>
      <c r="E98" s="850"/>
      <c r="F98" s="850"/>
      <c r="G98" s="851"/>
      <c r="H98" s="866"/>
      <c r="I98" s="866"/>
      <c r="J98" s="851"/>
      <c r="K98" s="851"/>
    </row>
    <row r="99" spans="1:11" x14ac:dyDescent="0.3">
      <c r="A99" s="850"/>
      <c r="B99" s="850"/>
      <c r="C99" s="850"/>
      <c r="D99" s="850"/>
      <c r="E99" s="850"/>
      <c r="F99" s="850"/>
      <c r="G99" s="851"/>
      <c r="H99" s="866"/>
      <c r="I99" s="866"/>
      <c r="J99" s="851"/>
      <c r="K99" s="851"/>
    </row>
    <row r="100" spans="1:11" x14ac:dyDescent="0.3">
      <c r="A100" s="850"/>
      <c r="B100" s="850"/>
      <c r="C100" s="850"/>
      <c r="D100" s="850"/>
      <c r="E100" s="850"/>
      <c r="F100" s="850"/>
      <c r="G100" s="851"/>
      <c r="H100" s="866"/>
      <c r="I100" s="866"/>
      <c r="J100" s="851"/>
      <c r="K100" s="851"/>
    </row>
    <row r="101" spans="1:11" x14ac:dyDescent="0.3">
      <c r="A101" s="850"/>
      <c r="B101" s="850"/>
      <c r="C101" s="850"/>
      <c r="D101" s="850"/>
      <c r="E101" s="850"/>
      <c r="F101" s="850"/>
      <c r="G101" s="851"/>
      <c r="H101" s="866"/>
      <c r="I101" s="866"/>
      <c r="J101" s="851"/>
      <c r="K101" s="851"/>
    </row>
    <row r="102" spans="1:11" x14ac:dyDescent="0.3">
      <c r="A102" s="850"/>
      <c r="B102" s="850"/>
      <c r="C102" s="850"/>
      <c r="D102" s="850"/>
      <c r="E102" s="850"/>
      <c r="F102" s="850"/>
      <c r="G102" s="851"/>
      <c r="H102" s="866"/>
      <c r="I102" s="866"/>
      <c r="J102" s="851"/>
      <c r="K102" s="851"/>
    </row>
    <row r="103" spans="1:11" x14ac:dyDescent="0.3">
      <c r="A103" s="850"/>
      <c r="B103" s="850"/>
      <c r="C103" s="850"/>
      <c r="D103" s="850"/>
      <c r="E103" s="850"/>
      <c r="F103" s="850"/>
      <c r="G103" s="851"/>
      <c r="H103" s="866"/>
      <c r="I103" s="866"/>
      <c r="J103" s="851"/>
      <c r="K103" s="851"/>
    </row>
    <row r="104" spans="1:11" x14ac:dyDescent="0.3">
      <c r="A104" s="850"/>
      <c r="B104" s="850"/>
      <c r="C104" s="850"/>
      <c r="D104" s="850"/>
      <c r="E104" s="850"/>
      <c r="F104" s="850"/>
      <c r="G104" s="851"/>
      <c r="H104" s="866"/>
      <c r="I104" s="866"/>
      <c r="J104" s="851"/>
      <c r="K104" s="851"/>
    </row>
    <row r="105" spans="1:11" x14ac:dyDescent="0.3">
      <c r="A105" s="850"/>
      <c r="B105" s="850"/>
      <c r="C105" s="850"/>
      <c r="D105" s="850"/>
      <c r="E105" s="850"/>
      <c r="F105" s="850"/>
      <c r="G105" s="851"/>
      <c r="H105" s="866"/>
      <c r="I105" s="866"/>
      <c r="J105" s="851"/>
      <c r="K105" s="851"/>
    </row>
    <row r="106" spans="1:11" x14ac:dyDescent="0.3">
      <c r="A106" s="850"/>
      <c r="B106" s="850"/>
      <c r="C106" s="850"/>
      <c r="D106" s="850"/>
      <c r="E106" s="850"/>
      <c r="F106" s="850"/>
      <c r="G106" s="851"/>
      <c r="H106" s="866"/>
      <c r="I106" s="866"/>
      <c r="J106" s="851"/>
      <c r="K106" s="851"/>
    </row>
    <row r="107" spans="1:11" x14ac:dyDescent="0.3">
      <c r="A107" s="850"/>
      <c r="B107" s="850"/>
      <c r="C107" s="850"/>
      <c r="D107" s="850"/>
      <c r="E107" s="850"/>
      <c r="F107" s="850"/>
      <c r="G107" s="851"/>
      <c r="H107" s="866"/>
      <c r="I107" s="866"/>
      <c r="J107" s="851"/>
      <c r="K107" s="851"/>
    </row>
    <row r="108" spans="1:11" x14ac:dyDescent="0.3">
      <c r="A108" s="850"/>
      <c r="B108" s="850"/>
      <c r="C108" s="850"/>
      <c r="D108" s="850"/>
      <c r="E108" s="850"/>
      <c r="F108" s="850"/>
      <c r="G108" s="851"/>
      <c r="H108" s="866"/>
      <c r="I108" s="866"/>
      <c r="J108" s="851"/>
      <c r="K108" s="851"/>
    </row>
    <row r="109" spans="1:11" x14ac:dyDescent="0.3">
      <c r="A109" s="850"/>
      <c r="B109" s="850"/>
      <c r="C109" s="850"/>
      <c r="D109" s="850"/>
      <c r="E109" s="850"/>
      <c r="F109" s="850"/>
      <c r="G109" s="851"/>
      <c r="H109" s="866"/>
      <c r="I109" s="866"/>
      <c r="J109" s="851"/>
      <c r="K109" s="851"/>
    </row>
    <row r="110" spans="1:11" x14ac:dyDescent="0.3">
      <c r="A110" s="850"/>
      <c r="B110" s="850"/>
      <c r="C110" s="850"/>
      <c r="D110" s="850"/>
      <c r="E110" s="850"/>
      <c r="F110" s="850"/>
      <c r="G110" s="851"/>
      <c r="H110" s="866"/>
      <c r="I110" s="866"/>
      <c r="J110" s="851"/>
      <c r="K110" s="851"/>
    </row>
    <row r="111" spans="1:11" x14ac:dyDescent="0.3">
      <c r="A111" s="850"/>
      <c r="B111" s="850"/>
      <c r="C111" s="850"/>
      <c r="D111" s="850"/>
      <c r="E111" s="850"/>
      <c r="F111" s="850"/>
      <c r="G111" s="851"/>
      <c r="H111" s="866"/>
      <c r="I111" s="866"/>
      <c r="J111" s="851"/>
      <c r="K111" s="851"/>
    </row>
    <row r="112" spans="1:11" x14ac:dyDescent="0.3">
      <c r="A112" s="850"/>
      <c r="B112" s="850"/>
      <c r="C112" s="850"/>
      <c r="D112" s="850"/>
      <c r="E112" s="850"/>
      <c r="F112" s="850"/>
      <c r="G112" s="851"/>
      <c r="H112" s="866"/>
      <c r="I112" s="866"/>
      <c r="J112" s="851"/>
      <c r="K112" s="851"/>
    </row>
    <row r="113" spans="1:11" x14ac:dyDescent="0.3">
      <c r="A113" s="850"/>
      <c r="B113" s="850"/>
      <c r="C113" s="850"/>
      <c r="D113" s="850"/>
      <c r="E113" s="850"/>
      <c r="F113" s="850"/>
      <c r="G113" s="851"/>
      <c r="H113" s="866"/>
      <c r="I113" s="866"/>
      <c r="J113" s="851"/>
      <c r="K113" s="851"/>
    </row>
    <row r="114" spans="1:11" x14ac:dyDescent="0.3">
      <c r="A114" s="850"/>
      <c r="B114" s="850"/>
      <c r="C114" s="850"/>
      <c r="D114" s="850"/>
      <c r="E114" s="850"/>
      <c r="F114" s="850"/>
      <c r="G114" s="851"/>
      <c r="H114" s="866"/>
      <c r="I114" s="866"/>
      <c r="J114" s="851"/>
      <c r="K114" s="851"/>
    </row>
    <row r="115" spans="1:11" x14ac:dyDescent="0.3">
      <c r="A115" s="850"/>
      <c r="B115" s="850"/>
      <c r="C115" s="850"/>
      <c r="D115" s="850"/>
      <c r="E115" s="850"/>
      <c r="F115" s="850"/>
      <c r="G115" s="851"/>
      <c r="H115" s="866"/>
      <c r="I115" s="866"/>
      <c r="J115" s="851"/>
      <c r="K115" s="851"/>
    </row>
    <row r="116" spans="1:11" x14ac:dyDescent="0.3">
      <c r="A116" s="850"/>
      <c r="B116" s="850"/>
      <c r="C116" s="850"/>
      <c r="D116" s="850"/>
      <c r="E116" s="850"/>
      <c r="F116" s="850"/>
      <c r="G116" s="851"/>
      <c r="H116" s="866"/>
      <c r="I116" s="866"/>
      <c r="J116" s="851"/>
      <c r="K116" s="851"/>
    </row>
    <row r="117" spans="1:11" x14ac:dyDescent="0.3">
      <c r="A117" s="850"/>
      <c r="B117" s="850"/>
      <c r="C117" s="850"/>
      <c r="D117" s="850"/>
      <c r="E117" s="850"/>
      <c r="F117" s="850"/>
      <c r="G117" s="851"/>
      <c r="H117" s="866"/>
      <c r="I117" s="866"/>
      <c r="J117" s="851"/>
      <c r="K117" s="851"/>
    </row>
    <row r="118" spans="1:11" x14ac:dyDescent="0.3">
      <c r="A118" s="850"/>
      <c r="B118" s="850"/>
      <c r="C118" s="850"/>
      <c r="D118" s="850"/>
      <c r="E118" s="850"/>
      <c r="F118" s="850"/>
      <c r="G118" s="851"/>
      <c r="H118" s="866"/>
      <c r="I118" s="866"/>
      <c r="J118" s="851"/>
      <c r="K118" s="851"/>
    </row>
    <row r="119" spans="1:11" x14ac:dyDescent="0.3">
      <c r="A119" s="850"/>
      <c r="B119" s="850"/>
      <c r="C119" s="850"/>
      <c r="D119" s="850"/>
      <c r="E119" s="850"/>
      <c r="F119" s="850"/>
      <c r="G119" s="851"/>
      <c r="H119" s="866"/>
      <c r="I119" s="866"/>
      <c r="J119" s="851"/>
      <c r="K119" s="851"/>
    </row>
    <row r="120" spans="1:11" x14ac:dyDescent="0.3">
      <c r="A120" s="850"/>
      <c r="B120" s="850"/>
      <c r="C120" s="850"/>
      <c r="D120" s="850"/>
      <c r="E120" s="850"/>
      <c r="F120" s="850"/>
      <c r="G120" s="851"/>
      <c r="H120" s="866"/>
      <c r="I120" s="866"/>
      <c r="J120" s="851"/>
      <c r="K120" s="851"/>
    </row>
    <row r="121" spans="1:11" x14ac:dyDescent="0.3">
      <c r="A121" s="850"/>
      <c r="B121" s="850"/>
      <c r="C121" s="850"/>
      <c r="D121" s="850"/>
      <c r="E121" s="850"/>
      <c r="F121" s="850"/>
      <c r="G121" s="851"/>
      <c r="H121" s="866"/>
      <c r="I121" s="866"/>
      <c r="J121" s="851"/>
      <c r="K121" s="851"/>
    </row>
    <row r="122" spans="1:11" x14ac:dyDescent="0.3">
      <c r="A122" s="850"/>
      <c r="B122" s="850"/>
      <c r="C122" s="850"/>
      <c r="D122" s="850"/>
      <c r="E122" s="850"/>
      <c r="F122" s="850"/>
      <c r="G122" s="851"/>
      <c r="H122" s="866"/>
      <c r="I122" s="866"/>
      <c r="J122" s="851"/>
      <c r="K122" s="851"/>
    </row>
    <row r="123" spans="1:11" x14ac:dyDescent="0.3">
      <c r="A123" s="850"/>
      <c r="B123" s="850"/>
      <c r="C123" s="850"/>
      <c r="D123" s="850"/>
      <c r="E123" s="850"/>
      <c r="F123" s="850"/>
      <c r="G123" s="851"/>
      <c r="H123" s="866"/>
      <c r="I123" s="866"/>
      <c r="J123" s="851"/>
      <c r="K123" s="851"/>
    </row>
  </sheetData>
  <mergeCells count="2">
    <mergeCell ref="A1:B1"/>
    <mergeCell ref="C1:D1"/>
  </mergeCells>
  <phoneticPr fontId="45" type="noConversion"/>
  <hyperlinks>
    <hyperlink ref="C1" r:id="rId1" xr:uid="{C22ABCFF-8EE9-4F10-869C-539B14DE4278}"/>
  </hyperlinks>
  <pageMargins left="0.7" right="0.7" top="0.75" bottom="0.75" header="0.3" footer="0.3"/>
  <pageSetup paperSize="9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37"/>
  <sheetViews>
    <sheetView zoomScale="90" zoomScaleNormal="90" zoomScaleSheetLayoutView="100" workbookViewId="0">
      <pane ySplit="2" topLeftCell="A27" activePane="bottomLeft" state="frozen"/>
      <selection pane="bottomLeft" activeCell="H15" sqref="H15:L15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888" t="s">
        <v>200</v>
      </c>
      <c r="B1" s="888" t="s">
        <v>227</v>
      </c>
      <c r="C1" s="888" t="s">
        <v>411</v>
      </c>
      <c r="D1" s="888" t="s">
        <v>202</v>
      </c>
      <c r="E1" s="934" t="s">
        <v>412</v>
      </c>
      <c r="F1" s="936" t="s">
        <v>438</v>
      </c>
      <c r="G1" s="934" t="s">
        <v>409</v>
      </c>
    </row>
    <row r="2" spans="1:10" ht="36" customHeight="1" x14ac:dyDescent="0.3">
      <c r="A2" s="888"/>
      <c r="B2" s="888"/>
      <c r="C2" s="888"/>
      <c r="D2" s="888"/>
      <c r="E2" s="935"/>
      <c r="F2" s="937"/>
      <c r="G2" s="935"/>
      <c r="J2" s="335"/>
    </row>
    <row r="3" spans="1:10" ht="12.75" customHeight="1" x14ac:dyDescent="0.3">
      <c r="A3" s="143">
        <v>1</v>
      </c>
      <c r="B3" s="144">
        <v>2</v>
      </c>
      <c r="C3" s="144">
        <v>3</v>
      </c>
      <c r="D3" s="144">
        <v>4</v>
      </c>
      <c r="E3" s="144">
        <v>5</v>
      </c>
      <c r="F3" s="144">
        <v>6</v>
      </c>
      <c r="G3" s="144">
        <v>7</v>
      </c>
      <c r="J3" s="335"/>
    </row>
    <row r="4" spans="1:10" ht="14.55" customHeight="1" x14ac:dyDescent="0.3">
      <c r="B4" s="696" t="s">
        <v>207</v>
      </c>
      <c r="C4" s="115"/>
      <c r="D4" s="115"/>
      <c r="E4" s="116"/>
      <c r="F4" s="695">
        <f>SUM(F5:F9)</f>
        <v>21246300.880000003</v>
      </c>
      <c r="G4" s="695">
        <f>SUM(G5:G9)</f>
        <v>25495561.059999999</v>
      </c>
      <c r="J4" s="335"/>
    </row>
    <row r="5" spans="1:10" x14ac:dyDescent="0.3">
      <c r="A5" s="512">
        <v>1</v>
      </c>
      <c r="B5" s="513" t="s">
        <v>2103</v>
      </c>
      <c r="C5" s="512" t="s">
        <v>193</v>
      </c>
      <c r="D5" s="497">
        <v>7955.76</v>
      </c>
      <c r="E5" s="497">
        <v>464.83</v>
      </c>
      <c r="F5" s="511">
        <f>ROUND(E5*D5,2)</f>
        <v>3698075.92</v>
      </c>
      <c r="G5" s="511">
        <f>ROUND(F5*1.2,2)</f>
        <v>4437691.0999999996</v>
      </c>
    </row>
    <row r="6" spans="1:10" x14ac:dyDescent="0.3">
      <c r="A6" s="512"/>
      <c r="B6" s="513" t="s">
        <v>2102</v>
      </c>
      <c r="C6" s="512" t="s">
        <v>193</v>
      </c>
      <c r="D6" s="497">
        <v>7955.76</v>
      </c>
      <c r="E6" s="497">
        <v>1350</v>
      </c>
      <c r="F6" s="511">
        <f>ROUND(E6*D6,2)</f>
        <v>10740276</v>
      </c>
      <c r="G6" s="511">
        <f>ROUND(F6*1.2,2)</f>
        <v>12888331.199999999</v>
      </c>
    </row>
    <row r="7" spans="1:10" x14ac:dyDescent="0.3">
      <c r="A7" s="102">
        <f>A5+1</f>
        <v>2</v>
      </c>
      <c r="B7" s="92" t="s">
        <v>428</v>
      </c>
      <c r="C7" s="102" t="s">
        <v>193</v>
      </c>
      <c r="D7" s="105">
        <v>598.14</v>
      </c>
      <c r="E7" s="105">
        <v>1776.3630479999999</v>
      </c>
      <c r="F7" s="94">
        <f>ROUND(E7*D7,2)</f>
        <v>1062513.79</v>
      </c>
      <c r="G7" s="94">
        <f t="shared" ref="G7:G9" si="0">ROUND(F7*1.2,2)</f>
        <v>1275016.55</v>
      </c>
    </row>
    <row r="8" spans="1:10" x14ac:dyDescent="0.3">
      <c r="A8" s="102">
        <f>A7+1</f>
        <v>3</v>
      </c>
      <c r="B8" s="92" t="s">
        <v>430</v>
      </c>
      <c r="C8" s="102" t="s">
        <v>431</v>
      </c>
      <c r="D8" s="105">
        <v>762.75</v>
      </c>
      <c r="E8" s="105">
        <v>418.34637000000004</v>
      </c>
      <c r="F8" s="94">
        <f>ROUND(E8*D8,2)</f>
        <v>319093.69</v>
      </c>
      <c r="G8" s="94">
        <f t="shared" si="0"/>
        <v>382912.43</v>
      </c>
    </row>
    <row r="9" spans="1:10" x14ac:dyDescent="0.3">
      <c r="A9" s="102">
        <f>A8+1</f>
        <v>4</v>
      </c>
      <c r="B9" s="92" t="s">
        <v>712</v>
      </c>
      <c r="C9" s="102" t="s">
        <v>431</v>
      </c>
      <c r="D9" s="105">
        <v>12970.93</v>
      </c>
      <c r="E9" s="105">
        <v>418.34637000000004</v>
      </c>
      <c r="F9" s="94">
        <f>ROUND(E9*D9,2)</f>
        <v>5426341.4800000004</v>
      </c>
      <c r="G9" s="94">
        <f t="shared" si="0"/>
        <v>6511609.7800000003</v>
      </c>
    </row>
    <row r="10" spans="1:10" ht="14.4" customHeight="1" x14ac:dyDescent="0.3">
      <c r="B10" s="696" t="s">
        <v>713</v>
      </c>
      <c r="C10" s="115"/>
      <c r="D10" s="115"/>
      <c r="E10" s="115"/>
      <c r="F10" s="695">
        <f>SUM(F11:F15)</f>
        <v>3082793.68</v>
      </c>
      <c r="G10" s="695">
        <f>SUM(G11:G15)</f>
        <v>3699352.41</v>
      </c>
    </row>
    <row r="11" spans="1:10" x14ac:dyDescent="0.3">
      <c r="A11" s="102">
        <f>A9+1</f>
        <v>5</v>
      </c>
      <c r="B11" s="103" t="s">
        <v>425</v>
      </c>
      <c r="C11" s="102" t="s">
        <v>178</v>
      </c>
      <c r="D11" s="332">
        <v>1</v>
      </c>
      <c r="E11" s="105">
        <v>156714.695568</v>
      </c>
      <c r="F11" s="270">
        <f>ROUND(E11*D11,2)</f>
        <v>156714.70000000001</v>
      </c>
      <c r="G11" s="270">
        <f t="shared" ref="G11:G14" si="1">ROUND(F11*1.2,2)</f>
        <v>188057.64</v>
      </c>
    </row>
    <row r="12" spans="1:10" x14ac:dyDescent="0.3">
      <c r="A12" s="102">
        <f>A11+1</f>
        <v>6</v>
      </c>
      <c r="B12" s="103" t="s">
        <v>424</v>
      </c>
      <c r="C12" s="102" t="s">
        <v>194</v>
      </c>
      <c r="D12" s="332">
        <v>809</v>
      </c>
      <c r="E12" s="105">
        <v>2980.6284960000003</v>
      </c>
      <c r="F12" s="270">
        <f>ROUND(E12*D12,2)</f>
        <v>2411328.4500000002</v>
      </c>
      <c r="G12" s="270">
        <f t="shared" si="1"/>
        <v>2893594.14</v>
      </c>
    </row>
    <row r="13" spans="1:10" x14ac:dyDescent="0.3">
      <c r="A13" s="102">
        <f>A12+1</f>
        <v>7</v>
      </c>
      <c r="B13" s="103" t="s">
        <v>424</v>
      </c>
      <c r="C13" s="102" t="s">
        <v>194</v>
      </c>
      <c r="D13" s="332">
        <v>6</v>
      </c>
      <c r="E13" s="105">
        <v>2980.6284960000003</v>
      </c>
      <c r="F13" s="270">
        <f>ROUND(E13*D13,2)</f>
        <v>17883.77</v>
      </c>
      <c r="G13" s="270">
        <f t="shared" ref="G13" si="2">ROUND(F13*1.2,2)</f>
        <v>21460.52</v>
      </c>
      <c r="H13" t="s">
        <v>1328</v>
      </c>
    </row>
    <row r="14" spans="1:10" x14ac:dyDescent="0.3">
      <c r="A14" s="102">
        <f>A13+1</f>
        <v>8</v>
      </c>
      <c r="B14" s="103" t="s">
        <v>426</v>
      </c>
      <c r="C14" s="102" t="s">
        <v>178</v>
      </c>
      <c r="D14" s="332">
        <v>3</v>
      </c>
      <c r="E14" s="105">
        <v>124216.6914</v>
      </c>
      <c r="F14" s="270">
        <f>ROUND(E14*D14,2)</f>
        <v>372650.07</v>
      </c>
      <c r="G14" s="270">
        <f t="shared" si="1"/>
        <v>447180.08</v>
      </c>
    </row>
    <row r="15" spans="1:10" ht="27.6" x14ac:dyDescent="0.3">
      <c r="A15" s="334">
        <f>A14+1</f>
        <v>9</v>
      </c>
      <c r="B15" s="103" t="s">
        <v>1319</v>
      </c>
      <c r="C15" s="102" t="s">
        <v>178</v>
      </c>
      <c r="D15" s="332">
        <v>1</v>
      </c>
      <c r="E15" s="105">
        <v>124216.6914</v>
      </c>
      <c r="F15" s="270">
        <f>ROUND(E15*D15,2)</f>
        <v>124216.69</v>
      </c>
      <c r="G15" s="270">
        <f t="shared" ref="G15" si="3">ROUND(F15*1.2,2)</f>
        <v>149060.03</v>
      </c>
      <c r="H15" s="203" t="s">
        <v>1320</v>
      </c>
    </row>
    <row r="16" spans="1:10" ht="14.55" customHeight="1" x14ac:dyDescent="0.3">
      <c r="B16" s="696" t="s">
        <v>413</v>
      </c>
      <c r="C16" s="115"/>
      <c r="D16" s="115"/>
      <c r="E16" s="115"/>
      <c r="F16" s="695">
        <f>SUM(F17:F35)</f>
        <v>22318027.409999996</v>
      </c>
      <c r="G16" s="695">
        <f>SUM(G17:G35)</f>
        <v>26781632.919999994</v>
      </c>
      <c r="H16" s="202"/>
    </row>
    <row r="17" spans="1:8" x14ac:dyDescent="0.3">
      <c r="A17" s="102">
        <f>A15+1</f>
        <v>10</v>
      </c>
      <c r="B17" s="103" t="s">
        <v>710</v>
      </c>
      <c r="C17" s="102" t="s">
        <v>193</v>
      </c>
      <c r="D17" s="333">
        <v>5327.17</v>
      </c>
      <c r="E17" s="105">
        <v>2139.3589751999998</v>
      </c>
      <c r="F17" s="270">
        <f t="shared" ref="F17:F35" si="4">ROUND(E17*D17,2)</f>
        <v>11396728.949999999</v>
      </c>
      <c r="G17" s="270">
        <f t="shared" ref="G17:G35" si="5">ROUND(F17*1.2,2)</f>
        <v>13676074.74</v>
      </c>
    </row>
    <row r="18" spans="1:8" ht="27.6" x14ac:dyDescent="0.3">
      <c r="A18" s="102">
        <f>A17+1</f>
        <v>11</v>
      </c>
      <c r="B18" s="103" t="s">
        <v>711</v>
      </c>
      <c r="C18" s="102" t="s">
        <v>193</v>
      </c>
      <c r="D18" s="333">
        <v>437.94</v>
      </c>
      <c r="E18" s="105">
        <v>2073.7107756</v>
      </c>
      <c r="F18" s="270">
        <f t="shared" si="4"/>
        <v>908160.9</v>
      </c>
      <c r="G18" s="270">
        <f t="shared" si="5"/>
        <v>1089793.08</v>
      </c>
    </row>
    <row r="19" spans="1:8" ht="41.4" x14ac:dyDescent="0.3">
      <c r="A19" s="102">
        <f t="shared" ref="A19:A35" si="6">A18+1</f>
        <v>12</v>
      </c>
      <c r="B19" s="103" t="s">
        <v>414</v>
      </c>
      <c r="C19" s="102" t="s">
        <v>194</v>
      </c>
      <c r="D19" s="332">
        <v>1211</v>
      </c>
      <c r="E19" s="105">
        <v>3358.2129119999995</v>
      </c>
      <c r="F19" s="270">
        <f t="shared" si="4"/>
        <v>4066795.84</v>
      </c>
      <c r="G19" s="270">
        <f t="shared" si="5"/>
        <v>4880155.01</v>
      </c>
      <c r="H19" s="930"/>
    </row>
    <row r="20" spans="1:8" ht="41.4" x14ac:dyDescent="0.3">
      <c r="A20" s="102">
        <f t="shared" si="6"/>
        <v>13</v>
      </c>
      <c r="B20" s="103" t="s">
        <v>415</v>
      </c>
      <c r="C20" s="102" t="s">
        <v>194</v>
      </c>
      <c r="D20" s="332">
        <v>688</v>
      </c>
      <c r="E20" s="105">
        <v>2269.7972279999994</v>
      </c>
      <c r="F20" s="270">
        <f t="shared" si="4"/>
        <v>1561620.49</v>
      </c>
      <c r="G20" s="270">
        <f t="shared" si="5"/>
        <v>1873944.59</v>
      </c>
      <c r="H20" s="930"/>
    </row>
    <row r="21" spans="1:8" ht="24.75" customHeight="1" x14ac:dyDescent="0.3">
      <c r="A21" s="102">
        <f>A20+1</f>
        <v>14</v>
      </c>
      <c r="B21" s="103" t="s">
        <v>1318</v>
      </c>
      <c r="C21" s="102" t="s">
        <v>220</v>
      </c>
      <c r="D21" s="332">
        <f>266*3</f>
        <v>798</v>
      </c>
      <c r="E21" s="105">
        <v>417.15449999999998</v>
      </c>
      <c r="F21" s="270">
        <f t="shared" si="4"/>
        <v>332889.28999999998</v>
      </c>
      <c r="G21" s="270">
        <f t="shared" ref="G21" si="7">ROUND(F21*1.2,2)</f>
        <v>399467.15</v>
      </c>
      <c r="H21" s="256" t="s">
        <v>1325</v>
      </c>
    </row>
    <row r="22" spans="1:8" ht="41.4" x14ac:dyDescent="0.3">
      <c r="A22" s="102">
        <f>A21+1</f>
        <v>15</v>
      </c>
      <c r="B22" s="103" t="s">
        <v>416</v>
      </c>
      <c r="C22" s="102" t="s">
        <v>194</v>
      </c>
      <c r="D22" s="333">
        <v>31.12</v>
      </c>
      <c r="E22" s="105">
        <v>3358.2129119999995</v>
      </c>
      <c r="F22" s="270">
        <f t="shared" si="4"/>
        <v>104507.59</v>
      </c>
      <c r="G22" s="270">
        <f t="shared" si="5"/>
        <v>125409.11</v>
      </c>
      <c r="H22" s="238"/>
    </row>
    <row r="23" spans="1:8" ht="41.4" x14ac:dyDescent="0.3">
      <c r="A23" s="102">
        <f>A22+1</f>
        <v>16</v>
      </c>
      <c r="B23" s="103" t="s">
        <v>416</v>
      </c>
      <c r="C23" s="102" t="s">
        <v>194</v>
      </c>
      <c r="D23" s="333">
        <v>31.12</v>
      </c>
      <c r="E23" s="105">
        <v>3358.2129119999995</v>
      </c>
      <c r="F23" s="270">
        <f t="shared" si="4"/>
        <v>104507.59</v>
      </c>
      <c r="G23" s="270">
        <f t="shared" ref="G23:G24" si="8">ROUND(F23*1.2,2)</f>
        <v>125409.11</v>
      </c>
      <c r="H23" s="203" t="s">
        <v>1321</v>
      </c>
    </row>
    <row r="24" spans="1:8" ht="41.4" x14ac:dyDescent="0.3">
      <c r="A24" s="102">
        <f t="shared" si="6"/>
        <v>17</v>
      </c>
      <c r="B24" s="103" t="s">
        <v>415</v>
      </c>
      <c r="C24" s="102" t="s">
        <v>194</v>
      </c>
      <c r="D24" s="332">
        <v>25</v>
      </c>
      <c r="E24" s="105">
        <v>2269.7972279999994</v>
      </c>
      <c r="F24" s="270">
        <f t="shared" si="4"/>
        <v>56744.93</v>
      </c>
      <c r="G24" s="270">
        <f t="shared" si="8"/>
        <v>68093.919999999998</v>
      </c>
      <c r="H24" s="203" t="s">
        <v>1326</v>
      </c>
    </row>
    <row r="25" spans="1:8" ht="41.4" x14ac:dyDescent="0.3">
      <c r="A25" s="102">
        <f t="shared" si="6"/>
        <v>18</v>
      </c>
      <c r="B25" s="103" t="s">
        <v>415</v>
      </c>
      <c r="C25" s="102" t="s">
        <v>194</v>
      </c>
      <c r="D25" s="332">
        <v>25</v>
      </c>
      <c r="E25" s="105">
        <v>2269.7972279999994</v>
      </c>
      <c r="F25" s="270">
        <f t="shared" si="4"/>
        <v>56744.93</v>
      </c>
      <c r="G25" s="270">
        <f t="shared" ref="G25" si="9">ROUND(F25*1.2,2)</f>
        <v>68093.919999999998</v>
      </c>
      <c r="H25" s="203" t="s">
        <v>1329</v>
      </c>
    </row>
    <row r="26" spans="1:8" ht="27.6" x14ac:dyDescent="0.3">
      <c r="A26" s="102">
        <f>A22+1</f>
        <v>16</v>
      </c>
      <c r="B26" s="103" t="s">
        <v>417</v>
      </c>
      <c r="C26" s="102" t="s">
        <v>194</v>
      </c>
      <c r="D26" s="333">
        <f>9*4</f>
        <v>36</v>
      </c>
      <c r="E26" s="105">
        <v>2269.7972279999994</v>
      </c>
      <c r="F26" s="270">
        <f t="shared" si="4"/>
        <v>81712.7</v>
      </c>
      <c r="G26" s="270">
        <f t="shared" si="5"/>
        <v>98055.24</v>
      </c>
      <c r="H26" s="202"/>
    </row>
    <row r="27" spans="1:8" ht="48" customHeight="1" x14ac:dyDescent="0.3">
      <c r="A27" s="102">
        <f t="shared" si="6"/>
        <v>17</v>
      </c>
      <c r="B27" s="103" t="s">
        <v>715</v>
      </c>
      <c r="C27" s="102" t="s">
        <v>195</v>
      </c>
      <c r="D27" s="332">
        <v>1</v>
      </c>
      <c r="E27" s="105">
        <v>270959.72579999996</v>
      </c>
      <c r="F27" s="270">
        <f t="shared" si="4"/>
        <v>270959.73</v>
      </c>
      <c r="G27" s="270">
        <f t="shared" si="5"/>
        <v>325151.68</v>
      </c>
    </row>
    <row r="28" spans="1:8" ht="48" customHeight="1" x14ac:dyDescent="0.3">
      <c r="A28" s="102">
        <f t="shared" si="6"/>
        <v>18</v>
      </c>
      <c r="B28" s="103" t="s">
        <v>714</v>
      </c>
      <c r="C28" s="102" t="s">
        <v>193</v>
      </c>
      <c r="D28" s="332">
        <v>796</v>
      </c>
      <c r="E28" s="105">
        <v>418.34637000000004</v>
      </c>
      <c r="F28" s="270">
        <f t="shared" si="4"/>
        <v>333003.71000000002</v>
      </c>
      <c r="G28" s="270">
        <f t="shared" si="5"/>
        <v>399604.45</v>
      </c>
    </row>
    <row r="29" spans="1:8" ht="41.4" x14ac:dyDescent="0.3">
      <c r="A29" s="102">
        <f t="shared" si="6"/>
        <v>19</v>
      </c>
      <c r="B29" s="103" t="s">
        <v>418</v>
      </c>
      <c r="C29" s="102" t="s">
        <v>195</v>
      </c>
      <c r="D29" s="332">
        <v>2</v>
      </c>
      <c r="E29" s="105">
        <v>308932.70400000003</v>
      </c>
      <c r="F29" s="270">
        <f t="shared" si="4"/>
        <v>617865.41</v>
      </c>
      <c r="G29" s="270">
        <f t="shared" si="5"/>
        <v>741438.49</v>
      </c>
    </row>
    <row r="30" spans="1:8" ht="41.4" x14ac:dyDescent="0.3">
      <c r="A30" s="102">
        <f t="shared" si="6"/>
        <v>20</v>
      </c>
      <c r="B30" s="103" t="s">
        <v>419</v>
      </c>
      <c r="C30" s="102" t="s">
        <v>195</v>
      </c>
      <c r="D30" s="332">
        <v>1</v>
      </c>
      <c r="E30" s="105">
        <v>308932.70400000003</v>
      </c>
      <c r="F30" s="270">
        <f t="shared" si="4"/>
        <v>308932.7</v>
      </c>
      <c r="G30" s="270">
        <f t="shared" si="5"/>
        <v>370719.24</v>
      </c>
    </row>
    <row r="31" spans="1:8" ht="41.4" x14ac:dyDescent="0.3">
      <c r="A31" s="102">
        <f t="shared" si="6"/>
        <v>21</v>
      </c>
      <c r="B31" s="103" t="s">
        <v>420</v>
      </c>
      <c r="C31" s="102" t="s">
        <v>195</v>
      </c>
      <c r="D31" s="332">
        <v>2</v>
      </c>
      <c r="E31" s="105">
        <v>248496.313536</v>
      </c>
      <c r="F31" s="270">
        <f t="shared" si="4"/>
        <v>496992.63</v>
      </c>
      <c r="G31" s="270">
        <f t="shared" si="5"/>
        <v>596391.16</v>
      </c>
    </row>
    <row r="32" spans="1:8" ht="41.4" x14ac:dyDescent="0.3">
      <c r="A32" s="102">
        <f t="shared" si="6"/>
        <v>22</v>
      </c>
      <c r="B32" s="103" t="s">
        <v>421</v>
      </c>
      <c r="C32" s="102" t="s">
        <v>195</v>
      </c>
      <c r="D32" s="332">
        <v>1</v>
      </c>
      <c r="E32" s="105">
        <v>248496.313536</v>
      </c>
      <c r="F32" s="270">
        <f t="shared" si="4"/>
        <v>248496.31</v>
      </c>
      <c r="G32" s="270">
        <f t="shared" si="5"/>
        <v>298195.57</v>
      </c>
    </row>
    <row r="33" spans="1:7" ht="41.4" x14ac:dyDescent="0.3">
      <c r="A33" s="102">
        <f t="shared" si="6"/>
        <v>23</v>
      </c>
      <c r="B33" s="103" t="s">
        <v>422</v>
      </c>
      <c r="C33" s="102" t="s">
        <v>195</v>
      </c>
      <c r="D33" s="332">
        <v>3</v>
      </c>
      <c r="E33" s="105">
        <v>248496.313536</v>
      </c>
      <c r="F33" s="270">
        <f t="shared" si="4"/>
        <v>745488.94</v>
      </c>
      <c r="G33" s="270">
        <f t="shared" si="5"/>
        <v>894586.73</v>
      </c>
    </row>
    <row r="34" spans="1:7" x14ac:dyDescent="0.3">
      <c r="A34" s="102">
        <f>A33+1</f>
        <v>24</v>
      </c>
      <c r="B34" s="103" t="s">
        <v>124</v>
      </c>
      <c r="C34" s="102" t="s">
        <v>178</v>
      </c>
      <c r="D34" s="332">
        <v>4</v>
      </c>
      <c r="E34" s="105">
        <v>114419.52</v>
      </c>
      <c r="F34" s="270">
        <f t="shared" si="4"/>
        <v>457678.08000000002</v>
      </c>
      <c r="G34" s="270">
        <f t="shared" si="5"/>
        <v>549213.69999999995</v>
      </c>
    </row>
    <row r="35" spans="1:7" x14ac:dyDescent="0.3">
      <c r="A35" s="102">
        <f t="shared" si="6"/>
        <v>25</v>
      </c>
      <c r="B35" s="103" t="s">
        <v>423</v>
      </c>
      <c r="C35" s="102" t="s">
        <v>194</v>
      </c>
      <c r="D35" s="332">
        <v>28</v>
      </c>
      <c r="E35" s="105">
        <v>6007.0248000000001</v>
      </c>
      <c r="F35" s="270">
        <f t="shared" si="4"/>
        <v>168196.69</v>
      </c>
      <c r="G35" s="270">
        <f t="shared" si="5"/>
        <v>201836.03</v>
      </c>
    </row>
    <row r="36" spans="1:7" x14ac:dyDescent="0.3">
      <c r="A36" s="97"/>
      <c r="B36" s="931" t="s">
        <v>721</v>
      </c>
      <c r="C36" s="932"/>
      <c r="D36" s="932"/>
      <c r="E36" s="933"/>
      <c r="F36" s="106">
        <f>F16+F10+F4</f>
        <v>46647121.969999999</v>
      </c>
      <c r="G36" s="106">
        <f>G16+G10+G4</f>
        <v>55976546.389999993</v>
      </c>
    </row>
    <row r="37" spans="1:7" x14ac:dyDescent="0.3">
      <c r="F37" s="18">
        <f>G37/1.2</f>
        <v>46647121.991666675</v>
      </c>
      <c r="G37" s="18">
        <v>55976546.390000008</v>
      </c>
    </row>
  </sheetData>
  <mergeCells count="9">
    <mergeCell ref="H19:H20"/>
    <mergeCell ref="B36:E36"/>
    <mergeCell ref="A1:A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18</vt:i4>
      </vt:variant>
    </vt:vector>
  </HeadingPairs>
  <TitlesOfParts>
    <vt:vector size="51" baseType="lpstr">
      <vt:lpstr>Лист1</vt:lpstr>
      <vt:lpstr>Лист2</vt:lpstr>
      <vt:lpstr>Свод</vt:lpstr>
      <vt:lpstr>демонтаж по трассе ВР</vt:lpstr>
      <vt:lpstr>демонтаж по трассе смета</vt:lpstr>
      <vt:lpstr>демонтаж 121 ВР</vt:lpstr>
      <vt:lpstr>демонтаж 121 смета</vt:lpstr>
      <vt:lpstr>сверка объемов с РД конкурс</vt:lpstr>
      <vt:lpstr>СМР 417 жд</vt:lpstr>
      <vt:lpstr>мат 417 жд</vt:lpstr>
      <vt:lpstr>СМР ком-ции 417</vt:lpstr>
      <vt:lpstr>мат ком-ции 417</vt:lpstr>
      <vt:lpstr>СМР трнсбрдр (2)</vt:lpstr>
      <vt:lpstr>мат трнсбрдр (2)</vt:lpstr>
      <vt:lpstr>Результат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эсткд</vt:lpstr>
      <vt:lpstr>мат эсткд</vt:lpstr>
      <vt:lpstr>СМР ТС2</vt:lpstr>
      <vt:lpstr>мат ТС2</vt:lpstr>
      <vt:lpstr>СМР ТС3</vt:lpstr>
      <vt:lpstr>мат ТС3</vt:lpstr>
      <vt:lpstr>СМР АС3</vt:lpstr>
      <vt:lpstr>мат АС3</vt:lpstr>
      <vt:lpstr>'мат 417 жд'!Область_печати</vt:lpstr>
      <vt:lpstr>'мат комм-ции 217'!Область_печати</vt:lpstr>
      <vt:lpstr>'мат ком-ции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эсткд'!Область_печати</vt:lpstr>
      <vt:lpstr>Свод!Область_печати</vt:lpstr>
      <vt:lpstr>'СМР 417 жд'!Область_печати</vt:lpstr>
      <vt:lpstr>'СМР ГСН'!Область_печати</vt:lpstr>
      <vt:lpstr>'СМР комм-ции 217 '!Область_печати</vt:lpstr>
      <vt:lpstr>'СМР ком-ции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эсткд'!Область_печати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2023-10-21T11:45:22Z</dcterms:modified>
</cp:coreProperties>
</file>