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Центр\Материалы для КП\Метровагонмаш\13.06.24\"/>
    </mc:Choice>
  </mc:AlternateContent>
  <xr:revisionPtr revIDLastSave="0" documentId="13_ncr:1000001_{2AF87BA9-4A02-7F4B-BC02-AB9748E3A64B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Свод" sheetId="6" state="hidden" r:id="rId1"/>
    <sheet name="ГП2 " sheetId="8" r:id="rId2"/>
    <sheet name="ГП1" sheetId="9" state="hidden" r:id="rId3"/>
  </sheets>
  <definedNames>
    <definedName name="_xlnm.Print_Area" localSheetId="2">ГП1!$A$1:$L$60</definedName>
    <definedName name="_xlnm.Print_Area" localSheetId="1">'ГП2 '!$A$1:$L$261</definedName>
    <definedName name="_xlnm.Print_Area" localSheetId="0">Свод!$A$1:$H$7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0" i="8" l="1"/>
  <c r="A44" i="8"/>
  <c r="F8" i="9"/>
  <c r="F9" i="9"/>
  <c r="E10" i="9"/>
  <c r="F10" i="9"/>
  <c r="F11" i="9"/>
  <c r="F13" i="9"/>
  <c r="F15" i="9"/>
  <c r="F16" i="9"/>
  <c r="F18" i="9"/>
  <c r="F20" i="9"/>
  <c r="F22" i="9"/>
  <c r="F24" i="9"/>
  <c r="F26" i="9"/>
  <c r="F28" i="9"/>
  <c r="F30" i="9"/>
  <c r="F32" i="9"/>
  <c r="F35" i="9"/>
  <c r="F37" i="9"/>
  <c r="D40" i="9"/>
  <c r="F40" i="9"/>
  <c r="D42" i="9"/>
  <c r="F42" i="9"/>
  <c r="F44" i="9"/>
  <c r="F49" i="9"/>
  <c r="F50" i="9"/>
  <c r="F51" i="9"/>
  <c r="F53" i="9"/>
  <c r="D55" i="9"/>
  <c r="F55" i="9"/>
  <c r="F60" i="9"/>
  <c r="I57" i="9"/>
  <c r="K57" i="9"/>
  <c r="I59" i="9"/>
  <c r="K59" i="9"/>
  <c r="I58" i="9"/>
  <c r="J58" i="9"/>
  <c r="L58" i="9"/>
  <c r="I56" i="9"/>
  <c r="K56" i="9"/>
  <c r="G53" i="9"/>
  <c r="L53" i="9"/>
  <c r="K51" i="9"/>
  <c r="K50" i="9"/>
  <c r="K49" i="9"/>
  <c r="J57" i="9"/>
  <c r="L57" i="9"/>
  <c r="G55" i="9"/>
  <c r="L55" i="9"/>
  <c r="K55" i="9"/>
  <c r="J56" i="9"/>
  <c r="L56" i="9"/>
  <c r="K58" i="9"/>
  <c r="J59" i="9"/>
  <c r="L59" i="9"/>
  <c r="K53" i="9"/>
  <c r="G49" i="9"/>
  <c r="L49" i="9"/>
  <c r="G51" i="9"/>
  <c r="L51" i="9"/>
  <c r="G50" i="9"/>
  <c r="L50" i="9"/>
  <c r="K40" i="9"/>
  <c r="I47" i="9"/>
  <c r="K47" i="9"/>
  <c r="I46" i="9"/>
  <c r="K46" i="9"/>
  <c r="I45" i="9"/>
  <c r="K45" i="9"/>
  <c r="K44" i="9"/>
  <c r="D43" i="9"/>
  <c r="I43" i="9"/>
  <c r="K42" i="9"/>
  <c r="D41" i="9"/>
  <c r="I41" i="9"/>
  <c r="D38" i="9"/>
  <c r="I38" i="9"/>
  <c r="K37" i="9"/>
  <c r="D36" i="9"/>
  <c r="I36" i="9"/>
  <c r="G35" i="9"/>
  <c r="L35" i="9"/>
  <c r="D27" i="9"/>
  <c r="I27" i="9"/>
  <c r="K26" i="9"/>
  <c r="D25" i="9"/>
  <c r="I25" i="9"/>
  <c r="K25" i="9"/>
  <c r="K24" i="9"/>
  <c r="D23" i="9"/>
  <c r="I23" i="9"/>
  <c r="K22" i="9"/>
  <c r="D21" i="9"/>
  <c r="I21" i="9"/>
  <c r="K20" i="9"/>
  <c r="I33" i="9"/>
  <c r="K33" i="9"/>
  <c r="G32" i="9"/>
  <c r="L32" i="9"/>
  <c r="D31" i="9"/>
  <c r="I31" i="9"/>
  <c r="K30" i="9"/>
  <c r="D29" i="9"/>
  <c r="I29" i="9"/>
  <c r="K28" i="9"/>
  <c r="K18" i="9"/>
  <c r="K16" i="9"/>
  <c r="K15" i="9"/>
  <c r="K13" i="9"/>
  <c r="G11" i="9"/>
  <c r="L11" i="9"/>
  <c r="K9" i="9"/>
  <c r="A9" i="9"/>
  <c r="A10" i="9"/>
  <c r="A11" i="9"/>
  <c r="A13" i="9"/>
  <c r="A15" i="9"/>
  <c r="A16" i="9"/>
  <c r="A18" i="9"/>
  <c r="A20" i="9"/>
  <c r="A22" i="9"/>
  <c r="A24" i="9"/>
  <c r="A26" i="9"/>
  <c r="A28" i="9"/>
  <c r="A30" i="9"/>
  <c r="A32" i="9"/>
  <c r="A35" i="9"/>
  <c r="A37" i="9"/>
  <c r="A40" i="9"/>
  <c r="A42" i="9"/>
  <c r="A44" i="9"/>
  <c r="A49" i="9"/>
  <c r="A50" i="9"/>
  <c r="A51" i="9"/>
  <c r="A53" i="9"/>
  <c r="A55" i="9"/>
  <c r="K8" i="9"/>
  <c r="J46" i="9"/>
  <c r="L46" i="9"/>
  <c r="G42" i="9"/>
  <c r="L42" i="9"/>
  <c r="K41" i="9"/>
  <c r="J41" i="9"/>
  <c r="L41" i="9"/>
  <c r="K43" i="9"/>
  <c r="J43" i="9"/>
  <c r="L43" i="9"/>
  <c r="G40" i="9"/>
  <c r="L40" i="9"/>
  <c r="J45" i="9"/>
  <c r="L45" i="9"/>
  <c r="G44" i="9"/>
  <c r="L44" i="9"/>
  <c r="J47" i="9"/>
  <c r="L47" i="9"/>
  <c r="J36" i="9"/>
  <c r="L36" i="9"/>
  <c r="K36" i="9"/>
  <c r="K38" i="9"/>
  <c r="J38" i="9"/>
  <c r="L38" i="9"/>
  <c r="K35" i="9"/>
  <c r="G37" i="9"/>
  <c r="L37" i="9"/>
  <c r="G28" i="9"/>
  <c r="L28" i="9"/>
  <c r="K27" i="9"/>
  <c r="J27" i="9"/>
  <c r="L27" i="9"/>
  <c r="G26" i="9"/>
  <c r="L26" i="9"/>
  <c r="J25" i="9"/>
  <c r="L25" i="9"/>
  <c r="G24" i="9"/>
  <c r="L24" i="9"/>
  <c r="G30" i="9"/>
  <c r="L30" i="9"/>
  <c r="K23" i="9"/>
  <c r="J23" i="9"/>
  <c r="L23" i="9"/>
  <c r="G22" i="9"/>
  <c r="L22" i="9"/>
  <c r="J29" i="9"/>
  <c r="L29" i="9"/>
  <c r="K29" i="9"/>
  <c r="K32" i="9"/>
  <c r="K21" i="9"/>
  <c r="J21" i="9"/>
  <c r="L21" i="9"/>
  <c r="G20" i="9"/>
  <c r="L20" i="9"/>
  <c r="K31" i="9"/>
  <c r="J31" i="9"/>
  <c r="L31" i="9"/>
  <c r="J33" i="9"/>
  <c r="L33" i="9"/>
  <c r="G18" i="9"/>
  <c r="L18" i="9"/>
  <c r="G16" i="9"/>
  <c r="L16" i="9"/>
  <c r="G15" i="9"/>
  <c r="L15" i="9"/>
  <c r="K11" i="9"/>
  <c r="G9" i="9"/>
  <c r="L9" i="9"/>
  <c r="K10" i="9"/>
  <c r="G10" i="9"/>
  <c r="L10" i="9"/>
  <c r="G8" i="9"/>
  <c r="L8" i="9"/>
  <c r="G13" i="9"/>
  <c r="L13" i="9"/>
  <c r="H247" i="8"/>
  <c r="H258" i="8"/>
  <c r="H257" i="8"/>
  <c r="I257" i="8"/>
  <c r="J257" i="8"/>
  <c r="L257" i="8"/>
  <c r="H256" i="8"/>
  <c r="I256" i="8"/>
  <c r="K256" i="8"/>
  <c r="H255" i="8"/>
  <c r="H254" i="8"/>
  <c r="H253" i="8"/>
  <c r="H252" i="8"/>
  <c r="H251" i="8"/>
  <c r="H250" i="8"/>
  <c r="I250" i="8"/>
  <c r="K250" i="8"/>
  <c r="H249" i="8"/>
  <c r="H244" i="8"/>
  <c r="H248" i="8"/>
  <c r="I248" i="8"/>
  <c r="J248" i="8"/>
  <c r="L248" i="8"/>
  <c r="H243" i="8"/>
  <c r="H242" i="8"/>
  <c r="H246" i="8"/>
  <c r="I246" i="8"/>
  <c r="K246" i="8"/>
  <c r="H132" i="8"/>
  <c r="I260" i="8"/>
  <c r="K260" i="8"/>
  <c r="I258" i="8"/>
  <c r="K258" i="8"/>
  <c r="I255" i="8"/>
  <c r="K255" i="8"/>
  <c r="I254" i="8"/>
  <c r="J254" i="8"/>
  <c r="L254" i="8"/>
  <c r="I253" i="8"/>
  <c r="K253" i="8"/>
  <c r="I252" i="8"/>
  <c r="K252" i="8"/>
  <c r="I251" i="8"/>
  <c r="J251" i="8"/>
  <c r="L251" i="8"/>
  <c r="I249" i="8"/>
  <c r="K249" i="8"/>
  <c r="I247" i="8"/>
  <c r="K247" i="8"/>
  <c r="I244" i="8"/>
  <c r="K244" i="8"/>
  <c r="I243" i="8"/>
  <c r="K243" i="8"/>
  <c r="I242" i="8"/>
  <c r="K242" i="8"/>
  <c r="F259" i="8"/>
  <c r="K259" i="8"/>
  <c r="F245" i="8"/>
  <c r="K245" i="8"/>
  <c r="F241" i="8"/>
  <c r="K241" i="8"/>
  <c r="F239" i="8"/>
  <c r="K239" i="8"/>
  <c r="D236" i="8"/>
  <c r="F236" i="8"/>
  <c r="D234" i="8"/>
  <c r="D235" i="8"/>
  <c r="I235" i="8"/>
  <c r="I232" i="8"/>
  <c r="K232" i="8"/>
  <c r="F231" i="8"/>
  <c r="G231" i="8"/>
  <c r="L231" i="8"/>
  <c r="D226" i="8"/>
  <c r="F226" i="8"/>
  <c r="G226" i="8"/>
  <c r="L226" i="8"/>
  <c r="I229" i="8"/>
  <c r="K229" i="8"/>
  <c r="F228" i="8"/>
  <c r="K228" i="8"/>
  <c r="I223" i="8"/>
  <c r="K223" i="8"/>
  <c r="I222" i="8"/>
  <c r="J222" i="8"/>
  <c r="L222" i="8"/>
  <c r="F221" i="8"/>
  <c r="K221" i="8"/>
  <c r="D218" i="8"/>
  <c r="D216" i="8"/>
  <c r="E218" i="8"/>
  <c r="F218" i="8"/>
  <c r="E217" i="8"/>
  <c r="F217" i="8"/>
  <c r="E216" i="8"/>
  <c r="F216" i="8"/>
  <c r="I213" i="8"/>
  <c r="K213" i="8"/>
  <c r="I212" i="8"/>
  <c r="K212" i="8"/>
  <c r="I211" i="8"/>
  <c r="J211" i="8"/>
  <c r="L211" i="8"/>
  <c r="D210" i="8"/>
  <c r="F210" i="8"/>
  <c r="K210" i="8"/>
  <c r="E207" i="8"/>
  <c r="F207" i="8"/>
  <c r="D207" i="8"/>
  <c r="I203" i="8"/>
  <c r="K203" i="8"/>
  <c r="D201" i="8"/>
  <c r="F201" i="8"/>
  <c r="G201" i="8"/>
  <c r="L201" i="8"/>
  <c r="E166" i="8"/>
  <c r="F166" i="8"/>
  <c r="E183" i="8"/>
  <c r="F183" i="8"/>
  <c r="E198" i="8"/>
  <c r="F198" i="8"/>
  <c r="G198" i="8"/>
  <c r="L198" i="8"/>
  <c r="I204" i="8"/>
  <c r="K204" i="8"/>
  <c r="I202" i="8"/>
  <c r="J202" i="8"/>
  <c r="L202" i="8"/>
  <c r="I195" i="8"/>
  <c r="K195" i="8"/>
  <c r="D194" i="8"/>
  <c r="F194" i="8"/>
  <c r="K194" i="8"/>
  <c r="E192" i="8"/>
  <c r="F192" i="8"/>
  <c r="D186" i="8"/>
  <c r="F186" i="8"/>
  <c r="K186" i="8"/>
  <c r="I189" i="8"/>
  <c r="K189" i="8"/>
  <c r="I188" i="8"/>
  <c r="K188" i="8"/>
  <c r="I187" i="8"/>
  <c r="J187" i="8"/>
  <c r="L187" i="8"/>
  <c r="I178" i="8"/>
  <c r="K178" i="8"/>
  <c r="D177" i="8"/>
  <c r="F177" i="8"/>
  <c r="I180" i="8"/>
  <c r="K180" i="8"/>
  <c r="I179" i="8"/>
  <c r="K179" i="8"/>
  <c r="E175" i="8"/>
  <c r="F175" i="8"/>
  <c r="D169" i="8"/>
  <c r="F169" i="8"/>
  <c r="K169" i="8"/>
  <c r="I172" i="8"/>
  <c r="K172" i="8"/>
  <c r="I171" i="8"/>
  <c r="K171" i="8"/>
  <c r="I170" i="8"/>
  <c r="J170" i="8"/>
  <c r="L170" i="8"/>
  <c r="I163" i="8"/>
  <c r="K163" i="8"/>
  <c r="D161" i="8"/>
  <c r="F161" i="8"/>
  <c r="K161" i="8"/>
  <c r="I162" i="8"/>
  <c r="K162" i="8"/>
  <c r="E159" i="8"/>
  <c r="F159" i="8"/>
  <c r="K159" i="8"/>
  <c r="I156" i="8"/>
  <c r="K156" i="8"/>
  <c r="I155" i="8"/>
  <c r="K155" i="8"/>
  <c r="I154" i="8"/>
  <c r="J154" i="8"/>
  <c r="L154" i="8"/>
  <c r="D153" i="8"/>
  <c r="F153" i="8"/>
  <c r="K153" i="8"/>
  <c r="E150" i="8"/>
  <c r="F150" i="8"/>
  <c r="K150" i="8"/>
  <c r="E147" i="8"/>
  <c r="F147" i="8"/>
  <c r="K147" i="8"/>
  <c r="E146" i="8"/>
  <c r="F146" i="8"/>
  <c r="K146" i="8"/>
  <c r="E145" i="8"/>
  <c r="F145" i="8"/>
  <c r="K145" i="8"/>
  <c r="D145" i="8"/>
  <c r="D139" i="8"/>
  <c r="F139" i="8"/>
  <c r="I140" i="8"/>
  <c r="K140" i="8"/>
  <c r="I141" i="8"/>
  <c r="K141" i="8"/>
  <c r="I142" i="8"/>
  <c r="K142" i="8"/>
  <c r="E136" i="8"/>
  <c r="F136" i="8"/>
  <c r="F129" i="8"/>
  <c r="G129" i="8"/>
  <c r="L129" i="8"/>
  <c r="F128" i="8"/>
  <c r="G128" i="8"/>
  <c r="L128" i="8"/>
  <c r="I132" i="8"/>
  <c r="J132" i="8"/>
  <c r="L132" i="8"/>
  <c r="F131" i="8"/>
  <c r="G131" i="8"/>
  <c r="L131" i="8"/>
  <c r="D126" i="8"/>
  <c r="E126" i="8"/>
  <c r="D124" i="8"/>
  <c r="I124" i="8"/>
  <c r="F123" i="8"/>
  <c r="K123" i="8"/>
  <c r="F125" i="8"/>
  <c r="K125" i="8"/>
  <c r="G60" i="9"/>
  <c r="K254" i="8"/>
  <c r="K251" i="8"/>
  <c r="K248" i="8"/>
  <c r="K257" i="8"/>
  <c r="J260" i="8"/>
  <c r="L260" i="8"/>
  <c r="J247" i="8"/>
  <c r="L247" i="8"/>
  <c r="J250" i="8"/>
  <c r="L250" i="8"/>
  <c r="J253" i="8"/>
  <c r="L253" i="8"/>
  <c r="J256" i="8"/>
  <c r="L256" i="8"/>
  <c r="J249" i="8"/>
  <c r="L249" i="8"/>
  <c r="J252" i="8"/>
  <c r="L252" i="8"/>
  <c r="J255" i="8"/>
  <c r="L255" i="8"/>
  <c r="J258" i="8"/>
  <c r="L258" i="8"/>
  <c r="J246" i="8"/>
  <c r="L246" i="8"/>
  <c r="J244" i="8"/>
  <c r="L244" i="8"/>
  <c r="J243" i="8"/>
  <c r="L243" i="8"/>
  <c r="J242" i="8"/>
  <c r="L242" i="8"/>
  <c r="G259" i="8"/>
  <c r="L259" i="8"/>
  <c r="G245" i="8"/>
  <c r="L245" i="8"/>
  <c r="G241" i="8"/>
  <c r="L241" i="8"/>
  <c r="G239" i="8"/>
  <c r="L239" i="8"/>
  <c r="D227" i="8"/>
  <c r="I227" i="8"/>
  <c r="K227" i="8"/>
  <c r="F234" i="8"/>
  <c r="K234" i="8"/>
  <c r="K187" i="8"/>
  <c r="K235" i="8"/>
  <c r="J235" i="8"/>
  <c r="L235" i="8"/>
  <c r="K236" i="8"/>
  <c r="G236" i="8"/>
  <c r="L236" i="8"/>
  <c r="D237" i="8"/>
  <c r="I237" i="8"/>
  <c r="K231" i="8"/>
  <c r="J232" i="8"/>
  <c r="L232" i="8"/>
  <c r="G228" i="8"/>
  <c r="L228" i="8"/>
  <c r="J229" i="8"/>
  <c r="L229" i="8"/>
  <c r="K226" i="8"/>
  <c r="J212" i="8"/>
  <c r="L212" i="8"/>
  <c r="K211" i="8"/>
  <c r="G221" i="8"/>
  <c r="L221" i="8"/>
  <c r="J223" i="8"/>
  <c r="L223" i="8"/>
  <c r="K222" i="8"/>
  <c r="K218" i="8"/>
  <c r="G218" i="8"/>
  <c r="L218" i="8"/>
  <c r="K216" i="8"/>
  <c r="G216" i="8"/>
  <c r="L216" i="8"/>
  <c r="K217" i="8"/>
  <c r="G217" i="8"/>
  <c r="L217" i="8"/>
  <c r="G210" i="8"/>
  <c r="L210" i="8"/>
  <c r="J213" i="8"/>
  <c r="L213" i="8"/>
  <c r="K207" i="8"/>
  <c r="G207" i="8"/>
  <c r="L207" i="8"/>
  <c r="K202" i="8"/>
  <c r="J203" i="8"/>
  <c r="L203" i="8"/>
  <c r="J204" i="8"/>
  <c r="L204" i="8"/>
  <c r="K198" i="8"/>
  <c r="K201" i="8"/>
  <c r="J195" i="8"/>
  <c r="L195" i="8"/>
  <c r="G194" i="8"/>
  <c r="L194" i="8"/>
  <c r="K192" i="8"/>
  <c r="G192" i="8"/>
  <c r="L192" i="8"/>
  <c r="J188" i="8"/>
  <c r="L188" i="8"/>
  <c r="G186" i="8"/>
  <c r="L186" i="8"/>
  <c r="J189" i="8"/>
  <c r="L189" i="8"/>
  <c r="K183" i="8"/>
  <c r="G183" i="8"/>
  <c r="L183" i="8"/>
  <c r="J179" i="8"/>
  <c r="L179" i="8"/>
  <c r="J178" i="8"/>
  <c r="L178" i="8"/>
  <c r="G177" i="8"/>
  <c r="L177" i="8"/>
  <c r="K177" i="8"/>
  <c r="G175" i="8"/>
  <c r="L175" i="8"/>
  <c r="K175" i="8"/>
  <c r="J180" i="8"/>
  <c r="L180" i="8"/>
  <c r="K170" i="8"/>
  <c r="J171" i="8"/>
  <c r="L171" i="8"/>
  <c r="G169" i="8"/>
  <c r="L169" i="8"/>
  <c r="J172" i="8"/>
  <c r="L172" i="8"/>
  <c r="K166" i="8"/>
  <c r="G166" i="8"/>
  <c r="L166" i="8"/>
  <c r="J163" i="8"/>
  <c r="L163" i="8"/>
  <c r="J162" i="8"/>
  <c r="L162" i="8"/>
  <c r="G161" i="8"/>
  <c r="L161" i="8"/>
  <c r="J155" i="8"/>
  <c r="L155" i="8"/>
  <c r="G159" i="8"/>
  <c r="L159" i="8"/>
  <c r="K154" i="8"/>
  <c r="G150" i="8"/>
  <c r="L150" i="8"/>
  <c r="G153" i="8"/>
  <c r="L153" i="8"/>
  <c r="J156" i="8"/>
  <c r="L156" i="8"/>
  <c r="G147" i="8"/>
  <c r="L147" i="8"/>
  <c r="G146" i="8"/>
  <c r="L146" i="8"/>
  <c r="G145" i="8"/>
  <c r="L145" i="8"/>
  <c r="J142" i="8"/>
  <c r="L142" i="8"/>
  <c r="J140" i="8"/>
  <c r="L140" i="8"/>
  <c r="J141" i="8"/>
  <c r="L141" i="8"/>
  <c r="G139" i="8"/>
  <c r="L139" i="8"/>
  <c r="K139" i="8"/>
  <c r="F126" i="8"/>
  <c r="K126" i="8"/>
  <c r="K136" i="8"/>
  <c r="G136" i="8"/>
  <c r="L136" i="8"/>
  <c r="K128" i="8"/>
  <c r="K129" i="8"/>
  <c r="K132" i="8"/>
  <c r="K131" i="8"/>
  <c r="K124" i="8"/>
  <c r="J124" i="8"/>
  <c r="L124" i="8"/>
  <c r="G123" i="8"/>
  <c r="L123" i="8"/>
  <c r="G125" i="8"/>
  <c r="L125" i="8"/>
  <c r="I122" i="8"/>
  <c r="K122" i="8"/>
  <c r="I121" i="8"/>
  <c r="K121" i="8"/>
  <c r="D120" i="8"/>
  <c r="F120" i="8"/>
  <c r="F118" i="8"/>
  <c r="K118" i="8"/>
  <c r="H116" i="8"/>
  <c r="D116" i="8"/>
  <c r="D113" i="8"/>
  <c r="I113" i="8"/>
  <c r="J113" i="8"/>
  <c r="L113" i="8"/>
  <c r="F115" i="8"/>
  <c r="K115" i="8"/>
  <c r="I114" i="8"/>
  <c r="J114" i="8"/>
  <c r="L114" i="8"/>
  <c r="E112" i="8"/>
  <c r="F112" i="8"/>
  <c r="E111" i="8"/>
  <c r="F111" i="8"/>
  <c r="D105" i="8"/>
  <c r="I105" i="8"/>
  <c r="J105" i="8"/>
  <c r="L105" i="8"/>
  <c r="D103" i="8"/>
  <c r="I103" i="8"/>
  <c r="K103" i="8"/>
  <c r="I109" i="8"/>
  <c r="K109" i="8"/>
  <c r="I108" i="8"/>
  <c r="J108" i="8"/>
  <c r="L108" i="8"/>
  <c r="I107" i="8"/>
  <c r="K107" i="8"/>
  <c r="F106" i="8"/>
  <c r="K106" i="8"/>
  <c r="F104" i="8"/>
  <c r="K104" i="8"/>
  <c r="F102" i="8"/>
  <c r="K102" i="8"/>
  <c r="F100" i="8"/>
  <c r="K100" i="8"/>
  <c r="F99" i="8"/>
  <c r="G99" i="8"/>
  <c r="L99" i="8"/>
  <c r="F98" i="8"/>
  <c r="K98" i="8"/>
  <c r="F97" i="8"/>
  <c r="K97" i="8"/>
  <c r="F95" i="8"/>
  <c r="K95" i="8"/>
  <c r="F94" i="8"/>
  <c r="K94" i="8"/>
  <c r="F93" i="8"/>
  <c r="K93" i="8"/>
  <c r="F91" i="8"/>
  <c r="G91" i="8"/>
  <c r="L91" i="8"/>
  <c r="E87" i="8"/>
  <c r="F87" i="8"/>
  <c r="K87" i="8"/>
  <c r="E88" i="8"/>
  <c r="F88" i="8"/>
  <c r="K88" i="8"/>
  <c r="F86" i="8"/>
  <c r="K86" i="8"/>
  <c r="F84" i="8"/>
  <c r="K84" i="8"/>
  <c r="G234" i="8"/>
  <c r="L234" i="8"/>
  <c r="J227" i="8"/>
  <c r="L227" i="8"/>
  <c r="I60" i="9"/>
  <c r="J60" i="9"/>
  <c r="K237" i="8"/>
  <c r="J237" i="8"/>
  <c r="L237" i="8"/>
  <c r="G126" i="8"/>
  <c r="L126" i="8"/>
  <c r="J121" i="8"/>
  <c r="L121" i="8"/>
  <c r="K120" i="8"/>
  <c r="G120" i="8"/>
  <c r="L120" i="8"/>
  <c r="J122" i="8"/>
  <c r="L122" i="8"/>
  <c r="G118" i="8"/>
  <c r="L118" i="8"/>
  <c r="I116" i="8"/>
  <c r="K116" i="8"/>
  <c r="K111" i="8"/>
  <c r="G111" i="8"/>
  <c r="L111" i="8"/>
  <c r="K112" i="8"/>
  <c r="G112" i="8"/>
  <c r="L112" i="8"/>
  <c r="G115" i="8"/>
  <c r="L115" i="8"/>
  <c r="K108" i="8"/>
  <c r="K105" i="8"/>
  <c r="J103" i="8"/>
  <c r="L103" i="8"/>
  <c r="G102" i="8"/>
  <c r="L102" i="8"/>
  <c r="G104" i="8"/>
  <c r="L104" i="8"/>
  <c r="J107" i="8"/>
  <c r="L107" i="8"/>
  <c r="G106" i="8"/>
  <c r="L106" i="8"/>
  <c r="J109" i="8"/>
  <c r="L109" i="8"/>
  <c r="G100" i="8"/>
  <c r="L100" i="8"/>
  <c r="K99" i="8"/>
  <c r="G98" i="8"/>
  <c r="L98" i="8"/>
  <c r="G97" i="8"/>
  <c r="L97" i="8"/>
  <c r="G93" i="8"/>
  <c r="L93" i="8"/>
  <c r="G95" i="8"/>
  <c r="L95" i="8"/>
  <c r="G94" i="8"/>
  <c r="L94" i="8"/>
  <c r="K91" i="8"/>
  <c r="G87" i="8"/>
  <c r="L87" i="8"/>
  <c r="G86" i="8"/>
  <c r="L86" i="8"/>
  <c r="G88" i="8"/>
  <c r="L88" i="8"/>
  <c r="G84" i="8"/>
  <c r="L84" i="8"/>
  <c r="K60" i="9"/>
  <c r="L60" i="9"/>
  <c r="J116" i="8"/>
  <c r="L116" i="8"/>
  <c r="F82" i="8"/>
  <c r="K82" i="8"/>
  <c r="F81" i="8"/>
  <c r="K81" i="8"/>
  <c r="F79" i="8"/>
  <c r="K79" i="8"/>
  <c r="F78" i="8"/>
  <c r="K78" i="8"/>
  <c r="F90" i="8"/>
  <c r="K90" i="8"/>
  <c r="F85" i="8"/>
  <c r="K85" i="8"/>
  <c r="F83" i="8"/>
  <c r="G83" i="8"/>
  <c r="L83" i="8"/>
  <c r="F80" i="8"/>
  <c r="K80" i="8"/>
  <c r="F77" i="8"/>
  <c r="K77" i="8"/>
  <c r="D75" i="8"/>
  <c r="I75" i="8"/>
  <c r="F74" i="8"/>
  <c r="K74" i="8"/>
  <c r="D64" i="8"/>
  <c r="I64" i="8"/>
  <c r="D63" i="8"/>
  <c r="I63" i="8"/>
  <c r="D61" i="8"/>
  <c r="I61" i="8"/>
  <c r="K61" i="8"/>
  <c r="D59" i="8"/>
  <c r="I59" i="8"/>
  <c r="K59" i="8"/>
  <c r="I72" i="8"/>
  <c r="K72" i="8"/>
  <c r="F71" i="8"/>
  <c r="G71" i="8"/>
  <c r="L71" i="8"/>
  <c r="D70" i="8"/>
  <c r="I70" i="8"/>
  <c r="F69" i="8"/>
  <c r="K69" i="8"/>
  <c r="D68" i="8"/>
  <c r="I68" i="8"/>
  <c r="F67" i="8"/>
  <c r="K67" i="8"/>
  <c r="D66" i="8"/>
  <c r="I66" i="8"/>
  <c r="F65" i="8"/>
  <c r="G65" i="8"/>
  <c r="L65" i="8"/>
  <c r="F62" i="8"/>
  <c r="K62" i="8"/>
  <c r="F60" i="8"/>
  <c r="G60" i="8"/>
  <c r="L60" i="8"/>
  <c r="F58" i="8"/>
  <c r="K58" i="8"/>
  <c r="D56" i="8"/>
  <c r="I56" i="8"/>
  <c r="F55" i="8"/>
  <c r="K55" i="8"/>
  <c r="D54" i="8"/>
  <c r="I54" i="8"/>
  <c r="F53" i="8"/>
  <c r="K53" i="8"/>
  <c r="G82" i="8"/>
  <c r="L82" i="8"/>
  <c r="G81" i="8"/>
  <c r="L81" i="8"/>
  <c r="G79" i="8"/>
  <c r="L79" i="8"/>
  <c r="G78" i="8"/>
  <c r="L78" i="8"/>
  <c r="G77" i="8"/>
  <c r="L77" i="8"/>
  <c r="K83" i="8"/>
  <c r="G80" i="8"/>
  <c r="L80" i="8"/>
  <c r="G90" i="8"/>
  <c r="L90" i="8"/>
  <c r="G85" i="8"/>
  <c r="L85" i="8"/>
  <c r="J75" i="8"/>
  <c r="L75" i="8"/>
  <c r="K75" i="8"/>
  <c r="G74" i="8"/>
  <c r="L74" i="8"/>
  <c r="K65" i="8"/>
  <c r="K64" i="8"/>
  <c r="J64" i="8"/>
  <c r="L64" i="8"/>
  <c r="K60" i="8"/>
  <c r="K71" i="8"/>
  <c r="K68" i="8"/>
  <c r="J68" i="8"/>
  <c r="L68" i="8"/>
  <c r="K70" i="8"/>
  <c r="J70" i="8"/>
  <c r="L70" i="8"/>
  <c r="J63" i="8"/>
  <c r="L63" i="8"/>
  <c r="K63" i="8"/>
  <c r="K66" i="8"/>
  <c r="J66" i="8"/>
  <c r="L66" i="8"/>
  <c r="G69" i="8"/>
  <c r="L69" i="8"/>
  <c r="G62" i="8"/>
  <c r="L62" i="8"/>
  <c r="G67" i="8"/>
  <c r="L67" i="8"/>
  <c r="J72" i="8"/>
  <c r="L72" i="8"/>
  <c r="J59" i="8"/>
  <c r="L59" i="8"/>
  <c r="G58" i="8"/>
  <c r="L58" i="8"/>
  <c r="J61" i="8"/>
  <c r="L61" i="8"/>
  <c r="K56" i="8"/>
  <c r="J56" i="8"/>
  <c r="L56" i="8"/>
  <c r="G55" i="8"/>
  <c r="L55" i="8"/>
  <c r="J54" i="8"/>
  <c r="L54" i="8"/>
  <c r="K54" i="8"/>
  <c r="G53" i="8"/>
  <c r="L53" i="8"/>
  <c r="D52" i="8"/>
  <c r="I52" i="8"/>
  <c r="F51" i="8"/>
  <c r="K51" i="8"/>
  <c r="D50" i="8"/>
  <c r="F50" i="8"/>
  <c r="F49" i="8"/>
  <c r="K49" i="8"/>
  <c r="H47" i="8"/>
  <c r="F46" i="8"/>
  <c r="H45" i="8"/>
  <c r="D45" i="8"/>
  <c r="F44" i="8"/>
  <c r="I42" i="8"/>
  <c r="K42" i="8"/>
  <c r="D39" i="8"/>
  <c r="F39" i="8"/>
  <c r="I41" i="8"/>
  <c r="K41" i="8"/>
  <c r="I40" i="8"/>
  <c r="J40" i="8"/>
  <c r="L40" i="8"/>
  <c r="K52" i="8"/>
  <c r="J52" i="8"/>
  <c r="L52" i="8"/>
  <c r="G51" i="8"/>
  <c r="L51" i="8"/>
  <c r="G49" i="8"/>
  <c r="L49" i="8"/>
  <c r="G50" i="8"/>
  <c r="L50" i="8"/>
  <c r="K50" i="8"/>
  <c r="I45" i="8"/>
  <c r="K46" i="8"/>
  <c r="G46" i="8"/>
  <c r="L46" i="8"/>
  <c r="D47" i="8"/>
  <c r="I47" i="8"/>
  <c r="K44" i="8"/>
  <c r="G44" i="8"/>
  <c r="L44" i="8"/>
  <c r="K45" i="8"/>
  <c r="J45" i="8"/>
  <c r="L45" i="8"/>
  <c r="J42" i="8"/>
  <c r="L42" i="8"/>
  <c r="K39" i="8"/>
  <c r="G39" i="8"/>
  <c r="L39" i="8"/>
  <c r="K40" i="8"/>
  <c r="J41" i="8"/>
  <c r="L41" i="8"/>
  <c r="K47" i="8"/>
  <c r="J47" i="8"/>
  <c r="L47" i="8"/>
  <c r="I37" i="8"/>
  <c r="F36" i="8"/>
  <c r="K36" i="8"/>
  <c r="H35" i="8"/>
  <c r="I35" i="8"/>
  <c r="F34" i="8"/>
  <c r="K34" i="8"/>
  <c r="H33" i="8"/>
  <c r="I33" i="8"/>
  <c r="K33" i="8"/>
  <c r="D32" i="8"/>
  <c r="F32" i="8"/>
  <c r="F30" i="8"/>
  <c r="K30" i="8"/>
  <c r="G34" i="8"/>
  <c r="L34" i="8"/>
  <c r="J35" i="8"/>
  <c r="L35" i="8"/>
  <c r="K35" i="8"/>
  <c r="K32" i="8"/>
  <c r="G32" i="8"/>
  <c r="L32" i="8"/>
  <c r="K37" i="8"/>
  <c r="J37" i="8"/>
  <c r="L37" i="8"/>
  <c r="J33" i="8"/>
  <c r="L33" i="8"/>
  <c r="G36" i="8"/>
  <c r="L36" i="8"/>
  <c r="G30" i="8"/>
  <c r="L30" i="8"/>
  <c r="F29" i="8"/>
  <c r="K29" i="8"/>
  <c r="G29" i="8"/>
  <c r="L29" i="8"/>
  <c r="D23" i="8"/>
  <c r="F23" i="8"/>
  <c r="I28" i="8"/>
  <c r="H27" i="8"/>
  <c r="I27" i="8"/>
  <c r="I26" i="8"/>
  <c r="I25" i="8"/>
  <c r="J25" i="8"/>
  <c r="L25" i="8"/>
  <c r="I24" i="8"/>
  <c r="D20" i="8"/>
  <c r="D21" i="8"/>
  <c r="I21" i="8"/>
  <c r="D18" i="8"/>
  <c r="F20" i="8"/>
  <c r="K20" i="8"/>
  <c r="K26" i="8"/>
  <c r="J26" i="8"/>
  <c r="L26" i="8"/>
  <c r="J24" i="8"/>
  <c r="L24" i="8"/>
  <c r="K24" i="8"/>
  <c r="J27" i="8"/>
  <c r="L27" i="8"/>
  <c r="K27" i="8"/>
  <c r="K23" i="8"/>
  <c r="G23" i="8"/>
  <c r="L23" i="8"/>
  <c r="K28" i="8"/>
  <c r="J28" i="8"/>
  <c r="L28" i="8"/>
  <c r="K25" i="8"/>
  <c r="K21" i="8"/>
  <c r="J21" i="8"/>
  <c r="L21" i="8"/>
  <c r="G20" i="8"/>
  <c r="L20" i="8"/>
  <c r="H19" i="8"/>
  <c r="D19" i="8"/>
  <c r="F18" i="8"/>
  <c r="K18" i="8"/>
  <c r="H17" i="8"/>
  <c r="D17" i="8"/>
  <c r="F16" i="8"/>
  <c r="K16" i="8"/>
  <c r="I15" i="8"/>
  <c r="J15" i="8"/>
  <c r="L15" i="8"/>
  <c r="I14" i="8"/>
  <c r="K14" i="8"/>
  <c r="I13" i="8"/>
  <c r="K13" i="8"/>
  <c r="F12" i="8"/>
  <c r="G12" i="8"/>
  <c r="L12" i="8"/>
  <c r="H11" i="8"/>
  <c r="D11" i="8"/>
  <c r="F10" i="8"/>
  <c r="K10" i="8"/>
  <c r="I9" i="8"/>
  <c r="F8" i="8"/>
  <c r="A10" i="8"/>
  <c r="A12" i="8"/>
  <c r="A16" i="8"/>
  <c r="A18" i="8"/>
  <c r="A20" i="8"/>
  <c r="A23" i="8"/>
  <c r="A29" i="8"/>
  <c r="A30" i="8"/>
  <c r="A32" i="8"/>
  <c r="A34" i="8"/>
  <c r="A36" i="8"/>
  <c r="A39" i="8"/>
  <c r="A46" i="8"/>
  <c r="A49" i="8"/>
  <c r="A50" i="8"/>
  <c r="A51" i="8"/>
  <c r="A53" i="8"/>
  <c r="A55" i="8"/>
  <c r="A58" i="8"/>
  <c r="A60" i="8"/>
  <c r="A62" i="8"/>
  <c r="A65" i="8"/>
  <c r="A67" i="8"/>
  <c r="A69" i="8"/>
  <c r="A71" i="8"/>
  <c r="A74" i="8"/>
  <c r="A77" i="8"/>
  <c r="K8" i="8"/>
  <c r="F261" i="8"/>
  <c r="K9" i="8"/>
  <c r="A78" i="8"/>
  <c r="G10" i="8"/>
  <c r="L10" i="8"/>
  <c r="I17" i="8"/>
  <c r="K17" i="8"/>
  <c r="K12" i="8"/>
  <c r="I11" i="8"/>
  <c r="K15" i="8"/>
  <c r="I19" i="8"/>
  <c r="J19" i="8"/>
  <c r="L19" i="8"/>
  <c r="J9" i="8"/>
  <c r="L9" i="8"/>
  <c r="J14" i="8"/>
  <c r="L14" i="8"/>
  <c r="G18" i="8"/>
  <c r="L18" i="8"/>
  <c r="G8" i="8"/>
  <c r="L8" i="8"/>
  <c r="J13" i="8"/>
  <c r="L13" i="8"/>
  <c r="G16" i="8"/>
  <c r="L16" i="8"/>
  <c r="A79" i="8"/>
  <c r="A80" i="8"/>
  <c r="A81" i="8"/>
  <c r="A82" i="8"/>
  <c r="J17" i="8"/>
  <c r="L17" i="8"/>
  <c r="K11" i="8"/>
  <c r="K19" i="8"/>
  <c r="J11" i="8"/>
  <c r="L11" i="8"/>
  <c r="A83" i="8"/>
  <c r="A84" i="8"/>
  <c r="A85" i="8"/>
  <c r="A86" i="8"/>
  <c r="A87" i="8"/>
  <c r="A88" i="8"/>
  <c r="A90" i="8"/>
  <c r="A91" i="8"/>
  <c r="A93" i="8"/>
  <c r="A94" i="8"/>
  <c r="A95" i="8"/>
  <c r="A97" i="8"/>
  <c r="A98" i="8"/>
  <c r="A99" i="8"/>
  <c r="A100" i="8"/>
  <c r="A102" i="8"/>
  <c r="A104" i="8"/>
  <c r="A106" i="8"/>
  <c r="A111" i="8"/>
  <c r="A112" i="8"/>
  <c r="A115" i="8"/>
  <c r="A118" i="8"/>
  <c r="A120" i="8"/>
  <c r="A123" i="8"/>
  <c r="A125" i="8"/>
  <c r="A126" i="8"/>
  <c r="A128" i="8"/>
  <c r="A129" i="8"/>
  <c r="A131" i="8"/>
  <c r="A136" i="8"/>
  <c r="A139" i="8"/>
  <c r="A145" i="8"/>
  <c r="A146" i="8"/>
  <c r="A147" i="8"/>
  <c r="A150" i="8"/>
  <c r="A153" i="8"/>
  <c r="A159" i="8"/>
  <c r="A161" i="8"/>
  <c r="A166" i="8"/>
  <c r="A169" i="8"/>
  <c r="A175" i="8"/>
  <c r="A177" i="8"/>
  <c r="A183" i="8"/>
  <c r="A186" i="8"/>
  <c r="A192" i="8"/>
  <c r="A194" i="8"/>
  <c r="A198" i="8"/>
  <c r="A201" i="8"/>
  <c r="A207" i="8"/>
  <c r="A210" i="8"/>
  <c r="A216" i="8"/>
  <c r="A217" i="8"/>
  <c r="A218" i="8"/>
  <c r="A221" i="8"/>
  <c r="A226" i="8"/>
  <c r="A228" i="8"/>
  <c r="A234" i="8"/>
  <c r="A236" i="8"/>
  <c r="A239" i="8"/>
  <c r="A241" i="8"/>
  <c r="A245" i="8"/>
  <c r="A259" i="8"/>
  <c r="A231" i="8"/>
  <c r="G261" i="8"/>
  <c r="C7" i="6"/>
  <c r="D7" i="6"/>
  <c r="H6" i="6"/>
  <c r="H3" i="6"/>
  <c r="E4" i="6"/>
  <c r="H4" i="6"/>
  <c r="H5" i="6"/>
  <c r="H7" i="6"/>
  <c r="G7" i="6"/>
  <c r="E6" i="6"/>
  <c r="E5" i="6"/>
  <c r="E3" i="6"/>
  <c r="E7" i="6"/>
  <c r="F7" i="6"/>
  <c r="K114" i="8"/>
  <c r="I261" i="8"/>
  <c r="J261" i="8"/>
  <c r="K113" i="8"/>
  <c r="K261" i="8"/>
  <c r="L261" i="8"/>
</calcChain>
</file>

<file path=xl/sharedStrings.xml><?xml version="1.0" encoding="utf-8"?>
<sst xmlns="http://schemas.openxmlformats.org/spreadsheetml/2006/main" count="774" uniqueCount="341">
  <si>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</si>
  <si>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</si>
  <si>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</si>
  <si>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</si>
  <si>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</si>
  <si>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</si>
  <si>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</si>
  <si>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</si>
  <si>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</si>
  <si>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</si>
  <si>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</si>
  <si>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</si>
  <si>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</si>
  <si>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м3</t>
  </si>
  <si>
    <t xml:space="preserve">Итого </t>
  </si>
  <si>
    <t>м</t>
  </si>
  <si>
    <t>Погрузка лишнего грунта в автосамосвалы</t>
  </si>
  <si>
    <t>т</t>
  </si>
  <si>
    <t>10.1</t>
  </si>
  <si>
    <t>Наименование работ (затрат)</t>
  </si>
  <si>
    <t>Без НДС</t>
  </si>
  <si>
    <t>Стоимость 
СМР</t>
  </si>
  <si>
    <t>Стоимость 
МТР</t>
  </si>
  <si>
    <t>Стоимость 
ИТОГО</t>
  </si>
  <si>
    <t>ВСЕГО</t>
  </si>
  <si>
    <t>131-23-ГП2 Генеральный план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</si>
  <si>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</si>
  <si>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</si>
  <si>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</si>
  <si>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Устройство планировочной насыпи из оставшегося грунта</t>
  </si>
  <si>
    <t>Отсыпка территории щебнем</t>
  </si>
  <si>
    <t>Благоустройство (Водоотводной лоток)</t>
  </si>
  <si>
    <t>Устройство лотка водоотводного</t>
  </si>
  <si>
    <t>Устройство водоприемной решетки</t>
  </si>
  <si>
    <t>Лоток BetoMax Drive ЛВ-30.36.26-Б 47471</t>
  </si>
  <si>
    <t>Решетка Drive РВ-30.35.50-щель-ВЧ кл.C 273033-D</t>
  </si>
  <si>
    <t>Болт М10х25 ГОСТ 7805-70</t>
  </si>
  <si>
    <t>Гайка М 10 DIN 557 квадрат</t>
  </si>
  <si>
    <t>шт.</t>
  </si>
  <si>
    <t>Устройство слоя основания из щебня (подстилающий слой щебня для лотка)</t>
  </si>
  <si>
    <t>Устройство щебеночной наброски</t>
  </si>
  <si>
    <t>Щебень фракции 20-40мм М600, известняк</t>
  </si>
  <si>
    <t>Благоустройство (Асфальтовое покрытие проездов)</t>
  </si>
  <si>
    <t>Щебень, М600 (20-70мм), известняк</t>
  </si>
  <si>
    <t>м2</t>
  </si>
  <si>
    <t xml:space="preserve">Устройство слоя из песка крупного ГОСТ 8736-2014, h=0,30 </t>
  </si>
  <si>
    <t xml:space="preserve">Асфальтобетон крупнозернистый, плотный горячий на битуме БНД марки 60/90, Тип Б, Марки II </t>
  </si>
  <si>
    <t xml:space="preserve">Асфальтобетон мелкозернистый, плотный горячий на битуме БНД марки 60/90, Тип Б, Марки II </t>
  </si>
  <si>
    <t>Устройство бортовых камней БР 100.30.15</t>
  </si>
  <si>
    <t>Песок крупный ГОСТ 8736-2014 h=0,30 с К упл.= 1,10</t>
  </si>
  <si>
    <t>Бортовые камни БР 100.30.15</t>
  </si>
  <si>
    <t>Битумы нефтяные дорожные вязкие БНД 60/90, БНД 90/130</t>
  </si>
  <si>
    <t>Укладка и пропитка с применением битума щебеночных оснований толщиной 8 см</t>
  </si>
  <si>
    <t>Демонтаж (Существующее асфальтовое покрытие проездов)</t>
  </si>
  <si>
    <t>Демонтаж бортовых камней БР 100.30.15</t>
  </si>
  <si>
    <t>Благоустройство (восстановление сущ. газона)</t>
  </si>
  <si>
    <t>Посев многолетних трав ручным способом</t>
  </si>
  <si>
    <t>Кострец безостный</t>
  </si>
  <si>
    <t>Овсянка луговая</t>
  </si>
  <si>
    <t>Ежа сборная</t>
  </si>
  <si>
    <t>Благоустройство (укрепление откосов георешеткой)</t>
  </si>
  <si>
    <t>кг</t>
  </si>
  <si>
    <t>Земляные работы</t>
  </si>
  <si>
    <t>Разработка грунта вручную</t>
  </si>
  <si>
    <t>Сборные железобетонные, монолитные и кирпичные конструкции</t>
  </si>
  <si>
    <t>Фундамент ограждения ФО-2 «Альбом ИЖ 31-77» массой 0,63 т</t>
  </si>
  <si>
    <t>Панель ограждения ПО-2 «Альбом ИЖ 31-77» массой 1420 кг</t>
  </si>
  <si>
    <t>Кирпич КР-р-по 250х120х88/1,4НФ/150/2,0/50</t>
  </si>
  <si>
    <t>Устройство щебеночной подготовки из щебня фр. 20-40 мм под фундаменты</t>
  </si>
  <si>
    <t>Щебень фр. 20-40, известняк</t>
  </si>
  <si>
    <t>Демонтаж фундамента</t>
  </si>
  <si>
    <t>Демонтаж слоя из песка крупного h=0,30</t>
  </si>
  <si>
    <t>7.1</t>
  </si>
  <si>
    <t>9.1</t>
  </si>
  <si>
    <t>11.1</t>
  </si>
  <si>
    <t>12.1</t>
  </si>
  <si>
    <t>13.1</t>
  </si>
  <si>
    <t>14.1</t>
  </si>
  <si>
    <t>15.1</t>
  </si>
  <si>
    <t>16.1</t>
  </si>
  <si>
    <t>17.1</t>
  </si>
  <si>
    <t>18.1</t>
  </si>
  <si>
    <t>19.1</t>
  </si>
  <si>
    <t>26.1</t>
  </si>
  <si>
    <t>27.1</t>
  </si>
  <si>
    <t>28.1</t>
  </si>
  <si>
    <t>29.1</t>
  </si>
  <si>
    <t>Устройство железобетонных оград из панелей (2,5м*4шт.)</t>
  </si>
  <si>
    <t>Плита перекрытия ПП 10-1</t>
  </si>
  <si>
    <t>Кольцо стеновое КС 10-9</t>
  </si>
  <si>
    <t>Плита днища ПД 10</t>
  </si>
  <si>
    <t>Кольцо стеновое КС 10-3</t>
  </si>
  <si>
    <t>Люк тип Т (К) с пазом под РТИ (Н=100мм)</t>
  </si>
  <si>
    <t>Отвод НПВХ кор б/н Дн200х45гр в/к</t>
  </si>
  <si>
    <t>Труба НПВХ кор б/н Дн200х4,9 L=1,0м в/к SN4</t>
  </si>
  <si>
    <t>Труба КОРСИС DN/OD 200 SN 8 PR-2 (6м) с муфтой и упл.кольцами</t>
  </si>
  <si>
    <t>Устройство колодца канализационного из сборных ж/б</t>
  </si>
  <si>
    <t>Установка отвода Дн200</t>
  </si>
  <si>
    <t>Прокладка труб КОРСИС DN/OD 200</t>
  </si>
  <si>
    <t>цена 417 путь Дн160</t>
  </si>
  <si>
    <t>Прокладка труб НПВХ Дн200</t>
  </si>
  <si>
    <t>52.1</t>
  </si>
  <si>
    <t>53.1</t>
  </si>
  <si>
    <t>55.1</t>
  </si>
  <si>
    <t>56.1</t>
  </si>
  <si>
    <t>Демонтаж слоя из щебня  h=0,08</t>
  </si>
  <si>
    <t>Укладка асфальтобетона мелкозеристого горячего на битуме   h=0,05</t>
  </si>
  <si>
    <t>Подготовка почвы для устройства газона механизированным способом с внесением растительной земли слоем 20 см (80%)</t>
  </si>
  <si>
    <t>Подготовка почвы для устройства газона  ручным способом с внесением растительной земли слоем 20 см (20%)</t>
  </si>
  <si>
    <t>Земля растительная</t>
  </si>
  <si>
    <t>стоимость по ФЕР</t>
  </si>
  <si>
    <t>Подготовка откосов к укладке геотехнической решетки</t>
  </si>
  <si>
    <t xml:space="preserve">Укрепление откосов геотехнической решеткой с креплением анкерами </t>
  </si>
  <si>
    <t>Засыпка щебнем с разравниванием</t>
  </si>
  <si>
    <t>Уплотнение грунта прицепными катками 8 т проход по одному следу при толщине слоя: 10 см (количество проходов по одному следу 4)</t>
  </si>
  <si>
    <t>1.1</t>
  </si>
  <si>
    <t>2.1</t>
  </si>
  <si>
    <t>3.1</t>
  </si>
  <si>
    <t>3.2</t>
  </si>
  <si>
    <t>3.3</t>
  </si>
  <si>
    <t>4.1</t>
  </si>
  <si>
    <t>5.1</t>
  </si>
  <si>
    <t>6.1</t>
  </si>
  <si>
    <t>Устройство ж/б колодцев</t>
  </si>
  <si>
    <t>7.2</t>
  </si>
  <si>
    <t>7.3</t>
  </si>
  <si>
    <t>7.4</t>
  </si>
  <si>
    <t>7.5</t>
  </si>
  <si>
    <t>Пробивка отверстий в колодцах под футляр</t>
  </si>
  <si>
    <t>Заделка сальников при проходе труб между стенками колодца и трубой</t>
  </si>
  <si>
    <t>Прокладка трубопровода</t>
  </si>
  <si>
    <t xml:space="preserve">цена 417 путь </t>
  </si>
  <si>
    <t>Поднятие горловин сущ. ж/б колодцев</t>
  </si>
  <si>
    <t xml:space="preserve">Люк тяжелый </t>
  </si>
  <si>
    <t xml:space="preserve">Установка люка чугунного </t>
  </si>
  <si>
    <t>13.2</t>
  </si>
  <si>
    <t>Отсыпка щебнем</t>
  </si>
  <si>
    <t xml:space="preserve">Отсыпка щебнем стрелочных переводов </t>
  </si>
  <si>
    <t>Отсыпка щебнем глухой переезд</t>
  </si>
  <si>
    <t>Устройство траншеи под ливневую канализацию</t>
  </si>
  <si>
    <t>Устройство песчаного основания h=0,1м под трубы вручную</t>
  </si>
  <si>
    <t>Песок природный  средний</t>
  </si>
  <si>
    <t>Устройство присыпки песком h=0,20 вручную</t>
  </si>
  <si>
    <t xml:space="preserve">Устройство засыпки песком </t>
  </si>
  <si>
    <t>20.1</t>
  </si>
  <si>
    <t>21.1</t>
  </si>
  <si>
    <t>Укладка асфальтобетона крупнозернистого горячего на битуме    h=0,07</t>
  </si>
  <si>
    <t>Устройство слоя из геотекстиля Дорнит</t>
  </si>
  <si>
    <t>Геотекстиль Дорнит 500 (с учетом коэфф. 1,1 на захлест )</t>
  </si>
  <si>
    <t>в КП 417 путь цена -  4407,05р без разделения на крупно и мелкозернистый</t>
  </si>
  <si>
    <t>22.1</t>
  </si>
  <si>
    <t>23.1</t>
  </si>
  <si>
    <t>24.1</t>
  </si>
  <si>
    <t>24.2</t>
  </si>
  <si>
    <t>25.1</t>
  </si>
  <si>
    <t>Благоустройство (Устройство щебеночного покрытия стрелочных переводов)</t>
  </si>
  <si>
    <t xml:space="preserve">Устройство слоя из песка крупного  h=0,30 </t>
  </si>
  <si>
    <t>в КП 417 путь цена -  1083р/м2 за 5 см, скорректировала пропорционально</t>
  </si>
  <si>
    <t>Устройство слоя из щебня h=0,16</t>
  </si>
  <si>
    <t xml:space="preserve">Устройство слоя из щебня  h=0,15 </t>
  </si>
  <si>
    <t>Демонтаж слоя из асфальтобетона  от h=0,05 до h=0,4м</t>
  </si>
  <si>
    <t xml:space="preserve">Демонтаж слоя из асфальтобетона  h=0,19 </t>
  </si>
  <si>
    <t>Демонтаж слоя из асфальтобетона  h=0,3</t>
  </si>
  <si>
    <t>Демонтаж слоя из щебня  h=0,15</t>
  </si>
  <si>
    <t xml:space="preserve">Разработка сухого грунта механизированным способом </t>
  </si>
  <si>
    <t>ранее в КП 417 путь цена была- 78,85руб/м3</t>
  </si>
  <si>
    <t xml:space="preserve">Демонтаж отмостки цеха 121/18 из ж/бетона h=0,25 отбойными молотками  </t>
  </si>
  <si>
    <t>Демонтаж сущ. ж/б плит расположенных под демонтированным а/б покрытием h=0,30 (цех 121/18)</t>
  </si>
  <si>
    <t>Разборка дорожных ж/б плит  (6м*1,75м*0,18м) (20,41м3)</t>
  </si>
  <si>
    <t>Прочие работы</t>
  </si>
  <si>
    <t>Погрузка строительного мусора в автосамосвалы</t>
  </si>
  <si>
    <t>Погрузка вытесненного грунта в автосамосвалы</t>
  </si>
  <si>
    <t>Благоустройство (Резинокордовое покрытие из плит через ж/д путь №31, l=6.0м) – 2 переезда</t>
  </si>
  <si>
    <t>Укладка плиты внутренней резинокордового покрытия</t>
  </si>
  <si>
    <t>Укладка плиты наружней резинокордового покрытия</t>
  </si>
  <si>
    <t>Устройство прокладки наружней резинокордового покрытия</t>
  </si>
  <si>
    <t xml:space="preserve">Укладка ж/б прижимной балки БПР-3 </t>
  </si>
  <si>
    <t>Укладка ж/б прижимной балки БПР-4</t>
  </si>
  <si>
    <t>Благоустройство (Резинокордовое покрытие из плит через ж/д путь №33,35,37,39 l=10.45м) – 1 переезд</t>
  </si>
  <si>
    <t>51.1</t>
  </si>
  <si>
    <t>53.2</t>
  </si>
  <si>
    <t>53.3</t>
  </si>
  <si>
    <t>Геотехническая решетка Н=0.15 м</t>
  </si>
  <si>
    <t>Анкер металлический, А12-900 мм</t>
  </si>
  <si>
    <t>55.2</t>
  </si>
  <si>
    <t>58.1</t>
  </si>
  <si>
    <t>58.2</t>
  </si>
  <si>
    <t>59.1</t>
  </si>
  <si>
    <t xml:space="preserve">Демонтаж панели ограждения ПО-2 </t>
  </si>
  <si>
    <t>Благоустройство (укладка плитки тротуарной на переезде цеха 417)</t>
  </si>
  <si>
    <t xml:space="preserve">Укладка плитки тротуарной </t>
  </si>
  <si>
    <t>Тротуарная плитка "Брусчатка" (200*100*60)мм</t>
  </si>
  <si>
    <t>62.1</t>
  </si>
  <si>
    <t>Восстановление колодцев действующих инженерных сетей</t>
  </si>
  <si>
    <t xml:space="preserve">    -Демонтаж люка чугунного</t>
  </si>
  <si>
    <t>Демонтаж ж/б изделий колодцев:</t>
  </si>
  <si>
    <t>65.1</t>
  </si>
  <si>
    <t>Колодец №1</t>
  </si>
  <si>
    <t>Устройство круглых сборных железобетонных канализационных колодцев  в мокрых грунтах</t>
  </si>
  <si>
    <t>20.2</t>
  </si>
  <si>
    <t>20.3</t>
  </si>
  <si>
    <t>Плита перекрытия колодца ПП15</t>
  </si>
  <si>
    <t>Битумная грунтовка ТЕХНОНИКОЛЬ № 01  (20л=16кг)</t>
  </si>
  <si>
    <t>л</t>
  </si>
  <si>
    <t>Битумная мастика Технониколь №24</t>
  </si>
  <si>
    <t>Кольцо доборное колодезное КС7.6</t>
  </si>
  <si>
    <t>66.1</t>
  </si>
  <si>
    <t>66.2</t>
  </si>
  <si>
    <t>66.3</t>
  </si>
  <si>
    <t>Ранее демонированное или новое?</t>
  </si>
  <si>
    <t>Колодец №2</t>
  </si>
  <si>
    <t>Демонтаж ж/б изделий колодцев</t>
  </si>
  <si>
    <t>Демонтаж чугунной решетки</t>
  </si>
  <si>
    <t>Демонтаж ж/б трубы Ду. 400мм</t>
  </si>
  <si>
    <t>Колодец №3</t>
  </si>
  <si>
    <t xml:space="preserve">Люк чугунный тяжелый </t>
  </si>
  <si>
    <t>73.1</t>
  </si>
  <si>
    <t>73.2</t>
  </si>
  <si>
    <t>74.1</t>
  </si>
  <si>
    <t>75.1</t>
  </si>
  <si>
    <t>Колодец №4</t>
  </si>
  <si>
    <t xml:space="preserve">Демонтаж люка чугунного </t>
  </si>
  <si>
    <t>Демонтажные работы</t>
  </si>
  <si>
    <t>Монтажные работы</t>
  </si>
  <si>
    <t>Кольцо строительное КС7.3</t>
  </si>
  <si>
    <t>77.2</t>
  </si>
  <si>
    <t>77.3</t>
  </si>
  <si>
    <t>77.1</t>
  </si>
  <si>
    <t>78.1</t>
  </si>
  <si>
    <t>79.1</t>
  </si>
  <si>
    <t>Колодец №5</t>
  </si>
  <si>
    <t>Плита перекрытия колодца ПП20</t>
  </si>
  <si>
    <t>Кольцо доборное колодезное КС7.3</t>
  </si>
  <si>
    <t>81.1</t>
  </si>
  <si>
    <t>82.1</t>
  </si>
  <si>
    <t>83.1</t>
  </si>
  <si>
    <t>Колодец №6</t>
  </si>
  <si>
    <t>Кольцо опорное К07</t>
  </si>
  <si>
    <t>Плита перекрытия ПП10</t>
  </si>
  <si>
    <t>85.1</t>
  </si>
  <si>
    <t>85.2</t>
  </si>
  <si>
    <t>85.3</t>
  </si>
  <si>
    <t>Кольцо опорное К06</t>
  </si>
  <si>
    <t>из КП 417 путь с дисконтом</t>
  </si>
  <si>
    <t>Колодец №8</t>
  </si>
  <si>
    <t>89.1</t>
  </si>
  <si>
    <t>89.2</t>
  </si>
  <si>
    <t>90.1</t>
  </si>
  <si>
    <t>91.1</t>
  </si>
  <si>
    <t xml:space="preserve">Плита днища колодца ПН10-1 </t>
  </si>
  <si>
    <t>93.1</t>
  </si>
  <si>
    <t>95.1</t>
  </si>
  <si>
    <t>Колодец №9</t>
  </si>
  <si>
    <t>96.1</t>
  </si>
  <si>
    <t>97.1</t>
  </si>
  <si>
    <t>Колодец №10</t>
  </si>
  <si>
    <t>Демонтаж ПНД трубы Ду.160мм</t>
  </si>
  <si>
    <t>Колодец №11, 12</t>
  </si>
  <si>
    <t>Колодец №13</t>
  </si>
  <si>
    <t>Обмазка праймером Технониколь  в один слой</t>
  </si>
  <si>
    <t>Обмазка битумной мастикой  в два слоя</t>
  </si>
  <si>
    <t xml:space="preserve">Монтаж кольца опорного кольца из кирпича </t>
  </si>
  <si>
    <t>Колодцы №14, 15,16,17,18</t>
  </si>
  <si>
    <t>Колодец №19</t>
  </si>
  <si>
    <t>Устройство гидроизоляции колодцев</t>
  </si>
  <si>
    <t>70.1</t>
  </si>
  <si>
    <t>71.1</t>
  </si>
  <si>
    <t>71.2</t>
  </si>
  <si>
    <t>71.3</t>
  </si>
  <si>
    <t>75.2</t>
  </si>
  <si>
    <t>75.3</t>
  </si>
  <si>
    <t>79.2</t>
  </si>
  <si>
    <t>79.3</t>
  </si>
  <si>
    <t>83.2</t>
  </si>
  <si>
    <t>83.3</t>
  </si>
  <si>
    <t>84.1</t>
  </si>
  <si>
    <t>92.1</t>
  </si>
  <si>
    <t>Дорожные знаки</t>
  </si>
  <si>
    <t xml:space="preserve">Установка на двух переездах дорожных знаков «Стоп» на металлических стойках h=4м с омоноличиванием фундаментом </t>
  </si>
  <si>
    <t>Установка на переезде через 4 пути дорожных знаков на сборных фундаментных блоках</t>
  </si>
  <si>
    <t>Разметка с двух сторон переезда стоп-линией перпендикулярно дорожному полотну шириной 0,4м</t>
  </si>
  <si>
    <t>Стойка 76 мм, L = 4 м, оцинкованная</t>
  </si>
  <si>
    <t xml:space="preserve">Хомут  (76) мм </t>
  </si>
  <si>
    <t xml:space="preserve">Дорожный знак 2.5 "Движение без остановки запрещено" 2 типоразмер, пленка тип "Б" </t>
  </si>
  <si>
    <t>95.2</t>
  </si>
  <si>
    <t>95.3</t>
  </si>
  <si>
    <t xml:space="preserve">Стойка 76 мм, L = 2 м, оцинкованная </t>
  </si>
  <si>
    <t xml:space="preserve">Основание знака ж/б Ф-2 под стойку </t>
  </si>
  <si>
    <t xml:space="preserve">Дорожный знак 2.5  </t>
  </si>
  <si>
    <t>Дорожный знак 1.2</t>
  </si>
  <si>
    <t xml:space="preserve">Дорожный знак 1.3.1 </t>
  </si>
  <si>
    <t>Дорожный знак 1.4.1</t>
  </si>
  <si>
    <t xml:space="preserve">Дорожный знак 1.4.2  2 </t>
  </si>
  <si>
    <t xml:space="preserve">Дорожный знак 1.4.3  2 </t>
  </si>
  <si>
    <t xml:space="preserve">Дорожный знак 1.4.4  2 </t>
  </si>
  <si>
    <t xml:space="preserve">Дорожный знак 1.4.5  2 </t>
  </si>
  <si>
    <t xml:space="preserve">Дорожный знак 1.4.6  2 </t>
  </si>
  <si>
    <t>Дорожный знак 2.5</t>
  </si>
  <si>
    <t xml:space="preserve">Краска для разметки дорог Profilux цвет белый </t>
  </si>
  <si>
    <t>96.2</t>
  </si>
  <si>
    <t>96.3</t>
  </si>
  <si>
    <t>96.4</t>
  </si>
  <si>
    <t>96.5</t>
  </si>
  <si>
    <t>96.6</t>
  </si>
  <si>
    <t>96.7</t>
  </si>
  <si>
    <t>96.8</t>
  </si>
  <si>
    <t>96.9</t>
  </si>
  <si>
    <t>96.10</t>
  </si>
  <si>
    <t>96.11</t>
  </si>
  <si>
    <t>96.12</t>
  </si>
  <si>
    <t>96.13</t>
  </si>
  <si>
    <t>!!!цена по счету без наценки (с учетом доставки)</t>
  </si>
  <si>
    <t xml:space="preserve">!!!цена по счету без наценки </t>
  </si>
  <si>
    <t>131-23-ГП1 Генеральный план</t>
  </si>
  <si>
    <t>Разборка дорожных покрытий</t>
  </si>
  <si>
    <t>Демонтаж дорожного бордюра БР 100.30.15</t>
  </si>
  <si>
    <t xml:space="preserve">Резка асфальтового покрытия фрезой </t>
  </si>
  <si>
    <t xml:space="preserve">Разборка покрытий асфальтобетонных мех. способом </t>
  </si>
  <si>
    <t xml:space="preserve">Разборка оснований щебеночных мех. способом </t>
  </si>
  <si>
    <t>Доработка грунта в траншее вручную</t>
  </si>
  <si>
    <t xml:space="preserve">Земляные работы </t>
  </si>
  <si>
    <t>Погрузка  грунта в автосамосвалы</t>
  </si>
  <si>
    <t xml:space="preserve">Щебень крупный М600 (20-70мм) </t>
  </si>
  <si>
    <t xml:space="preserve">Устройство слоя из щебня крупного  h=0,15 </t>
  </si>
  <si>
    <t xml:space="preserve">Устройство слоя из щебня мелкого  h=0,08 </t>
  </si>
  <si>
    <t xml:space="preserve">Щебень крупный М600 (5-20мм) </t>
  </si>
  <si>
    <t>Подъем и восстановление щебеночного основания</t>
  </si>
  <si>
    <t>Устройство асфальтобетонного покрытия</t>
  </si>
  <si>
    <t>Посев многолетних трав</t>
  </si>
  <si>
    <t>Подготовка почвы для устройства газона механизированным способом с внесением растительной земли слоем 15 см (80%)</t>
  </si>
  <si>
    <t>Подготовка почвы для устройства газона  ручным способом с внесением растительной земли слоем 15 см (20%)</t>
  </si>
  <si>
    <t>Восстановление существующих ж/б колодцев</t>
  </si>
  <si>
    <t>Плита перекрытия ПП20</t>
  </si>
  <si>
    <t>Кольцо стеновое КС7.9-1</t>
  </si>
  <si>
    <t>25.2</t>
  </si>
  <si>
    <t>25.3</t>
  </si>
  <si>
    <t>25.4</t>
  </si>
  <si>
    <t>Этих разделов нет в ИД, но были в проекте .Виталий говорил, что ИД еще не окончательная, поэтому оставила, если не нужны удалите</t>
  </si>
  <si>
    <t>стоимость из НВК</t>
  </si>
  <si>
    <t>стоимость  НВК</t>
  </si>
  <si>
    <t>счет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</si>
</sst>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_-* #,##0.00\ _₽_-;\-* #,##0.00\ _₽_-;_-* &quot;-&quot;??\ _₽_-;_-@_-"/>
    <numFmt numFmtId="167" formatCode="0.000"/>
    <numFmt numFmtId="168" formatCode="0.0"/>
    <numFmt numFmtId="169" formatCode="_-* #,##0.000_-;\-* #,##0.000_-;_-* &quot;-&quot;??_-;_-@_-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204">
    <xf numFmtId="0" fontId="0" fillId="0" borderId="0" xfId="0"/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164" fontId="3" fillId="2" borderId="11" xfId="1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43" fontId="6" fillId="3" borderId="3" xfId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vertical="center"/>
    </xf>
    <xf numFmtId="43" fontId="6" fillId="0" borderId="11" xfId="1" applyFont="1" applyBorder="1" applyAlignment="1">
      <alignment vertical="center"/>
    </xf>
    <xf numFmtId="43" fontId="8" fillId="3" borderId="3" xfId="1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left" vertical="center" wrapText="1"/>
    </xf>
    <xf numFmtId="0" fontId="8" fillId="4" borderId="3" xfId="2" applyFont="1" applyFill="1" applyBorder="1" applyAlignment="1">
      <alignment horizontal="center"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43" fontId="6" fillId="4" borderId="11" xfId="1" applyFont="1" applyFill="1" applyBorder="1" applyAlignment="1">
      <alignment vertical="center"/>
    </xf>
    <xf numFmtId="43" fontId="8" fillId="0" borderId="3" xfId="1" applyFont="1" applyFill="1" applyBorder="1" applyAlignment="1">
      <alignment horizontal="center" vertical="center" wrapText="1"/>
    </xf>
    <xf numFmtId="164" fontId="0" fillId="0" borderId="0" xfId="1" applyNumberFormat="1" applyFont="1"/>
    <xf numFmtId="43" fontId="7" fillId="0" borderId="3" xfId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horizontal="center" vertical="center" wrapText="1"/>
    </xf>
    <xf numFmtId="43" fontId="6" fillId="5" borderId="3" xfId="1" applyFont="1" applyFill="1" applyBorder="1" applyAlignment="1">
      <alignment vertical="center"/>
    </xf>
    <xf numFmtId="43" fontId="6" fillId="0" borderId="3" xfId="1" applyFont="1" applyFill="1" applyBorder="1" applyAlignment="1">
      <alignment vertical="center"/>
    </xf>
    <xf numFmtId="43" fontId="6" fillId="0" borderId="3" xfId="1" applyFont="1" applyFill="1" applyBorder="1" applyAlignment="1">
      <alignment horizontal="center" vertical="center" wrapText="1"/>
    </xf>
    <xf numFmtId="43" fontId="6" fillId="0" borderId="11" xfId="1" applyFont="1" applyFill="1" applyBorder="1" applyAlignment="1">
      <alignment vertical="center"/>
    </xf>
    <xf numFmtId="0" fontId="4" fillId="0" borderId="3" xfId="0" applyFont="1" applyBorder="1"/>
    <xf numFmtId="0" fontId="8" fillId="0" borderId="3" xfId="2" applyFont="1" applyBorder="1" applyAlignment="1">
      <alignment vertical="center" wrapText="1"/>
    </xf>
    <xf numFmtId="0" fontId="8" fillId="0" borderId="3" xfId="3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8" fillId="4" borderId="3" xfId="0" applyNumberFormat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vertical="center"/>
    </xf>
    <xf numFmtId="43" fontId="3" fillId="0" borderId="3" xfId="1" applyFont="1" applyBorder="1" applyAlignment="1">
      <alignment vertical="center"/>
    </xf>
    <xf numFmtId="43" fontId="4" fillId="0" borderId="3" xfId="1" applyFont="1" applyBorder="1" applyAlignment="1">
      <alignment vertical="center"/>
    </xf>
    <xf numFmtId="164" fontId="0" fillId="0" borderId="0" xfId="1" applyNumberFormat="1" applyFont="1" applyAlignment="1">
      <alignment vertic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43" fontId="6" fillId="5" borderId="3" xfId="1" applyFont="1" applyFill="1" applyBorder="1" applyAlignment="1">
      <alignment horizontal="right" vertical="center"/>
    </xf>
    <xf numFmtId="43" fontId="6" fillId="6" borderId="3" xfId="1" applyFont="1" applyFill="1" applyBorder="1" applyAlignment="1">
      <alignment vertical="center"/>
    </xf>
    <xf numFmtId="43" fontId="6" fillId="6" borderId="3" xfId="1" applyFont="1" applyFill="1" applyBorder="1" applyAlignment="1">
      <alignment horizontal="right" vertical="center"/>
    </xf>
    <xf numFmtId="43" fontId="4" fillId="6" borderId="3" xfId="1" applyFont="1" applyFill="1" applyBorder="1" applyAlignment="1">
      <alignment horizontal="center" vertical="center"/>
    </xf>
    <xf numFmtId="166" fontId="0" fillId="0" borderId="0" xfId="0" applyNumberFormat="1"/>
    <xf numFmtId="43" fontId="4" fillId="5" borderId="3" xfId="1" applyFont="1" applyFill="1" applyBorder="1"/>
    <xf numFmtId="43" fontId="4" fillId="6" borderId="3" xfId="1" applyFont="1" applyFill="1" applyBorder="1"/>
    <xf numFmtId="0" fontId="6" fillId="0" borderId="0" xfId="0" applyFont="1"/>
    <xf numFmtId="0" fontId="6" fillId="0" borderId="3" xfId="0" applyFont="1" applyBorder="1" applyAlignment="1">
      <alignment vertical="center" wrapText="1"/>
    </xf>
    <xf numFmtId="43" fontId="4" fillId="5" borderId="3" xfId="1" applyFont="1" applyFill="1" applyBorder="1" applyAlignment="1">
      <alignment horizontal="center" vertical="center"/>
    </xf>
    <xf numFmtId="43" fontId="8" fillId="0" borderId="3" xfId="1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43" fontId="9" fillId="4" borderId="3" xfId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vertical="center" wrapText="1"/>
    </xf>
    <xf numFmtId="43" fontId="9" fillId="0" borderId="3" xfId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4" fillId="7" borderId="3" xfId="0" applyFont="1" applyFill="1" applyBorder="1"/>
    <xf numFmtId="0" fontId="6" fillId="7" borderId="3" xfId="0" applyFont="1" applyFill="1" applyBorder="1"/>
    <xf numFmtId="43" fontId="6" fillId="7" borderId="3" xfId="1" applyFont="1" applyFill="1" applyBorder="1" applyAlignment="1">
      <alignment horizontal="center" vertical="center" wrapText="1"/>
    </xf>
    <xf numFmtId="43" fontId="6" fillId="7" borderId="3" xfId="1" applyFont="1" applyFill="1" applyBorder="1" applyAlignment="1">
      <alignment vertical="center"/>
    </xf>
    <xf numFmtId="43" fontId="7" fillId="7" borderId="3" xfId="1" applyFont="1" applyFill="1" applyBorder="1" applyAlignment="1">
      <alignment horizontal="center" vertical="center" wrapText="1"/>
    </xf>
    <xf numFmtId="43" fontId="6" fillId="7" borderId="11" xfId="1" applyFont="1" applyFill="1" applyBorder="1" applyAlignment="1">
      <alignment vertical="center"/>
    </xf>
    <xf numFmtId="0" fontId="3" fillId="7" borderId="11" xfId="0" applyFont="1" applyFill="1" applyBorder="1" applyAlignment="1">
      <alignment horizontal="left" vertical="center" wrapText="1"/>
    </xf>
    <xf numFmtId="2" fontId="8" fillId="7" borderId="3" xfId="2" applyNumberFormat="1" applyFont="1" applyFill="1" applyBorder="1" applyAlignment="1">
      <alignment horizontal="center" vertical="center" wrapText="1"/>
    </xf>
    <xf numFmtId="43" fontId="8" fillId="7" borderId="3" xfId="1" applyFont="1" applyFill="1" applyBorder="1" applyAlignment="1">
      <alignment horizontal="center" vertical="center" wrapText="1"/>
    </xf>
    <xf numFmtId="0" fontId="3" fillId="7" borderId="3" xfId="3" applyFont="1" applyFill="1" applyBorder="1" applyAlignment="1">
      <alignment vertical="center" wrapText="1"/>
    </xf>
    <xf numFmtId="1" fontId="6" fillId="7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3" fontId="9" fillId="4" borderId="3" xfId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1" fontId="8" fillId="3" borderId="3" xfId="0" applyNumberFormat="1" applyFont="1" applyFill="1" applyBorder="1" applyAlignment="1">
      <alignment vertical="center" wrapText="1"/>
    </xf>
    <xf numFmtId="4" fontId="6" fillId="3" borderId="3" xfId="0" applyNumberFormat="1" applyFont="1" applyFill="1" applyBorder="1" applyAlignment="1">
      <alignment vertical="center" wrapText="1"/>
    </xf>
    <xf numFmtId="43" fontId="8" fillId="3" borderId="3" xfId="1" applyFont="1" applyFill="1" applyBorder="1" applyAlignment="1">
      <alignment vertical="center"/>
    </xf>
    <xf numFmtId="43" fontId="6" fillId="3" borderId="3" xfId="1" applyFont="1" applyFill="1" applyBorder="1" applyAlignment="1">
      <alignment horizontal="right" vertical="center" wrapText="1"/>
    </xf>
    <xf numFmtId="43" fontId="6" fillId="4" borderId="3" xfId="1" applyFont="1" applyFill="1" applyBorder="1" applyAlignment="1">
      <alignment horizontal="right" vertical="center"/>
    </xf>
    <xf numFmtId="43" fontId="6" fillId="0" borderId="3" xfId="1" applyFont="1" applyFill="1" applyBorder="1" applyAlignment="1">
      <alignment horizontal="right" vertical="center" wrapText="1"/>
    </xf>
    <xf numFmtId="164" fontId="6" fillId="4" borderId="3" xfId="1" applyNumberFormat="1" applyFont="1" applyFill="1" applyBorder="1" applyAlignment="1">
      <alignment horizontal="right" vertical="center"/>
    </xf>
    <xf numFmtId="43" fontId="8" fillId="0" borderId="3" xfId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2" fontId="8" fillId="4" borderId="3" xfId="1" applyNumberFormat="1" applyFont="1" applyFill="1" applyBorder="1" applyAlignment="1">
      <alignment horizontal="right" vertical="center"/>
    </xf>
    <xf numFmtId="2" fontId="6" fillId="0" borderId="3" xfId="0" applyNumberFormat="1" applyFont="1" applyBorder="1" applyAlignment="1">
      <alignment horizontal="right" vertical="center" wrapText="1"/>
    </xf>
    <xf numFmtId="1" fontId="6" fillId="4" borderId="3" xfId="0" applyNumberFormat="1" applyFont="1" applyFill="1" applyBorder="1" applyAlignment="1">
      <alignment horizontal="right" vertical="center" wrapText="1"/>
    </xf>
    <xf numFmtId="1" fontId="8" fillId="3" borderId="3" xfId="0" applyNumberFormat="1" applyFont="1" applyFill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0" fontId="8" fillId="3" borderId="11" xfId="3" applyFont="1" applyFill="1" applyBorder="1" applyAlignment="1">
      <alignment horizontal="left" vertical="center" wrapText="1"/>
    </xf>
    <xf numFmtId="164" fontId="8" fillId="3" borderId="3" xfId="1" applyNumberFormat="1" applyFont="1" applyFill="1" applyBorder="1" applyAlignment="1">
      <alignment vertical="center" wrapText="1"/>
    </xf>
    <xf numFmtId="0" fontId="8" fillId="3" borderId="3" xfId="3" applyFont="1" applyFill="1" applyBorder="1" applyAlignment="1">
      <alignment horizontal="left" vertical="center" wrapText="1"/>
    </xf>
    <xf numFmtId="2" fontId="8" fillId="3" borderId="3" xfId="0" applyNumberFormat="1" applyFont="1" applyFill="1" applyBorder="1" applyAlignment="1">
      <alignment vertical="center" wrapText="1"/>
    </xf>
    <xf numFmtId="43" fontId="13" fillId="3" borderId="3" xfId="1" applyFont="1" applyFill="1" applyBorder="1" applyAlignment="1">
      <alignment horizontal="center"/>
    </xf>
    <xf numFmtId="43" fontId="13" fillId="3" borderId="3" xfId="1" applyFont="1" applyFill="1" applyBorder="1" applyAlignment="1">
      <alignment vertical="center"/>
    </xf>
    <xf numFmtId="0" fontId="10" fillId="0" borderId="0" xfId="0" applyFont="1"/>
    <xf numFmtId="49" fontId="8" fillId="3" borderId="3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vertical="center" wrapText="1"/>
    </xf>
    <xf numFmtId="2" fontId="6" fillId="4" borderId="3" xfId="1" applyNumberFormat="1" applyFont="1" applyFill="1" applyBorder="1" applyAlignment="1">
      <alignment horizontal="right" vertical="center"/>
    </xf>
    <xf numFmtId="167" fontId="8" fillId="4" borderId="3" xfId="1" applyNumberFormat="1" applyFont="1" applyFill="1" applyBorder="1" applyAlignment="1">
      <alignment horizontal="right" vertical="center"/>
    </xf>
    <xf numFmtId="1" fontId="8" fillId="4" borderId="3" xfId="1" applyNumberFormat="1" applyFont="1" applyFill="1" applyBorder="1" applyAlignment="1">
      <alignment horizontal="right" vertical="center"/>
    </xf>
    <xf numFmtId="0" fontId="6" fillId="7" borderId="3" xfId="0" applyFont="1" applyFill="1" applyBorder="1" applyAlignment="1">
      <alignment horizontal="right" vertical="center" wrapText="1"/>
    </xf>
    <xf numFmtId="0" fontId="8" fillId="0" borderId="3" xfId="3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vertical="center" wrapText="1"/>
    </xf>
    <xf numFmtId="168" fontId="6" fillId="0" borderId="3" xfId="0" applyNumberFormat="1" applyFont="1" applyBorder="1" applyAlignment="1">
      <alignment horizontal="right" vertical="center" wrapText="1"/>
    </xf>
    <xf numFmtId="43" fontId="8" fillId="0" borderId="3" xfId="1" applyFont="1" applyBorder="1" applyAlignment="1">
      <alignment vertical="center" wrapText="1"/>
    </xf>
    <xf numFmtId="0" fontId="2" fillId="0" borderId="0" xfId="0" applyFont="1" applyAlignment="1">
      <alignment horizontal="left"/>
    </xf>
    <xf numFmtId="164" fontId="6" fillId="0" borderId="3" xfId="1" applyNumberFormat="1" applyFont="1" applyFill="1" applyBorder="1" applyAlignment="1">
      <alignment horizontal="right" vertical="center" wrapText="1"/>
    </xf>
    <xf numFmtId="43" fontId="8" fillId="0" borderId="3" xfId="1" applyFont="1" applyBorder="1" applyAlignment="1">
      <alignment vertical="center"/>
    </xf>
    <xf numFmtId="43" fontId="9" fillId="0" borderId="3" xfId="1" applyFont="1" applyBorder="1" applyAlignment="1">
      <alignment vertical="center"/>
    </xf>
    <xf numFmtId="0" fontId="3" fillId="3" borderId="3" xfId="3" applyFont="1" applyFill="1" applyBorder="1" applyAlignment="1">
      <alignment horizontal="left" vertical="center" wrapText="1"/>
    </xf>
    <xf numFmtId="43" fontId="8" fillId="0" borderId="3" xfId="1" applyFont="1" applyFill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 vertical="center" wrapText="1"/>
    </xf>
    <xf numFmtId="2" fontId="6" fillId="4" borderId="3" xfId="0" applyNumberFormat="1" applyFont="1" applyFill="1" applyBorder="1" applyAlignment="1">
      <alignment horizontal="right" vertical="center" wrapText="1"/>
    </xf>
    <xf numFmtId="168" fontId="6" fillId="4" borderId="3" xfId="0" applyNumberFormat="1" applyFont="1" applyFill="1" applyBorder="1" applyAlignment="1">
      <alignment horizontal="right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right" vertical="center" wrapText="1"/>
    </xf>
    <xf numFmtId="1" fontId="6" fillId="7" borderId="3" xfId="0" applyNumberFormat="1" applyFont="1" applyFill="1" applyBorder="1" applyAlignment="1">
      <alignment horizontal="right" vertical="center" wrapText="1"/>
    </xf>
    <xf numFmtId="0" fontId="3" fillId="0" borderId="3" xfId="3" applyFont="1" applyBorder="1" applyAlignment="1">
      <alignment vertical="center" wrapText="1"/>
    </xf>
    <xf numFmtId="169" fontId="6" fillId="0" borderId="3" xfId="1" applyNumberFormat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center"/>
    </xf>
    <xf numFmtId="0" fontId="10" fillId="3" borderId="0" xfId="0" applyFont="1" applyFill="1" applyAlignment="1">
      <alignment vertical="center"/>
    </xf>
    <xf numFmtId="2" fontId="8" fillId="3" borderId="3" xfId="0" applyNumberFormat="1" applyFont="1" applyFill="1" applyBorder="1" applyAlignment="1">
      <alignment horizontal="right" vertical="center" wrapText="1"/>
    </xf>
    <xf numFmtId="43" fontId="8" fillId="3" borderId="5" xfId="1" applyFont="1" applyFill="1" applyBorder="1" applyAlignment="1">
      <alignment horizontal="center" vertical="center" wrapText="1"/>
    </xf>
    <xf numFmtId="0" fontId="8" fillId="4" borderId="11" xfId="3" applyFont="1" applyFill="1" applyBorder="1" applyAlignment="1">
      <alignment horizontal="left" vertical="center" wrapText="1"/>
    </xf>
    <xf numFmtId="1" fontId="8" fillId="4" borderId="3" xfId="0" applyNumberFormat="1" applyFont="1" applyFill="1" applyBorder="1" applyAlignment="1">
      <alignment vertical="center" wrapText="1"/>
    </xf>
    <xf numFmtId="43" fontId="6" fillId="4" borderId="3" xfId="1" applyFont="1" applyFill="1" applyBorder="1" applyAlignment="1">
      <alignment horizontal="center"/>
    </xf>
    <xf numFmtId="2" fontId="8" fillId="4" borderId="3" xfId="0" applyNumberFormat="1" applyFont="1" applyFill="1" applyBorder="1" applyAlignment="1">
      <alignment horizontal="right" vertical="center" wrapText="1"/>
    </xf>
    <xf numFmtId="0" fontId="9" fillId="4" borderId="11" xfId="3" applyFont="1" applyFill="1" applyBorder="1" applyAlignment="1">
      <alignment horizontal="left" vertical="center" wrapText="1"/>
    </xf>
    <xf numFmtId="43" fontId="8" fillId="3" borderId="1" xfId="1" applyFont="1" applyFill="1" applyBorder="1" applyAlignment="1">
      <alignment horizontal="center" vertical="center" wrapText="1"/>
    </xf>
    <xf numFmtId="0" fontId="9" fillId="0" borderId="3" xfId="3" applyFont="1" applyBorder="1" applyAlignment="1">
      <alignment horizontal="left" vertical="center" wrapText="1"/>
    </xf>
    <xf numFmtId="43" fontId="9" fillId="4" borderId="3" xfId="1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vertical="center" wrapText="1"/>
    </xf>
    <xf numFmtId="0" fontId="3" fillId="8" borderId="3" xfId="3" applyFont="1" applyFill="1" applyBorder="1" applyAlignment="1">
      <alignment horizontal="left" vertical="center" wrapText="1"/>
    </xf>
    <xf numFmtId="0" fontId="8" fillId="8" borderId="3" xfId="0" applyFont="1" applyFill="1" applyBorder="1" applyAlignment="1">
      <alignment horizontal="center" vertical="center" wrapText="1"/>
    </xf>
    <xf numFmtId="2" fontId="8" fillId="8" borderId="3" xfId="0" applyNumberFormat="1" applyFont="1" applyFill="1" applyBorder="1" applyAlignment="1">
      <alignment vertical="center" wrapText="1"/>
    </xf>
    <xf numFmtId="43" fontId="8" fillId="8" borderId="3" xfId="1" applyFont="1" applyFill="1" applyBorder="1" applyAlignment="1">
      <alignment horizontal="center" vertical="center" wrapText="1"/>
    </xf>
    <xf numFmtId="43" fontId="6" fillId="8" borderId="3" xfId="1" applyFont="1" applyFill="1" applyBorder="1" applyAlignment="1">
      <alignment vertical="center"/>
    </xf>
    <xf numFmtId="43" fontId="6" fillId="8" borderId="3" xfId="1" applyFont="1" applyFill="1" applyBorder="1" applyAlignment="1">
      <alignment horizontal="center"/>
    </xf>
    <xf numFmtId="43" fontId="8" fillId="8" borderId="3" xfId="1" applyFont="1" applyFill="1" applyBorder="1" applyAlignment="1">
      <alignment vertical="center"/>
    </xf>
    <xf numFmtId="0" fontId="14" fillId="3" borderId="11" xfId="3" applyFont="1" applyFill="1" applyBorder="1" applyAlignment="1">
      <alignment horizontal="left" vertical="center" wrapText="1"/>
    </xf>
    <xf numFmtId="43" fontId="9" fillId="3" borderId="3" xfId="1" applyFont="1" applyFill="1" applyBorder="1" applyAlignment="1">
      <alignment horizontal="center" vertical="center" wrapText="1"/>
    </xf>
    <xf numFmtId="43" fontId="6" fillId="3" borderId="11" xfId="1" applyFont="1" applyFill="1" applyBorder="1" applyAlignment="1">
      <alignment vertical="center"/>
    </xf>
    <xf numFmtId="0" fontId="9" fillId="7" borderId="3" xfId="0" applyFont="1" applyFill="1" applyBorder="1" applyAlignment="1">
      <alignment horizontal="center" vertical="center" wrapText="1"/>
    </xf>
    <xf numFmtId="0" fontId="11" fillId="7" borderId="3" xfId="0" applyFont="1" applyFill="1" applyBorder="1"/>
    <xf numFmtId="0" fontId="9" fillId="7" borderId="3" xfId="0" applyFont="1" applyFill="1" applyBorder="1"/>
    <xf numFmtId="43" fontId="9" fillId="7" borderId="3" xfId="1" applyFont="1" applyFill="1" applyBorder="1" applyAlignment="1">
      <alignment horizontal="center" vertical="center" wrapText="1"/>
    </xf>
    <xf numFmtId="43" fontId="9" fillId="7" borderId="3" xfId="1" applyFont="1" applyFill="1" applyBorder="1" applyAlignment="1">
      <alignment vertical="center"/>
    </xf>
    <xf numFmtId="43" fontId="12" fillId="7" borderId="3" xfId="1" applyFont="1" applyFill="1" applyBorder="1" applyAlignment="1">
      <alignment horizontal="center" vertical="center" wrapText="1"/>
    </xf>
    <xf numFmtId="43" fontId="9" fillId="7" borderId="11" xfId="1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0" borderId="3" xfId="2" applyFont="1" applyBorder="1" applyAlignment="1">
      <alignment vertical="center" wrapText="1"/>
    </xf>
    <xf numFmtId="43" fontId="9" fillId="0" borderId="3" xfId="1" applyFont="1" applyBorder="1" applyAlignment="1">
      <alignment horizontal="center" vertical="center" wrapText="1"/>
    </xf>
    <xf numFmtId="43" fontId="12" fillId="3" borderId="3" xfId="1" applyFont="1" applyFill="1" applyBorder="1" applyAlignment="1">
      <alignment horizontal="center" vertical="center" wrapText="1"/>
    </xf>
    <xf numFmtId="43" fontId="9" fillId="3" borderId="3" xfId="1" applyFont="1" applyFill="1" applyBorder="1" applyAlignment="1">
      <alignment vertical="center"/>
    </xf>
    <xf numFmtId="43" fontId="9" fillId="0" borderId="11" xfId="1" applyFont="1" applyBorder="1" applyAlignment="1">
      <alignment vertical="center"/>
    </xf>
    <xf numFmtId="0" fontId="15" fillId="3" borderId="11" xfId="3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2" fontId="9" fillId="3" borderId="3" xfId="0" applyNumberFormat="1" applyFont="1" applyFill="1" applyBorder="1" applyAlignment="1">
      <alignment vertical="center" wrapText="1"/>
    </xf>
    <xf numFmtId="43" fontId="9" fillId="3" borderId="11" xfId="1" applyFont="1" applyFill="1" applyBorder="1" applyAlignment="1">
      <alignment vertical="center"/>
    </xf>
    <xf numFmtId="2" fontId="9" fillId="0" borderId="3" xfId="0" applyNumberFormat="1" applyFont="1" applyBorder="1" applyAlignment="1">
      <alignment vertical="center" wrapText="1"/>
    </xf>
    <xf numFmtId="43" fontId="9" fillId="3" borderId="3" xfId="1" applyFont="1" applyFill="1" applyBorder="1" applyAlignment="1">
      <alignment horizontal="center"/>
    </xf>
    <xf numFmtId="49" fontId="9" fillId="3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1" fontId="9" fillId="4" borderId="3" xfId="0" applyNumberFormat="1" applyFont="1" applyFill="1" applyBorder="1" applyAlignment="1">
      <alignment vertical="center" wrapText="1"/>
    </xf>
    <xf numFmtId="0" fontId="6" fillId="4" borderId="3" xfId="3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0" borderId="3" xfId="3" applyFont="1" applyBorder="1" applyAlignment="1">
      <alignment vertical="center" wrapText="1"/>
    </xf>
    <xf numFmtId="43" fontId="16" fillId="0" borderId="3" xfId="1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3" fontId="8" fillId="3" borderId="1" xfId="1" applyFont="1" applyFill="1" applyBorder="1" applyAlignment="1">
      <alignment horizontal="center" vertical="center" wrapText="1"/>
    </xf>
    <xf numFmtId="43" fontId="8" fillId="3" borderId="5" xfId="1" applyFont="1" applyFill="1" applyBorder="1" applyAlignment="1">
      <alignment horizontal="center" vertical="center" wrapText="1"/>
    </xf>
    <xf numFmtId="43" fontId="8" fillId="3" borderId="9" xfId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1" xfId="3" applyFont="1" applyBorder="1" applyAlignment="1">
      <alignment horizontal="right" vertical="center" wrapText="1"/>
    </xf>
    <xf numFmtId="0" fontId="3" fillId="0" borderId="12" xfId="3" applyFont="1" applyBorder="1" applyAlignment="1">
      <alignment horizontal="right" vertical="center" wrapText="1"/>
    </xf>
    <xf numFmtId="0" fontId="3" fillId="0" borderId="13" xfId="3" applyFont="1" applyBorder="1" applyAlignment="1">
      <alignment horizontal="right" vertical="center" wrapText="1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2F08-8C60-4DF6-9DD4-03F2EC8F3EE2}">
  <dimension ref="A1:I15"/>
  <sheetViews>
    <sheetView view="pageBreakPreview" zoomScaleNormal="100" zoomScaleSheetLayoutView="100" workbookViewId="0">
      <selection activeCell="G3" sqref="G3:G6"/>
    </sheetView>
  </sheetViews>
  <sheetFormatPr defaultRowHeight="15"/>
  <cols>
    <col min="1" max="1" width="6.58984375" customWidth="1"/>
    <col min="2" max="2" width="47.21484375" customWidth="1"/>
    <col min="3" max="3" width="17.62109375" customWidth="1"/>
    <col min="4" max="4" width="18.6953125" customWidth="1"/>
    <col min="5" max="5" width="20.17578125" customWidth="1"/>
    <col min="6" max="7" width="16.54296875" customWidth="1"/>
    <col min="8" max="8" width="17.08203125" customWidth="1"/>
    <col min="9" max="9" width="16.54296875" bestFit="1" customWidth="1"/>
    <col min="10" max="11" width="14.52734375" bestFit="1" customWidth="1"/>
  </cols>
  <sheetData>
    <row r="1" spans="1:9">
      <c r="A1" s="182" t="s">
        <v>0</v>
      </c>
      <c r="B1" s="182" t="s">
        <v>19</v>
      </c>
      <c r="C1" s="183" t="s">
        <v>20</v>
      </c>
      <c r="D1" s="183"/>
      <c r="E1" s="183"/>
      <c r="F1" s="184" t="s">
        <v>12</v>
      </c>
      <c r="G1" s="184"/>
      <c r="H1" s="184"/>
    </row>
    <row r="2" spans="1:9" ht="25.5">
      <c r="A2" s="182"/>
      <c r="B2" s="182"/>
      <c r="C2" s="43" t="s">
        <v>21</v>
      </c>
      <c r="D2" s="44" t="s">
        <v>22</v>
      </c>
      <c r="E2" s="44" t="s">
        <v>23</v>
      </c>
      <c r="F2" s="45" t="s">
        <v>21</v>
      </c>
      <c r="G2" s="46" t="s">
        <v>22</v>
      </c>
      <c r="H2" s="46" t="s">
        <v>23</v>
      </c>
    </row>
    <row r="3" spans="1:9" ht="23.1" customHeight="1">
      <c r="A3" s="47">
        <v>1</v>
      </c>
      <c r="B3" s="57"/>
      <c r="C3" s="29"/>
      <c r="D3" s="49"/>
      <c r="E3" s="58">
        <f>C3+D3</f>
        <v>0</v>
      </c>
      <c r="F3" s="50"/>
      <c r="G3" s="51"/>
      <c r="H3" s="52">
        <f>F3+G3</f>
        <v>0</v>
      </c>
      <c r="I3" s="53"/>
    </row>
    <row r="4" spans="1:9" ht="23.1" customHeight="1">
      <c r="A4" s="47">
        <v>2</v>
      </c>
      <c r="B4" s="57"/>
      <c r="C4" s="29"/>
      <c r="D4" s="49"/>
      <c r="E4" s="58">
        <f t="shared" ref="E4:E6" si="0">C4+D4</f>
        <v>0</v>
      </c>
      <c r="F4" s="50"/>
      <c r="G4" s="51"/>
      <c r="H4" s="52">
        <f t="shared" ref="H4:H6" si="1">F4+G4</f>
        <v>0</v>
      </c>
      <c r="I4" s="53"/>
    </row>
    <row r="5" spans="1:9" ht="23.1" customHeight="1">
      <c r="A5" s="47">
        <v>3</v>
      </c>
      <c r="B5" s="48"/>
      <c r="C5" s="29"/>
      <c r="D5" s="49"/>
      <c r="E5" s="58">
        <f t="shared" si="0"/>
        <v>0</v>
      </c>
      <c r="F5" s="50"/>
      <c r="G5" s="51"/>
      <c r="H5" s="52">
        <f t="shared" si="1"/>
        <v>0</v>
      </c>
      <c r="I5" s="53"/>
    </row>
    <row r="6" spans="1:9" ht="23.1" customHeight="1">
      <c r="A6" s="47">
        <v>4</v>
      </c>
      <c r="B6" s="48"/>
      <c r="C6" s="29"/>
      <c r="D6" s="49"/>
      <c r="E6" s="58">
        <f t="shared" si="0"/>
        <v>0</v>
      </c>
      <c r="F6" s="50"/>
      <c r="G6" s="51"/>
      <c r="H6" s="52">
        <f t="shared" si="1"/>
        <v>0</v>
      </c>
      <c r="I6" s="53"/>
    </row>
    <row r="7" spans="1:9">
      <c r="A7" s="12"/>
      <c r="B7" s="33" t="s">
        <v>24</v>
      </c>
      <c r="C7" s="54">
        <f>SUM(C3:C6)</f>
        <v>0</v>
      </c>
      <c r="D7" s="54">
        <f>SUM(D3:D6)</f>
        <v>0</v>
      </c>
      <c r="E7" s="54">
        <f>SUM(E3:E6)</f>
        <v>0</v>
      </c>
      <c r="F7" s="55">
        <f>SUM(F3:F6)</f>
        <v>0</v>
      </c>
      <c r="G7" s="55">
        <f t="shared" ref="G7:H7" si="2">SUM(G3:G6)</f>
        <v>0</v>
      </c>
      <c r="H7" s="55">
        <f t="shared" si="2"/>
        <v>0</v>
      </c>
      <c r="I7" s="53"/>
    </row>
    <row r="8" spans="1:9">
      <c r="A8" s="56"/>
      <c r="B8" s="56"/>
      <c r="C8" s="56"/>
      <c r="D8" s="56"/>
      <c r="E8" s="56"/>
      <c r="I8" s="53"/>
    </row>
    <row r="9" spans="1:9">
      <c r="A9" s="56"/>
      <c r="B9" s="56"/>
      <c r="C9" s="56"/>
      <c r="D9" s="56"/>
      <c r="E9" s="56"/>
    </row>
    <row r="10" spans="1:9">
      <c r="A10" s="56"/>
      <c r="B10" s="56"/>
      <c r="C10" s="56"/>
      <c r="D10" s="56"/>
      <c r="E10" s="56"/>
    </row>
    <row r="11" spans="1:9">
      <c r="A11" s="56"/>
      <c r="B11" s="56"/>
      <c r="C11" s="56"/>
      <c r="D11" s="56"/>
      <c r="E11" s="56"/>
    </row>
    <row r="12" spans="1:9">
      <c r="A12" s="56"/>
      <c r="B12" s="56"/>
      <c r="C12" s="56"/>
      <c r="D12" s="56"/>
      <c r="E12" s="56"/>
    </row>
    <row r="13" spans="1:9">
      <c r="A13" s="56"/>
      <c r="B13" s="56"/>
      <c r="C13" s="56"/>
      <c r="D13" s="56"/>
      <c r="E13" s="56"/>
    </row>
    <row r="14" spans="1:9">
      <c r="A14" s="56"/>
      <c r="B14" s="56"/>
      <c r="C14" s="56"/>
      <c r="D14" s="56"/>
      <c r="E14" s="56"/>
    </row>
    <row r="15" spans="1:9">
      <c r="A15" s="56"/>
      <c r="B15" s="56"/>
      <c r="C15" s="56"/>
      <c r="D15" s="56"/>
      <c r="E15" s="56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B1755-EEEB-40D1-8DEA-B808E19F6FD9}">
  <sheetPr>
    <tabColor theme="9" tint="0.59999389629810485"/>
  </sheetPr>
  <dimension ref="A1:M261"/>
  <sheetViews>
    <sheetView tabSelected="1" view="pageBreakPreview" topLeftCell="A250" zoomScale="90" zoomScaleNormal="100" zoomScaleSheetLayoutView="90" workbookViewId="0">
      <selection activeCell="M269" sqref="M269"/>
    </sheetView>
  </sheetViews>
  <sheetFormatPr defaultColWidth="8.875" defaultRowHeight="15"/>
  <cols>
    <col min="2" max="2" width="65.109375" customWidth="1"/>
    <col min="3" max="3" width="9.28125" customWidth="1"/>
    <col min="4" max="4" width="11.02734375" bestFit="1" customWidth="1"/>
    <col min="5" max="5" width="15.19921875" customWidth="1"/>
    <col min="6" max="6" width="16.0078125" customWidth="1"/>
    <col min="7" max="7" width="17.08203125" style="26" customWidth="1"/>
    <col min="8" max="8" width="16.140625" style="26" customWidth="1"/>
    <col min="9" max="12" width="16.140625" customWidth="1"/>
    <col min="13" max="13" width="59.86328125" customWidth="1"/>
  </cols>
  <sheetData>
    <row r="1" spans="1:13" ht="14.45" customHeight="1">
      <c r="A1" s="185" t="s">
        <v>0</v>
      </c>
      <c r="B1" s="188" t="s">
        <v>1</v>
      </c>
      <c r="C1" s="191" t="s">
        <v>2</v>
      </c>
      <c r="D1" s="191" t="s">
        <v>3</v>
      </c>
      <c r="E1" s="192" t="s">
        <v>4</v>
      </c>
      <c r="F1" s="193"/>
      <c r="G1" s="193"/>
      <c r="H1" s="193"/>
      <c r="I1" s="193"/>
      <c r="J1" s="193"/>
      <c r="K1" s="193"/>
      <c r="L1" s="193"/>
    </row>
    <row r="2" spans="1:13" ht="14.45" customHeight="1">
      <c r="A2" s="186"/>
      <c r="B2" s="189"/>
      <c r="C2" s="191"/>
      <c r="D2" s="191"/>
      <c r="E2" s="194"/>
      <c r="F2" s="195"/>
      <c r="G2" s="195"/>
      <c r="H2" s="195"/>
      <c r="I2" s="195"/>
      <c r="J2" s="195"/>
      <c r="K2" s="195"/>
      <c r="L2" s="195"/>
    </row>
    <row r="3" spans="1:13" ht="27.75" customHeight="1">
      <c r="A3" s="186"/>
      <c r="B3" s="189"/>
      <c r="C3" s="191"/>
      <c r="D3" s="191"/>
      <c r="E3" s="191" t="s">
        <v>5</v>
      </c>
      <c r="F3" s="191"/>
      <c r="G3" s="191"/>
      <c r="H3" s="191" t="s">
        <v>6</v>
      </c>
      <c r="I3" s="191"/>
      <c r="J3" s="191"/>
      <c r="K3" s="182" t="s">
        <v>7</v>
      </c>
      <c r="L3" s="182"/>
    </row>
    <row r="4" spans="1:13" ht="56.1" customHeight="1">
      <c r="A4" s="187"/>
      <c r="B4" s="190"/>
      <c r="C4" s="191"/>
      <c r="D4" s="191"/>
      <c r="E4" s="2" t="s">
        <v>8</v>
      </c>
      <c r="F4" s="2" t="s">
        <v>9</v>
      </c>
      <c r="G4" s="1" t="s">
        <v>10</v>
      </c>
      <c r="H4" s="2" t="s">
        <v>8</v>
      </c>
      <c r="I4" s="2" t="s">
        <v>9</v>
      </c>
      <c r="J4" s="1" t="s">
        <v>10</v>
      </c>
      <c r="K4" s="2" t="s">
        <v>11</v>
      </c>
      <c r="L4" s="3" t="s">
        <v>12</v>
      </c>
    </row>
    <row r="5" spans="1:13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>
      <c r="A6" s="6"/>
      <c r="B6" s="199" t="s">
        <v>25</v>
      </c>
      <c r="C6" s="200"/>
      <c r="D6" s="200"/>
      <c r="E6" s="7"/>
      <c r="F6" s="8"/>
      <c r="G6" s="9"/>
      <c r="H6" s="9"/>
      <c r="I6" s="9"/>
      <c r="J6" s="9"/>
      <c r="K6" s="9"/>
      <c r="L6" s="10"/>
    </row>
    <row r="7" spans="1:13" ht="18" customHeight="1">
      <c r="A7" s="67"/>
      <c r="B7" s="74" t="s">
        <v>31</v>
      </c>
      <c r="C7" s="67"/>
      <c r="D7" s="75"/>
      <c r="E7" s="76"/>
      <c r="F7" s="71"/>
      <c r="G7" s="71"/>
      <c r="H7" s="72"/>
      <c r="I7" s="71"/>
      <c r="J7" s="71"/>
      <c r="K7" s="70"/>
      <c r="L7" s="73"/>
    </row>
    <row r="8" spans="1:13" ht="18.75" customHeight="1">
      <c r="A8" s="11">
        <v>1</v>
      </c>
      <c r="B8" s="35" t="s">
        <v>32</v>
      </c>
      <c r="C8" s="11" t="s">
        <v>15</v>
      </c>
      <c r="D8" s="88">
        <v>520</v>
      </c>
      <c r="E8" s="18">
        <v>4236.34</v>
      </c>
      <c r="F8" s="14">
        <f t="shared" ref="F8" si="0">ROUND(E8*D8,2)</f>
        <v>2202896.7999999998</v>
      </c>
      <c r="G8" s="14">
        <f t="shared" ref="G8" si="1">ROUND(F8*1.2,2)</f>
        <v>2643476.16</v>
      </c>
      <c r="H8" s="15"/>
      <c r="I8" s="16"/>
      <c r="J8" s="16"/>
      <c r="K8" s="13">
        <f t="shared" ref="K8" si="2">F8+I8</f>
        <v>2202896.7999999998</v>
      </c>
      <c r="L8" s="17">
        <f t="shared" ref="L8" si="3">G8+J8</f>
        <v>2643476.16</v>
      </c>
    </row>
    <row r="9" spans="1:13" ht="18.75" customHeight="1">
      <c r="A9" s="38" t="s">
        <v>115</v>
      </c>
      <c r="B9" s="19" t="s">
        <v>34</v>
      </c>
      <c r="C9" s="20" t="s">
        <v>38</v>
      </c>
      <c r="D9" s="89">
        <v>520</v>
      </c>
      <c r="E9" s="28"/>
      <c r="F9" s="22"/>
      <c r="G9" s="22"/>
      <c r="H9" s="28">
        <v>3021.81</v>
      </c>
      <c r="I9" s="22">
        <f>ROUND(H9*D9,2)</f>
        <v>1571341.2</v>
      </c>
      <c r="J9" s="22">
        <f t="shared" ref="J9" si="4">ROUND(I9*1.2,2)</f>
        <v>1885609.44</v>
      </c>
      <c r="K9" s="23">
        <f>F9+I9</f>
        <v>1571341.2</v>
      </c>
      <c r="L9" s="24">
        <f>G9+J9</f>
        <v>1885609.44</v>
      </c>
      <c r="M9" s="60"/>
    </row>
    <row r="10" spans="1:13" ht="30.75" customHeight="1">
      <c r="A10" s="36">
        <f>A8+1</f>
        <v>2</v>
      </c>
      <c r="B10" s="35" t="s">
        <v>39</v>
      </c>
      <c r="C10" s="36" t="s">
        <v>13</v>
      </c>
      <c r="D10" s="90">
        <v>41.6</v>
      </c>
      <c r="E10" s="25">
        <v>1178</v>
      </c>
      <c r="F10" s="30">
        <f t="shared" ref="F10" si="5">ROUND(E10*D10,2)</f>
        <v>49004.800000000003</v>
      </c>
      <c r="G10" s="30">
        <f t="shared" ref="G10" si="6">ROUND(F10*1.2,2)</f>
        <v>58805.760000000002</v>
      </c>
      <c r="H10" s="27"/>
      <c r="I10" s="30"/>
      <c r="J10" s="30"/>
      <c r="K10" s="31">
        <f t="shared" ref="K10" si="7">F10+I10</f>
        <v>49004.800000000003</v>
      </c>
      <c r="L10" s="32">
        <f t="shared" ref="L10" si="8">G10+J10</f>
        <v>58805.760000000002</v>
      </c>
    </row>
    <row r="11" spans="1:13" ht="18.75" customHeight="1">
      <c r="A11" s="38" t="s">
        <v>116</v>
      </c>
      <c r="B11" s="19" t="s">
        <v>41</v>
      </c>
      <c r="C11" s="20" t="s">
        <v>13</v>
      </c>
      <c r="D11" s="89">
        <f>ROUND(D10*1.26,2)</f>
        <v>52.42</v>
      </c>
      <c r="E11" s="21"/>
      <c r="F11" s="22"/>
      <c r="G11" s="22"/>
      <c r="H11" s="39">
        <f>2827.078</f>
        <v>2827.078</v>
      </c>
      <c r="I11" s="22">
        <f>ROUND(H11*D11,2)</f>
        <v>148195.43</v>
      </c>
      <c r="J11" s="22">
        <f t="shared" ref="J11" si="9">ROUND(I11*1.2,2)</f>
        <v>177834.52</v>
      </c>
      <c r="K11" s="23">
        <f>F11+I11</f>
        <v>148195.43</v>
      </c>
      <c r="L11" s="24">
        <f>G11+J11</f>
        <v>177834.52</v>
      </c>
    </row>
    <row r="12" spans="1:13" ht="18.75" customHeight="1">
      <c r="A12" s="36">
        <f>A10+1</f>
        <v>3</v>
      </c>
      <c r="B12" s="35" t="s">
        <v>33</v>
      </c>
      <c r="C12" s="36" t="s">
        <v>15</v>
      </c>
      <c r="D12" s="90">
        <v>520</v>
      </c>
      <c r="E12" s="25">
        <v>526.29999999999995</v>
      </c>
      <c r="F12" s="30">
        <f t="shared" ref="F12" si="10">ROUND(E12*D12,2)</f>
        <v>273676</v>
      </c>
      <c r="G12" s="30">
        <f t="shared" ref="G12" si="11">ROUND(F12*1.2,2)</f>
        <v>328411.2</v>
      </c>
      <c r="H12" s="27"/>
      <c r="I12" s="30"/>
      <c r="J12" s="30"/>
      <c r="K12" s="31">
        <f t="shared" ref="K12:K16" si="12">F12+I12</f>
        <v>273676</v>
      </c>
      <c r="L12" s="32">
        <f t="shared" ref="L12:L16" si="13">G12+J12</f>
        <v>328411.2</v>
      </c>
    </row>
    <row r="13" spans="1:13" ht="18.75" customHeight="1">
      <c r="A13" s="38" t="s">
        <v>117</v>
      </c>
      <c r="B13" s="19" t="s">
        <v>35</v>
      </c>
      <c r="C13" s="20" t="s">
        <v>38</v>
      </c>
      <c r="D13" s="89">
        <v>1040</v>
      </c>
      <c r="E13" s="28"/>
      <c r="F13" s="22"/>
      <c r="G13" s="22"/>
      <c r="H13" s="28">
        <v>3285.68</v>
      </c>
      <c r="I13" s="22">
        <f>ROUND(H13*D13,2)</f>
        <v>3417107.2</v>
      </c>
      <c r="J13" s="22">
        <f t="shared" ref="J13:J15" si="14">ROUND(I13*1.2,2)</f>
        <v>4100528.64</v>
      </c>
      <c r="K13" s="23">
        <f t="shared" si="12"/>
        <v>3417107.2</v>
      </c>
      <c r="L13" s="24">
        <f t="shared" si="13"/>
        <v>4100528.64</v>
      </c>
      <c r="M13" s="60"/>
    </row>
    <row r="14" spans="1:13" ht="18.75" customHeight="1">
      <c r="A14" s="38" t="s">
        <v>118</v>
      </c>
      <c r="B14" s="19" t="s">
        <v>36</v>
      </c>
      <c r="C14" s="20" t="s">
        <v>38</v>
      </c>
      <c r="D14" s="91">
        <v>2080</v>
      </c>
      <c r="E14" s="21"/>
      <c r="F14" s="22"/>
      <c r="G14" s="22"/>
      <c r="H14" s="22">
        <v>13.8</v>
      </c>
      <c r="I14" s="22">
        <f>ROUND(H14*D14,2)</f>
        <v>28704</v>
      </c>
      <c r="J14" s="22">
        <f t="shared" si="14"/>
        <v>34444.800000000003</v>
      </c>
      <c r="K14" s="23">
        <f t="shared" si="12"/>
        <v>28704</v>
      </c>
      <c r="L14" s="24">
        <f t="shared" si="13"/>
        <v>34444.800000000003</v>
      </c>
    </row>
    <row r="15" spans="1:13" ht="18.75" customHeight="1">
      <c r="A15" s="38" t="s">
        <v>119</v>
      </c>
      <c r="B15" s="19" t="s">
        <v>37</v>
      </c>
      <c r="C15" s="20" t="s">
        <v>38</v>
      </c>
      <c r="D15" s="91">
        <v>2080</v>
      </c>
      <c r="E15" s="21"/>
      <c r="F15" s="22"/>
      <c r="G15" s="22"/>
      <c r="H15" s="22">
        <v>16.87</v>
      </c>
      <c r="I15" s="22">
        <f>ROUND(H15*D15,2)</f>
        <v>35089.599999999999</v>
      </c>
      <c r="J15" s="22">
        <f t="shared" si="14"/>
        <v>42107.519999999997</v>
      </c>
      <c r="K15" s="23">
        <f t="shared" si="12"/>
        <v>35089.599999999999</v>
      </c>
      <c r="L15" s="24">
        <f t="shared" si="13"/>
        <v>42107.519999999997</v>
      </c>
    </row>
    <row r="16" spans="1:13" ht="18.75" customHeight="1">
      <c r="A16" s="36">
        <f>A12+1</f>
        <v>4</v>
      </c>
      <c r="B16" s="35" t="s">
        <v>40</v>
      </c>
      <c r="C16" s="36" t="s">
        <v>13</v>
      </c>
      <c r="D16" s="90">
        <v>6.4</v>
      </c>
      <c r="E16" s="25">
        <v>1178</v>
      </c>
      <c r="F16" s="30">
        <f t="shared" ref="F16" si="15">ROUND(E16*D16,2)</f>
        <v>7539.2</v>
      </c>
      <c r="G16" s="30">
        <f t="shared" ref="G16" si="16">ROUND(F16*1.2,2)</f>
        <v>9047.0400000000009</v>
      </c>
      <c r="H16" s="27"/>
      <c r="I16" s="30"/>
      <c r="J16" s="30"/>
      <c r="K16" s="31">
        <f t="shared" si="12"/>
        <v>7539.2</v>
      </c>
      <c r="L16" s="32">
        <f t="shared" si="13"/>
        <v>9047.0400000000009</v>
      </c>
    </row>
    <row r="17" spans="1:13" ht="18.75" customHeight="1">
      <c r="A17" s="38" t="s">
        <v>120</v>
      </c>
      <c r="B17" s="19" t="s">
        <v>41</v>
      </c>
      <c r="C17" s="20" t="s">
        <v>13</v>
      </c>
      <c r="D17" s="89">
        <f>ROUND(D16*1.26,2)</f>
        <v>8.06</v>
      </c>
      <c r="E17" s="21"/>
      <c r="F17" s="22"/>
      <c r="G17" s="22"/>
      <c r="H17" s="39">
        <f>2827.078</f>
        <v>2827.078</v>
      </c>
      <c r="I17" s="22">
        <f>ROUND(H17*D17,2)</f>
        <v>22786.25</v>
      </c>
      <c r="J17" s="22">
        <f t="shared" ref="J17" si="17">ROUND(I17*1.2,2)</f>
        <v>27343.5</v>
      </c>
      <c r="K17" s="23">
        <f>F17+I17</f>
        <v>22786.25</v>
      </c>
      <c r="L17" s="24">
        <f>G17+J17</f>
        <v>27343.5</v>
      </c>
    </row>
    <row r="18" spans="1:13" ht="18.75" customHeight="1">
      <c r="A18" s="11">
        <f>A16+1</f>
        <v>5</v>
      </c>
      <c r="B18" s="34" t="s">
        <v>30</v>
      </c>
      <c r="C18" s="11" t="s">
        <v>13</v>
      </c>
      <c r="D18" s="92">
        <f>1136*0.1</f>
        <v>113.60000000000001</v>
      </c>
      <c r="E18" s="18">
        <v>1666.3</v>
      </c>
      <c r="F18" s="14">
        <f t="shared" ref="F18" si="18">ROUND(E18*D18,2)</f>
        <v>189291.68</v>
      </c>
      <c r="G18" s="14">
        <f t="shared" ref="G18" si="19">ROUND(F18*1.2,2)</f>
        <v>227150.02</v>
      </c>
      <c r="H18" s="15"/>
      <c r="I18" s="16"/>
      <c r="J18" s="16"/>
      <c r="K18" s="13">
        <f t="shared" ref="K18" si="20">F18+I18</f>
        <v>189291.68</v>
      </c>
      <c r="L18" s="17">
        <f t="shared" ref="L18" si="21">G18+J18</f>
        <v>227150.02</v>
      </c>
    </row>
    <row r="19" spans="1:13" ht="18.75" customHeight="1">
      <c r="A19" s="38" t="s">
        <v>121</v>
      </c>
      <c r="B19" s="19" t="s">
        <v>43</v>
      </c>
      <c r="C19" s="20" t="s">
        <v>13</v>
      </c>
      <c r="D19" s="89">
        <f>ROUND(D18*1.26,2)</f>
        <v>143.13999999999999</v>
      </c>
      <c r="E19" s="21"/>
      <c r="F19" s="22"/>
      <c r="G19" s="22"/>
      <c r="H19" s="39">
        <f>2827.078</f>
        <v>2827.078</v>
      </c>
      <c r="I19" s="22">
        <f>ROUND(H19*D19,2)</f>
        <v>404667.94</v>
      </c>
      <c r="J19" s="22">
        <f t="shared" ref="J19" si="22">ROUND(I19*1.2,2)</f>
        <v>485601.53</v>
      </c>
      <c r="K19" s="23">
        <f>F19+I19</f>
        <v>404667.94</v>
      </c>
      <c r="L19" s="24">
        <f>G19+J19</f>
        <v>485601.53</v>
      </c>
    </row>
    <row r="20" spans="1:13" ht="18.75" customHeight="1">
      <c r="A20" s="36">
        <f>A18+1</f>
        <v>6</v>
      </c>
      <c r="B20" s="35" t="s">
        <v>45</v>
      </c>
      <c r="C20" s="36" t="s">
        <v>13</v>
      </c>
      <c r="D20" s="93">
        <f>1136*0.1</f>
        <v>113.60000000000001</v>
      </c>
      <c r="E20" s="25">
        <v>1055.45</v>
      </c>
      <c r="F20" s="30">
        <f>ROUND(E20*D20,2)</f>
        <v>119899.12</v>
      </c>
      <c r="G20" s="30">
        <f>ROUND(F20*1.2,2)</f>
        <v>143878.94</v>
      </c>
      <c r="H20" s="27"/>
      <c r="I20" s="30"/>
      <c r="J20" s="30"/>
      <c r="K20" s="31">
        <f t="shared" ref="K20:K29" si="23">F20+I20</f>
        <v>119899.12</v>
      </c>
      <c r="L20" s="32">
        <f t="shared" ref="L20:L29" si="24">G20+J20</f>
        <v>143878.94</v>
      </c>
    </row>
    <row r="21" spans="1:13" ht="18.75" customHeight="1">
      <c r="A21" s="38" t="s">
        <v>122</v>
      </c>
      <c r="B21" s="19" t="s">
        <v>49</v>
      </c>
      <c r="C21" s="20" t="s">
        <v>13</v>
      </c>
      <c r="D21" s="94">
        <f>D20*1.1</f>
        <v>124.96000000000002</v>
      </c>
      <c r="E21" s="21"/>
      <c r="F21" s="22"/>
      <c r="G21" s="22"/>
      <c r="H21" s="39">
        <v>1427.76</v>
      </c>
      <c r="I21" s="22">
        <f>ROUND(H21*D21,2)</f>
        <v>178412.89</v>
      </c>
      <c r="J21" s="22">
        <f t="shared" ref="J21" si="25">ROUND(I21*1.2,2)</f>
        <v>214095.47</v>
      </c>
      <c r="K21" s="23">
        <f t="shared" si="23"/>
        <v>178412.89</v>
      </c>
      <c r="L21" s="24">
        <f t="shared" si="24"/>
        <v>214095.47</v>
      </c>
      <c r="M21" s="37"/>
    </row>
    <row r="22" spans="1:13" ht="18" customHeight="1">
      <c r="A22" s="67"/>
      <c r="B22" s="74" t="s">
        <v>123</v>
      </c>
      <c r="C22" s="67"/>
      <c r="D22" s="75"/>
      <c r="E22" s="76"/>
      <c r="F22" s="71"/>
      <c r="G22" s="71"/>
      <c r="H22" s="72"/>
      <c r="I22" s="71"/>
      <c r="J22" s="71"/>
      <c r="K22" s="70"/>
      <c r="L22" s="73"/>
    </row>
    <row r="23" spans="1:13" ht="20.25" customHeight="1">
      <c r="A23" s="36">
        <f>A20+1</f>
        <v>7</v>
      </c>
      <c r="B23" s="35" t="s">
        <v>96</v>
      </c>
      <c r="C23" s="36" t="s">
        <v>13</v>
      </c>
      <c r="D23" s="95">
        <f>ROUND(3*0.18+3*0.24+6*0.079+3*0.18,2)</f>
        <v>2.27</v>
      </c>
      <c r="E23" s="25">
        <v>17265.68</v>
      </c>
      <c r="F23" s="30">
        <f t="shared" ref="F23" si="26">ROUND(E23*D23,2)</f>
        <v>39193.089999999997</v>
      </c>
      <c r="G23" s="30">
        <f t="shared" ref="G23" si="27">ROUND(F23*1.2,2)</f>
        <v>47031.71</v>
      </c>
      <c r="H23" s="27"/>
      <c r="I23" s="30"/>
      <c r="J23" s="30"/>
      <c r="K23" s="31">
        <f t="shared" si="23"/>
        <v>39193.089999999997</v>
      </c>
      <c r="L23" s="32">
        <f t="shared" si="24"/>
        <v>47031.71</v>
      </c>
    </row>
    <row r="24" spans="1:13" ht="18.75" customHeight="1">
      <c r="A24" s="81" t="s">
        <v>72</v>
      </c>
      <c r="B24" s="65" t="s">
        <v>88</v>
      </c>
      <c r="C24" s="64" t="s">
        <v>38</v>
      </c>
      <c r="D24" s="96">
        <v>3</v>
      </c>
      <c r="E24" s="28"/>
      <c r="F24" s="22"/>
      <c r="G24" s="22"/>
      <c r="H24" s="28">
        <v>4025</v>
      </c>
      <c r="I24" s="22">
        <f t="shared" ref="I24:I28" si="28">ROUND(H24*D24,2)</f>
        <v>12075</v>
      </c>
      <c r="J24" s="22">
        <f t="shared" ref="J24:J28" si="29">ROUND(I24*1.2,2)</f>
        <v>14490</v>
      </c>
      <c r="K24" s="23">
        <f t="shared" si="23"/>
        <v>12075</v>
      </c>
      <c r="L24" s="24">
        <f t="shared" si="24"/>
        <v>14490</v>
      </c>
    </row>
    <row r="25" spans="1:13" ht="18.75" customHeight="1">
      <c r="A25" s="81" t="s">
        <v>124</v>
      </c>
      <c r="B25" s="65" t="s">
        <v>89</v>
      </c>
      <c r="C25" s="64" t="s">
        <v>38</v>
      </c>
      <c r="D25" s="96">
        <v>3</v>
      </c>
      <c r="E25" s="28"/>
      <c r="F25" s="22"/>
      <c r="G25" s="22"/>
      <c r="H25" s="28">
        <v>6995.83</v>
      </c>
      <c r="I25" s="22">
        <f t="shared" si="28"/>
        <v>20987.49</v>
      </c>
      <c r="J25" s="22">
        <f t="shared" si="29"/>
        <v>25184.99</v>
      </c>
      <c r="K25" s="23">
        <f t="shared" si="23"/>
        <v>20987.49</v>
      </c>
      <c r="L25" s="24">
        <f t="shared" si="24"/>
        <v>25184.99</v>
      </c>
    </row>
    <row r="26" spans="1:13" ht="18.75" customHeight="1">
      <c r="A26" s="81" t="s">
        <v>125</v>
      </c>
      <c r="B26" s="65" t="s">
        <v>90</v>
      </c>
      <c r="C26" s="64" t="s">
        <v>38</v>
      </c>
      <c r="D26" s="96">
        <v>3</v>
      </c>
      <c r="E26" s="28"/>
      <c r="F26" s="22"/>
      <c r="G26" s="22"/>
      <c r="H26" s="28">
        <v>5079.17</v>
      </c>
      <c r="I26" s="22">
        <f t="shared" si="28"/>
        <v>15237.51</v>
      </c>
      <c r="J26" s="22">
        <f t="shared" si="29"/>
        <v>18285.009999999998</v>
      </c>
      <c r="K26" s="23">
        <f t="shared" si="23"/>
        <v>15237.51</v>
      </c>
      <c r="L26" s="24">
        <f t="shared" si="24"/>
        <v>18285.009999999998</v>
      </c>
    </row>
    <row r="27" spans="1:13" ht="18.75" customHeight="1">
      <c r="A27" s="81" t="s">
        <v>126</v>
      </c>
      <c r="B27" s="65" t="s">
        <v>91</v>
      </c>
      <c r="C27" s="64" t="s">
        <v>38</v>
      </c>
      <c r="D27" s="96">
        <v>6</v>
      </c>
      <c r="E27" s="28"/>
      <c r="F27" s="22"/>
      <c r="G27" s="22"/>
      <c r="H27" s="28">
        <f>ROUND(4600/1.2*1.15,2)</f>
        <v>4408.33</v>
      </c>
      <c r="I27" s="22">
        <f t="shared" si="28"/>
        <v>26449.98</v>
      </c>
      <c r="J27" s="22">
        <f t="shared" si="29"/>
        <v>31739.98</v>
      </c>
      <c r="K27" s="23">
        <f t="shared" si="23"/>
        <v>26449.98</v>
      </c>
      <c r="L27" s="24">
        <f t="shared" si="24"/>
        <v>31739.98</v>
      </c>
    </row>
    <row r="28" spans="1:13" ht="18.75" customHeight="1">
      <c r="A28" s="81" t="s">
        <v>127</v>
      </c>
      <c r="B28" s="65" t="s">
        <v>92</v>
      </c>
      <c r="C28" s="64" t="s">
        <v>38</v>
      </c>
      <c r="D28" s="96">
        <v>3</v>
      </c>
      <c r="E28" s="28"/>
      <c r="F28" s="22"/>
      <c r="G28" s="22"/>
      <c r="H28" s="28">
        <v>14421</v>
      </c>
      <c r="I28" s="22">
        <f t="shared" si="28"/>
        <v>43263</v>
      </c>
      <c r="J28" s="22">
        <f t="shared" si="29"/>
        <v>51915.6</v>
      </c>
      <c r="K28" s="23">
        <f t="shared" si="23"/>
        <v>43263</v>
      </c>
      <c r="L28" s="24">
        <f t="shared" si="24"/>
        <v>51915.6</v>
      </c>
    </row>
    <row r="29" spans="1:13" ht="18.75" customHeight="1">
      <c r="A29" s="11">
        <f>A23+1</f>
        <v>8</v>
      </c>
      <c r="B29" s="83" t="s">
        <v>128</v>
      </c>
      <c r="C29" s="84" t="s">
        <v>38</v>
      </c>
      <c r="D29" s="97">
        <v>12</v>
      </c>
      <c r="E29" s="86">
        <v>2314.11</v>
      </c>
      <c r="F29" s="87">
        <f t="shared" ref="F29" si="30">ROUND(E29*D29,2)</f>
        <v>27769.32</v>
      </c>
      <c r="G29" s="87">
        <f t="shared" ref="G29" si="31">ROUND(F29*1.2,2)</f>
        <v>33323.18</v>
      </c>
      <c r="H29" s="15"/>
      <c r="I29" s="87"/>
      <c r="J29" s="87"/>
      <c r="K29" s="18">
        <f t="shared" si="23"/>
        <v>27769.32</v>
      </c>
      <c r="L29" s="87">
        <f t="shared" si="24"/>
        <v>33323.18</v>
      </c>
    </row>
    <row r="30" spans="1:13" ht="28.5" customHeight="1">
      <c r="A30" s="11">
        <f>A29+1</f>
        <v>9</v>
      </c>
      <c r="B30" s="178" t="s">
        <v>129</v>
      </c>
      <c r="C30" s="84" t="s">
        <v>38</v>
      </c>
      <c r="D30" s="97">
        <v>12</v>
      </c>
      <c r="E30" s="86">
        <v>6060.29</v>
      </c>
      <c r="F30" s="87">
        <f t="shared" ref="F30" si="32">ROUND(E30*D30,2)</f>
        <v>72723.48</v>
      </c>
      <c r="G30" s="87">
        <f t="shared" ref="G30" si="33">ROUND(F30*1.2,2)</f>
        <v>87268.18</v>
      </c>
      <c r="H30" s="15"/>
      <c r="I30" s="87"/>
      <c r="J30" s="87"/>
      <c r="K30" s="18">
        <f t="shared" ref="K30" si="34">F30+I30</f>
        <v>72723.48</v>
      </c>
      <c r="L30" s="87">
        <f t="shared" ref="L30" si="35">G30+J30</f>
        <v>87268.18</v>
      </c>
    </row>
    <row r="31" spans="1:13" ht="18" customHeight="1">
      <c r="A31" s="67"/>
      <c r="B31" s="74" t="s">
        <v>130</v>
      </c>
      <c r="C31" s="67"/>
      <c r="D31" s="75"/>
      <c r="E31" s="76"/>
      <c r="F31" s="71"/>
      <c r="G31" s="71"/>
      <c r="H31" s="72"/>
      <c r="I31" s="71"/>
      <c r="J31" s="71"/>
      <c r="K31" s="70"/>
      <c r="L31" s="73"/>
    </row>
    <row r="32" spans="1:13" ht="18.75" customHeight="1">
      <c r="A32" s="36">
        <f>A30+1</f>
        <v>10</v>
      </c>
      <c r="B32" s="35" t="s">
        <v>100</v>
      </c>
      <c r="C32" s="36" t="s">
        <v>15</v>
      </c>
      <c r="D32" s="98">
        <f>6*1</f>
        <v>6</v>
      </c>
      <c r="E32" s="31">
        <v>1449.23</v>
      </c>
      <c r="F32" s="30">
        <f t="shared" ref="F32" si="36">ROUND(E32*D32,2)</f>
        <v>8695.3799999999992</v>
      </c>
      <c r="G32" s="30">
        <f t="shared" ref="G32" si="37">ROUND(F32*1.2,2)</f>
        <v>10434.459999999999</v>
      </c>
      <c r="H32" s="27"/>
      <c r="I32" s="30"/>
      <c r="J32" s="30"/>
      <c r="K32" s="31">
        <f t="shared" ref="K32:K37" si="38">F32+I32</f>
        <v>8695.3799999999992</v>
      </c>
      <c r="L32" s="32">
        <f t="shared" ref="L32:L37" si="39">G32+J32</f>
        <v>10434.459999999999</v>
      </c>
      <c r="M32" s="60" t="s">
        <v>99</v>
      </c>
    </row>
    <row r="33" spans="1:13" ht="18.75" customHeight="1">
      <c r="A33" s="81" t="s">
        <v>18</v>
      </c>
      <c r="B33" s="65" t="s">
        <v>94</v>
      </c>
      <c r="C33" s="64" t="s">
        <v>38</v>
      </c>
      <c r="D33" s="96">
        <v>6</v>
      </c>
      <c r="E33" s="28"/>
      <c r="F33" s="22"/>
      <c r="G33" s="22"/>
      <c r="H33" s="28">
        <f>ROUND(853/1.2*1.15,2)</f>
        <v>817.46</v>
      </c>
      <c r="I33" s="22">
        <f t="shared" ref="I33" si="40">ROUND(H33*D33,2)</f>
        <v>4904.76</v>
      </c>
      <c r="J33" s="22">
        <f t="shared" ref="J33" si="41">ROUND(I33*1.2,2)</f>
        <v>5885.71</v>
      </c>
      <c r="K33" s="23">
        <f t="shared" si="38"/>
        <v>4904.76</v>
      </c>
      <c r="L33" s="24">
        <f t="shared" si="39"/>
        <v>5885.71</v>
      </c>
    </row>
    <row r="34" spans="1:13" ht="18.75" customHeight="1">
      <c r="A34" s="36">
        <f>A32+1</f>
        <v>11</v>
      </c>
      <c r="B34" s="35" t="s">
        <v>98</v>
      </c>
      <c r="C34" s="36" t="s">
        <v>15</v>
      </c>
      <c r="D34" s="98">
        <v>36</v>
      </c>
      <c r="E34" s="31">
        <v>1449.23</v>
      </c>
      <c r="F34" s="30">
        <f t="shared" ref="F34" si="42">ROUND(E34*D34,2)</f>
        <v>52172.28</v>
      </c>
      <c r="G34" s="30">
        <f t="shared" ref="G34" si="43">ROUND(F34*1.2,2)</f>
        <v>62606.74</v>
      </c>
      <c r="H34" s="27"/>
      <c r="I34" s="30"/>
      <c r="J34" s="30"/>
      <c r="K34" s="31">
        <f t="shared" si="38"/>
        <v>52172.28</v>
      </c>
      <c r="L34" s="32">
        <f t="shared" si="39"/>
        <v>62606.74</v>
      </c>
      <c r="M34" s="60" t="s">
        <v>99</v>
      </c>
    </row>
    <row r="35" spans="1:13" ht="18.75" customHeight="1">
      <c r="A35" s="81" t="s">
        <v>74</v>
      </c>
      <c r="B35" s="65" t="s">
        <v>95</v>
      </c>
      <c r="C35" s="64" t="s">
        <v>15</v>
      </c>
      <c r="D35" s="96">
        <v>36</v>
      </c>
      <c r="E35" s="28"/>
      <c r="F35" s="22"/>
      <c r="G35" s="22"/>
      <c r="H35" s="28">
        <f>ROUND(1013/1.2*1.15,2)</f>
        <v>970.79</v>
      </c>
      <c r="I35" s="22">
        <f t="shared" ref="I35" si="44">ROUND(H35*D35,2)</f>
        <v>34948.44</v>
      </c>
      <c r="J35" s="22">
        <f t="shared" ref="J35" si="45">ROUND(I35*1.2,2)</f>
        <v>41938.129999999997</v>
      </c>
      <c r="K35" s="23">
        <f t="shared" si="38"/>
        <v>34948.44</v>
      </c>
      <c r="L35" s="24">
        <f t="shared" si="39"/>
        <v>41938.129999999997</v>
      </c>
    </row>
    <row r="36" spans="1:13" ht="18.75" customHeight="1">
      <c r="A36" s="36">
        <f>A34+1</f>
        <v>12</v>
      </c>
      <c r="B36" s="35" t="s">
        <v>97</v>
      </c>
      <c r="C36" s="84" t="s">
        <v>38</v>
      </c>
      <c r="D36" s="98">
        <v>6</v>
      </c>
      <c r="E36" s="25">
        <v>1449.7</v>
      </c>
      <c r="F36" s="30">
        <f t="shared" ref="F36" si="46">ROUND(E36*D36,2)</f>
        <v>8698.2000000000007</v>
      </c>
      <c r="G36" s="30">
        <f t="shared" ref="G36" si="47">ROUND(F36*1.2,2)</f>
        <v>10437.84</v>
      </c>
      <c r="H36" s="27"/>
      <c r="I36" s="30"/>
      <c r="J36" s="30"/>
      <c r="K36" s="31">
        <f t="shared" si="38"/>
        <v>8698.2000000000007</v>
      </c>
      <c r="L36" s="32">
        <f t="shared" si="39"/>
        <v>10437.84</v>
      </c>
      <c r="M36" s="60" t="s">
        <v>131</v>
      </c>
    </row>
    <row r="37" spans="1:13" ht="18.75" customHeight="1">
      <c r="A37" s="81" t="s">
        <v>75</v>
      </c>
      <c r="B37" s="65" t="s">
        <v>93</v>
      </c>
      <c r="C37" s="64" t="s">
        <v>38</v>
      </c>
      <c r="D37" s="96">
        <v>6</v>
      </c>
      <c r="E37" s="28"/>
      <c r="F37" s="22"/>
      <c r="G37" s="22"/>
      <c r="H37" s="28">
        <v>3815</v>
      </c>
      <c r="I37" s="22">
        <f t="shared" ref="I37" si="48">ROUND(H37*D37,2)</f>
        <v>22890</v>
      </c>
      <c r="J37" s="22">
        <f t="shared" ref="J37" si="49">ROUND(I37*1.2,2)</f>
        <v>27468</v>
      </c>
      <c r="K37" s="23">
        <f t="shared" si="38"/>
        <v>22890</v>
      </c>
      <c r="L37" s="24">
        <f t="shared" si="39"/>
        <v>27468</v>
      </c>
    </row>
    <row r="38" spans="1:13" ht="18" customHeight="1">
      <c r="A38" s="67"/>
      <c r="B38" s="74" t="s">
        <v>132</v>
      </c>
      <c r="C38" s="67"/>
      <c r="D38" s="75"/>
      <c r="E38" s="76"/>
      <c r="F38" s="71"/>
      <c r="G38" s="71"/>
      <c r="H38" s="72"/>
      <c r="I38" s="71"/>
      <c r="J38" s="71"/>
      <c r="K38" s="70"/>
      <c r="L38" s="73"/>
    </row>
    <row r="39" spans="1:13" ht="20.25" customHeight="1">
      <c r="A39" s="36">
        <f>A36+1</f>
        <v>13</v>
      </c>
      <c r="B39" s="35" t="s">
        <v>96</v>
      </c>
      <c r="C39" s="36" t="s">
        <v>13</v>
      </c>
      <c r="D39" s="95">
        <f>ROUND(3*0.18+3*0.24,2)</f>
        <v>1.26</v>
      </c>
      <c r="E39" s="25">
        <v>17265.68</v>
      </c>
      <c r="F39" s="30">
        <f t="shared" ref="F39" si="50">ROUND(E39*D39,2)</f>
        <v>21754.76</v>
      </c>
      <c r="G39" s="30">
        <f t="shared" ref="G39" si="51">ROUND(F39*1.2,2)</f>
        <v>26105.71</v>
      </c>
      <c r="H39" s="27"/>
      <c r="I39" s="30"/>
      <c r="J39" s="30"/>
      <c r="K39" s="31">
        <f t="shared" ref="K39:K41" si="52">F39+I39</f>
        <v>21754.76</v>
      </c>
      <c r="L39" s="32">
        <f t="shared" ref="L39:L41" si="53">G39+J39</f>
        <v>26105.71</v>
      </c>
    </row>
    <row r="40" spans="1:13" ht="18.75" customHeight="1">
      <c r="A40" s="81" t="s">
        <v>76</v>
      </c>
      <c r="B40" s="65" t="s">
        <v>88</v>
      </c>
      <c r="C40" s="64" t="s">
        <v>38</v>
      </c>
      <c r="D40" s="96">
        <v>3</v>
      </c>
      <c r="E40" s="28"/>
      <c r="F40" s="22"/>
      <c r="G40" s="22"/>
      <c r="H40" s="28">
        <v>4025</v>
      </c>
      <c r="I40" s="22">
        <f t="shared" ref="I40:I41" si="54">ROUND(H40*D40,2)</f>
        <v>12075</v>
      </c>
      <c r="J40" s="22">
        <f t="shared" ref="J40:J41" si="55">ROUND(I40*1.2,2)</f>
        <v>14490</v>
      </c>
      <c r="K40" s="23">
        <f t="shared" si="52"/>
        <v>12075</v>
      </c>
      <c r="L40" s="24">
        <f t="shared" si="53"/>
        <v>14490</v>
      </c>
    </row>
    <row r="41" spans="1:13" ht="18.75" customHeight="1">
      <c r="A41" s="81" t="s">
        <v>135</v>
      </c>
      <c r="B41" s="65" t="s">
        <v>89</v>
      </c>
      <c r="C41" s="64" t="s">
        <v>38</v>
      </c>
      <c r="D41" s="96">
        <v>3</v>
      </c>
      <c r="E41" s="28"/>
      <c r="F41" s="22"/>
      <c r="G41" s="22"/>
      <c r="H41" s="28">
        <v>6995.83</v>
      </c>
      <c r="I41" s="22">
        <f t="shared" si="54"/>
        <v>20987.49</v>
      </c>
      <c r="J41" s="22">
        <f t="shared" si="55"/>
        <v>25184.99</v>
      </c>
      <c r="K41" s="23">
        <f t="shared" si="52"/>
        <v>20987.49</v>
      </c>
      <c r="L41" s="24">
        <f t="shared" si="53"/>
        <v>25184.99</v>
      </c>
    </row>
    <row r="42" spans="1:13" ht="18.75" customHeight="1">
      <c r="A42" s="81" t="s">
        <v>77</v>
      </c>
      <c r="B42" s="65" t="s">
        <v>133</v>
      </c>
      <c r="C42" s="64" t="s">
        <v>38</v>
      </c>
      <c r="D42" s="96">
        <v>3</v>
      </c>
      <c r="E42" s="28"/>
      <c r="F42" s="22"/>
      <c r="G42" s="22"/>
      <c r="H42" s="28">
        <v>14421</v>
      </c>
      <c r="I42" s="22">
        <f t="shared" ref="I42" si="56">ROUND(H42*D42,2)</f>
        <v>43263</v>
      </c>
      <c r="J42" s="22">
        <f t="shared" ref="J42" si="57">ROUND(I42*1.2,2)</f>
        <v>51915.6</v>
      </c>
      <c r="K42" s="23">
        <f t="shared" ref="K42" si="58">F42+I42</f>
        <v>43263</v>
      </c>
      <c r="L42" s="24">
        <f t="shared" ref="L42" si="59">G42+J42</f>
        <v>51915.6</v>
      </c>
    </row>
    <row r="43" spans="1:13" ht="18" customHeight="1">
      <c r="A43" s="67"/>
      <c r="B43" s="74" t="s">
        <v>136</v>
      </c>
      <c r="C43" s="67"/>
      <c r="D43" s="75"/>
      <c r="E43" s="76"/>
      <c r="F43" s="71"/>
      <c r="G43" s="71"/>
      <c r="H43" s="72"/>
      <c r="I43" s="71"/>
      <c r="J43" s="71"/>
      <c r="K43" s="70"/>
      <c r="L43" s="73"/>
    </row>
    <row r="44" spans="1:13" ht="18.75" customHeight="1">
      <c r="A44" s="11">
        <f>14+1</f>
        <v>15</v>
      </c>
      <c r="B44" s="34" t="s">
        <v>137</v>
      </c>
      <c r="C44" s="11" t="s">
        <v>13</v>
      </c>
      <c r="D44" s="92">
        <v>47.97</v>
      </c>
      <c r="E44" s="18">
        <v>1666.3</v>
      </c>
      <c r="F44" s="14">
        <f t="shared" ref="F44" si="60">ROUND(E44*D44,2)</f>
        <v>79932.41</v>
      </c>
      <c r="G44" s="14">
        <f t="shared" ref="G44" si="61">ROUND(F44*1.2,2)</f>
        <v>95918.89</v>
      </c>
      <c r="H44" s="15"/>
      <c r="I44" s="16"/>
      <c r="J44" s="16"/>
      <c r="K44" s="13">
        <f t="shared" ref="K44" si="62">F44+I44</f>
        <v>79932.41</v>
      </c>
      <c r="L44" s="17">
        <f t="shared" ref="L44" si="63">G44+J44</f>
        <v>95918.89</v>
      </c>
    </row>
    <row r="45" spans="1:13" ht="18.75" customHeight="1">
      <c r="A45" s="38" t="s">
        <v>78</v>
      </c>
      <c r="B45" s="19" t="s">
        <v>41</v>
      </c>
      <c r="C45" s="20" t="s">
        <v>13</v>
      </c>
      <c r="D45" s="89">
        <f>ROUND(D44*1.26,2)</f>
        <v>60.44</v>
      </c>
      <c r="E45" s="21"/>
      <c r="F45" s="22"/>
      <c r="G45" s="22"/>
      <c r="H45" s="39">
        <f>2827.078</f>
        <v>2827.078</v>
      </c>
      <c r="I45" s="22">
        <f>ROUND(H45*D45,2)</f>
        <v>170868.59</v>
      </c>
      <c r="J45" s="22">
        <f t="shared" ref="J45" si="64">ROUND(I45*1.2,2)</f>
        <v>205042.31</v>
      </c>
      <c r="K45" s="23">
        <f>F45+I45</f>
        <v>170868.59</v>
      </c>
      <c r="L45" s="24">
        <f>G45+J45</f>
        <v>205042.31</v>
      </c>
    </row>
    <row r="46" spans="1:13" ht="18.75" customHeight="1">
      <c r="A46" s="11">
        <f>A44+1</f>
        <v>16</v>
      </c>
      <c r="B46" s="34" t="s">
        <v>138</v>
      </c>
      <c r="C46" s="11" t="s">
        <v>13</v>
      </c>
      <c r="D46" s="92">
        <v>538.32000000000005</v>
      </c>
      <c r="E46" s="18">
        <v>1666.3</v>
      </c>
      <c r="F46" s="14">
        <f t="shared" ref="F46" si="65">ROUND(E46*D46,2)</f>
        <v>897002.62</v>
      </c>
      <c r="G46" s="14">
        <f t="shared" ref="G46" si="66">ROUND(F46*1.2,2)</f>
        <v>1076403.1399999999</v>
      </c>
      <c r="H46" s="15"/>
      <c r="I46" s="16"/>
      <c r="J46" s="16"/>
      <c r="K46" s="13">
        <f t="shared" ref="K46" si="67">F46+I46</f>
        <v>897002.62</v>
      </c>
      <c r="L46" s="17">
        <f t="shared" ref="L46" si="68">G46+J46</f>
        <v>1076403.1399999999</v>
      </c>
    </row>
    <row r="47" spans="1:13" ht="18.75" customHeight="1">
      <c r="A47" s="38" t="s">
        <v>79</v>
      </c>
      <c r="B47" s="19" t="s">
        <v>41</v>
      </c>
      <c r="C47" s="20" t="s">
        <v>13</v>
      </c>
      <c r="D47" s="89">
        <f>ROUND(D46*1.26,2)</f>
        <v>678.28</v>
      </c>
      <c r="E47" s="21"/>
      <c r="F47" s="22"/>
      <c r="G47" s="22"/>
      <c r="H47" s="39">
        <f>2827.078</f>
        <v>2827.078</v>
      </c>
      <c r="I47" s="22">
        <f>ROUND(H47*D47,2)</f>
        <v>1917550.47</v>
      </c>
      <c r="J47" s="22">
        <f t="shared" ref="J47" si="69">ROUND(I47*1.2,2)</f>
        <v>2301060.56</v>
      </c>
      <c r="K47" s="23">
        <f>F47+I47</f>
        <v>1917550.47</v>
      </c>
      <c r="L47" s="24">
        <f>G47+J47</f>
        <v>2301060.56</v>
      </c>
    </row>
    <row r="48" spans="1:13" ht="18" customHeight="1">
      <c r="A48" s="67"/>
      <c r="B48" s="68" t="s">
        <v>139</v>
      </c>
      <c r="C48" s="69"/>
      <c r="D48" s="69"/>
      <c r="E48" s="70"/>
      <c r="F48" s="71"/>
      <c r="G48" s="71"/>
      <c r="H48" s="72"/>
      <c r="I48" s="71"/>
      <c r="J48" s="71"/>
      <c r="K48" s="70"/>
      <c r="L48" s="73"/>
    </row>
    <row r="49" spans="1:13" ht="18.75" customHeight="1">
      <c r="A49" s="11">
        <f>A46+1</f>
        <v>17</v>
      </c>
      <c r="B49" s="34" t="s">
        <v>28</v>
      </c>
      <c r="C49" s="11" t="s">
        <v>13</v>
      </c>
      <c r="D49" s="59">
        <v>31.2</v>
      </c>
      <c r="E49" s="18">
        <v>308.75</v>
      </c>
      <c r="F49" s="14">
        <f t="shared" ref="F49:F51" si="70">ROUND(E49*D49,2)</f>
        <v>9633</v>
      </c>
      <c r="G49" s="14">
        <f t="shared" ref="G49:G51" si="71">ROUND(F49*1.2,2)</f>
        <v>11559.6</v>
      </c>
      <c r="H49" s="15"/>
      <c r="I49" s="16"/>
      <c r="J49" s="16"/>
      <c r="K49" s="13">
        <f t="shared" ref="K49:L52" si="72">F49+I49</f>
        <v>9633</v>
      </c>
      <c r="L49" s="17">
        <f t="shared" ref="L49:L50" si="73">G49+J49</f>
        <v>11559.6</v>
      </c>
    </row>
    <row r="50" spans="1:13" ht="18.75" customHeight="1">
      <c r="A50" s="11">
        <f t="shared" ref="A50:A51" si="74">A49+1</f>
        <v>18</v>
      </c>
      <c r="B50" s="34" t="s">
        <v>16</v>
      </c>
      <c r="C50" s="11" t="s">
        <v>17</v>
      </c>
      <c r="D50" s="59">
        <f>D49*1.9</f>
        <v>59.279999999999994</v>
      </c>
      <c r="E50" s="18">
        <v>308.75</v>
      </c>
      <c r="F50" s="14">
        <f t="shared" si="70"/>
        <v>18302.7</v>
      </c>
      <c r="G50" s="14">
        <f t="shared" si="71"/>
        <v>21963.24</v>
      </c>
      <c r="H50" s="15"/>
      <c r="I50" s="16"/>
      <c r="J50" s="16"/>
      <c r="K50" s="13">
        <f t="shared" si="72"/>
        <v>18302.7</v>
      </c>
      <c r="L50" s="17">
        <f t="shared" si="73"/>
        <v>21963.24</v>
      </c>
    </row>
    <row r="51" spans="1:13" ht="20.25" customHeight="1">
      <c r="A51" s="11">
        <f t="shared" si="74"/>
        <v>19</v>
      </c>
      <c r="B51" s="101" t="s">
        <v>140</v>
      </c>
      <c r="C51" s="84" t="s">
        <v>13</v>
      </c>
      <c r="D51" s="102">
        <v>2.4</v>
      </c>
      <c r="E51" s="15">
        <v>1310.05</v>
      </c>
      <c r="F51" s="16">
        <f t="shared" si="70"/>
        <v>3144.12</v>
      </c>
      <c r="G51" s="16">
        <f t="shared" si="71"/>
        <v>3772.94</v>
      </c>
      <c r="H51" s="103"/>
      <c r="I51" s="104"/>
      <c r="J51" s="104"/>
      <c r="K51" s="18">
        <f t="shared" si="72"/>
        <v>3144.12</v>
      </c>
      <c r="L51" s="87">
        <f t="shared" si="72"/>
        <v>3772.94</v>
      </c>
      <c r="M51" s="105"/>
    </row>
    <row r="52" spans="1:13" ht="20.25" customHeight="1">
      <c r="A52" s="38" t="s">
        <v>82</v>
      </c>
      <c r="B52" s="19" t="s">
        <v>141</v>
      </c>
      <c r="C52" s="107" t="s">
        <v>13</v>
      </c>
      <c r="D52" s="108">
        <f>D51*1.1</f>
        <v>2.64</v>
      </c>
      <c r="E52" s="21"/>
      <c r="F52" s="22"/>
      <c r="G52" s="22"/>
      <c r="H52" s="22">
        <v>1191.3</v>
      </c>
      <c r="I52" s="22">
        <f>ROUND(H52*D52,2)</f>
        <v>3145.03</v>
      </c>
      <c r="J52" s="22">
        <f>ROUND(I52*1.2,2)</f>
        <v>3774.04</v>
      </c>
      <c r="K52" s="23">
        <f t="shared" si="72"/>
        <v>3145.03</v>
      </c>
      <c r="L52" s="22">
        <f t="shared" si="72"/>
        <v>3774.04</v>
      </c>
      <c r="M52" s="105"/>
    </row>
    <row r="53" spans="1:13" ht="20.25" customHeight="1">
      <c r="A53" s="11">
        <f>A51+1</f>
        <v>20</v>
      </c>
      <c r="B53" s="101" t="s">
        <v>142</v>
      </c>
      <c r="C53" s="84" t="s">
        <v>13</v>
      </c>
      <c r="D53" s="102">
        <v>4.8</v>
      </c>
      <c r="E53" s="15">
        <v>1310.05</v>
      </c>
      <c r="F53" s="16">
        <f t="shared" ref="F53" si="75">ROUND(E53*D53,2)</f>
        <v>6288.24</v>
      </c>
      <c r="G53" s="16">
        <f t="shared" ref="G53" si="76">ROUND(F53*1.2,2)</f>
        <v>7545.89</v>
      </c>
      <c r="H53" s="103"/>
      <c r="I53" s="104"/>
      <c r="J53" s="104"/>
      <c r="K53" s="18">
        <f t="shared" ref="K53:K54" si="77">F53+I53</f>
        <v>6288.24</v>
      </c>
      <c r="L53" s="87">
        <f t="shared" ref="L53:L54" si="78">G53+J53</f>
        <v>7545.89</v>
      </c>
      <c r="M53" s="105"/>
    </row>
    <row r="54" spans="1:13" ht="20.25" customHeight="1">
      <c r="A54" s="38" t="s">
        <v>144</v>
      </c>
      <c r="B54" s="19" t="s">
        <v>141</v>
      </c>
      <c r="C54" s="107" t="s">
        <v>13</v>
      </c>
      <c r="D54" s="108">
        <f>D53*1.1</f>
        <v>5.28</v>
      </c>
      <c r="E54" s="21"/>
      <c r="F54" s="22"/>
      <c r="G54" s="22"/>
      <c r="H54" s="22">
        <v>1191.3</v>
      </c>
      <c r="I54" s="22">
        <f>ROUND(H54*D54,2)</f>
        <v>6290.06</v>
      </c>
      <c r="J54" s="22">
        <f>ROUND(I54*1.2,2)</f>
        <v>7548.07</v>
      </c>
      <c r="K54" s="23">
        <f t="shared" si="77"/>
        <v>6290.06</v>
      </c>
      <c r="L54" s="22">
        <f t="shared" si="78"/>
        <v>7548.07</v>
      </c>
      <c r="M54" s="105"/>
    </row>
    <row r="55" spans="1:13" ht="20.25" customHeight="1">
      <c r="A55" s="11">
        <f>A53+1</f>
        <v>21</v>
      </c>
      <c r="B55" s="101" t="s">
        <v>143</v>
      </c>
      <c r="C55" s="84" t="s">
        <v>13</v>
      </c>
      <c r="D55" s="102">
        <v>24</v>
      </c>
      <c r="E55" s="15">
        <v>1310.05</v>
      </c>
      <c r="F55" s="16">
        <f t="shared" ref="F55" si="79">ROUND(E55*D55,2)</f>
        <v>31441.200000000001</v>
      </c>
      <c r="G55" s="16">
        <f t="shared" ref="G55" si="80">ROUND(F55*1.2,2)</f>
        <v>37729.440000000002</v>
      </c>
      <c r="H55" s="103"/>
      <c r="I55" s="104"/>
      <c r="J55" s="104"/>
      <c r="K55" s="18">
        <f t="shared" ref="K55:K56" si="81">F55+I55</f>
        <v>31441.200000000001</v>
      </c>
      <c r="L55" s="87">
        <f t="shared" ref="L55:L56" si="82">G55+J55</f>
        <v>37729.440000000002</v>
      </c>
      <c r="M55" s="105"/>
    </row>
    <row r="56" spans="1:13" ht="20.25" customHeight="1">
      <c r="A56" s="38" t="s">
        <v>145</v>
      </c>
      <c r="B56" s="19" t="s">
        <v>141</v>
      </c>
      <c r="C56" s="107" t="s">
        <v>13</v>
      </c>
      <c r="D56" s="108">
        <f>D55*1.1</f>
        <v>26.400000000000002</v>
      </c>
      <c r="E56" s="21"/>
      <c r="F56" s="22"/>
      <c r="G56" s="22"/>
      <c r="H56" s="22">
        <v>1191.3</v>
      </c>
      <c r="I56" s="22">
        <f>ROUND(H56*D56,2)</f>
        <v>31450.32</v>
      </c>
      <c r="J56" s="22">
        <f>ROUND(I56*1.2,2)</f>
        <v>37740.379999999997</v>
      </c>
      <c r="K56" s="23">
        <f t="shared" si="81"/>
        <v>31450.32</v>
      </c>
      <c r="L56" s="22">
        <f t="shared" si="82"/>
        <v>37740.379999999997</v>
      </c>
      <c r="M56" s="105"/>
    </row>
    <row r="57" spans="1:13" ht="23.25" customHeight="1">
      <c r="A57" s="67"/>
      <c r="B57" s="74" t="s">
        <v>42</v>
      </c>
      <c r="C57" s="67"/>
      <c r="D57" s="67"/>
      <c r="E57" s="76"/>
      <c r="F57" s="71"/>
      <c r="G57" s="71"/>
      <c r="H57" s="72"/>
      <c r="I57" s="71"/>
      <c r="J57" s="71"/>
      <c r="K57" s="70"/>
      <c r="L57" s="73"/>
    </row>
    <row r="58" spans="1:13" ht="23.25" customHeight="1">
      <c r="A58" s="36">
        <f>A55+1</f>
        <v>22</v>
      </c>
      <c r="B58" s="35" t="s">
        <v>106</v>
      </c>
      <c r="C58" s="36" t="s">
        <v>44</v>
      </c>
      <c r="D58" s="95">
        <v>6013.43</v>
      </c>
      <c r="E58" s="25">
        <v>1083</v>
      </c>
      <c r="F58" s="30">
        <f t="shared" ref="F58" si="83">ROUND(E58*D58,2)</f>
        <v>6512544.6900000004</v>
      </c>
      <c r="G58" s="30">
        <f t="shared" ref="G58" si="84">ROUND(F58*1.2,2)</f>
        <v>7815053.6299999999</v>
      </c>
      <c r="H58" s="27"/>
      <c r="I58" s="30"/>
      <c r="J58" s="30"/>
      <c r="K58" s="31">
        <f t="shared" ref="K58:K72" si="85">F58+I58</f>
        <v>6512544.6900000004</v>
      </c>
      <c r="L58" s="32">
        <f t="shared" ref="L58:L72" si="86">G58+J58</f>
        <v>7815053.6299999999</v>
      </c>
    </row>
    <row r="59" spans="1:13" ht="37.5" customHeight="1">
      <c r="A59" s="38" t="s">
        <v>150</v>
      </c>
      <c r="B59" s="19" t="s">
        <v>47</v>
      </c>
      <c r="C59" s="20" t="s">
        <v>17</v>
      </c>
      <c r="D59" s="109">
        <f>D58*0.05*2.48</f>
        <v>745.66532000000007</v>
      </c>
      <c r="E59" s="21"/>
      <c r="F59" s="22"/>
      <c r="G59" s="22"/>
      <c r="H59" s="22">
        <v>4407.05</v>
      </c>
      <c r="I59" s="22">
        <f>ROUND(H59*D59,2)</f>
        <v>3286184.35</v>
      </c>
      <c r="J59" s="22">
        <f t="shared" ref="J59" si="87">ROUND(I59*1.2,2)</f>
        <v>3943421.22</v>
      </c>
      <c r="K59" s="23">
        <f t="shared" si="85"/>
        <v>3286184.35</v>
      </c>
      <c r="L59" s="24">
        <f t="shared" si="86"/>
        <v>3943421.22</v>
      </c>
      <c r="M59" s="37" t="s">
        <v>149</v>
      </c>
    </row>
    <row r="60" spans="1:13" ht="30.75" customHeight="1">
      <c r="A60" s="36">
        <f>A58+1</f>
        <v>23</v>
      </c>
      <c r="B60" s="35" t="s">
        <v>146</v>
      </c>
      <c r="C60" s="36" t="s">
        <v>44</v>
      </c>
      <c r="D60" s="95">
        <v>6013.43</v>
      </c>
      <c r="E60" s="31">
        <v>1516</v>
      </c>
      <c r="F60" s="30">
        <f>ROUND(E60*D60,2)</f>
        <v>9116359.8800000008</v>
      </c>
      <c r="G60" s="30">
        <f>ROUND(F60*1.2,2)</f>
        <v>10939631.859999999</v>
      </c>
      <c r="H60" s="27"/>
      <c r="I60" s="30"/>
      <c r="J60" s="30"/>
      <c r="K60" s="31">
        <f t="shared" si="85"/>
        <v>9116359.8800000008</v>
      </c>
      <c r="L60" s="32">
        <f t="shared" si="86"/>
        <v>10939631.859999999</v>
      </c>
      <c r="M60" s="37" t="s">
        <v>157</v>
      </c>
    </row>
    <row r="61" spans="1:13" ht="31.5" customHeight="1">
      <c r="A61" s="38" t="s">
        <v>151</v>
      </c>
      <c r="B61" s="19" t="s">
        <v>46</v>
      </c>
      <c r="C61" s="20" t="s">
        <v>17</v>
      </c>
      <c r="D61" s="109">
        <f>D60*0.07*2.48</f>
        <v>1043.9314480000003</v>
      </c>
      <c r="E61" s="21"/>
      <c r="F61" s="22"/>
      <c r="G61" s="22"/>
      <c r="H61" s="22">
        <v>4407.05</v>
      </c>
      <c r="I61" s="22">
        <f>ROUND(H61*D61,2)</f>
        <v>4600658.09</v>
      </c>
      <c r="J61" s="22">
        <f t="shared" ref="J61" si="88">ROUND(I61*1.2,2)</f>
        <v>5520789.71</v>
      </c>
      <c r="K61" s="23">
        <f t="shared" si="85"/>
        <v>4600658.09</v>
      </c>
      <c r="L61" s="24">
        <f t="shared" si="86"/>
        <v>5520789.71</v>
      </c>
      <c r="M61" s="37" t="s">
        <v>149</v>
      </c>
    </row>
    <row r="62" spans="1:13" ht="31.5" customHeight="1">
      <c r="A62" s="36">
        <f>A60+1</f>
        <v>24</v>
      </c>
      <c r="B62" s="35" t="s">
        <v>52</v>
      </c>
      <c r="C62" s="36" t="s">
        <v>44</v>
      </c>
      <c r="D62" s="93">
        <v>6013.43</v>
      </c>
      <c r="E62" s="25">
        <v>194.58</v>
      </c>
      <c r="F62" s="30">
        <f>ROUND(E62*D62,2)</f>
        <v>1170093.21</v>
      </c>
      <c r="G62" s="30">
        <f>ROUND(F62*1.2,2)</f>
        <v>1404111.85</v>
      </c>
      <c r="H62" s="27"/>
      <c r="I62" s="30"/>
      <c r="J62" s="30"/>
      <c r="K62" s="31">
        <f t="shared" si="85"/>
        <v>1170093.21</v>
      </c>
      <c r="L62" s="32">
        <f t="shared" si="86"/>
        <v>1404111.85</v>
      </c>
    </row>
    <row r="63" spans="1:13" ht="18.75" customHeight="1">
      <c r="A63" s="38" t="s">
        <v>152</v>
      </c>
      <c r="B63" s="19" t="s">
        <v>41</v>
      </c>
      <c r="C63" s="20" t="s">
        <v>13</v>
      </c>
      <c r="D63" s="94">
        <f>D62*0.08*1.26</f>
        <v>606.15374400000007</v>
      </c>
      <c r="E63" s="21"/>
      <c r="F63" s="22"/>
      <c r="G63" s="22"/>
      <c r="H63" s="39">
        <v>2827.078</v>
      </c>
      <c r="I63" s="22">
        <f>ROUND(H63*D63,2)</f>
        <v>1713643.91</v>
      </c>
      <c r="J63" s="22">
        <f t="shared" ref="J63:J64" si="89">ROUND(I63*1.2,2)</f>
        <v>2056372.69</v>
      </c>
      <c r="K63" s="23">
        <f t="shared" si="85"/>
        <v>1713643.91</v>
      </c>
      <c r="L63" s="24">
        <f t="shared" si="86"/>
        <v>2056372.69</v>
      </c>
      <c r="M63" s="37"/>
    </row>
    <row r="64" spans="1:13" ht="18.75" customHeight="1">
      <c r="A64" s="38" t="s">
        <v>153</v>
      </c>
      <c r="B64" s="19" t="s">
        <v>51</v>
      </c>
      <c r="C64" s="20" t="s">
        <v>17</v>
      </c>
      <c r="D64" s="110">
        <f>D62*0.86/1000</f>
        <v>5.1715498000000002</v>
      </c>
      <c r="E64" s="21"/>
      <c r="F64" s="22"/>
      <c r="G64" s="22"/>
      <c r="H64" s="39">
        <v>13706</v>
      </c>
      <c r="I64" s="22">
        <f>ROUND(H64*D64,2)</f>
        <v>70881.259999999995</v>
      </c>
      <c r="J64" s="22">
        <f t="shared" si="89"/>
        <v>85057.51</v>
      </c>
      <c r="K64" s="23">
        <f t="shared" si="85"/>
        <v>70881.259999999995</v>
      </c>
      <c r="L64" s="24">
        <f t="shared" si="86"/>
        <v>85057.51</v>
      </c>
      <c r="M64" s="60" t="s">
        <v>131</v>
      </c>
    </row>
    <row r="65" spans="1:13" ht="18.75" customHeight="1">
      <c r="A65" s="36">
        <f>A62+1</f>
        <v>25</v>
      </c>
      <c r="B65" s="35" t="s">
        <v>159</v>
      </c>
      <c r="C65" s="36" t="s">
        <v>13</v>
      </c>
      <c r="D65" s="93">
        <v>724.39</v>
      </c>
      <c r="E65" s="25">
        <v>1666.3</v>
      </c>
      <c r="F65" s="30">
        <f>ROUND(E65*D65,2)</f>
        <v>1207051.06</v>
      </c>
      <c r="G65" s="30">
        <f>ROUND(F65*1.2,2)</f>
        <v>1448461.27</v>
      </c>
      <c r="H65" s="27"/>
      <c r="I65" s="30"/>
      <c r="J65" s="30"/>
      <c r="K65" s="31">
        <f t="shared" si="85"/>
        <v>1207051.06</v>
      </c>
      <c r="L65" s="32">
        <f t="shared" si="86"/>
        <v>1448461.27</v>
      </c>
    </row>
    <row r="66" spans="1:13" ht="18.75" customHeight="1">
      <c r="A66" s="38" t="s">
        <v>154</v>
      </c>
      <c r="B66" s="19" t="s">
        <v>41</v>
      </c>
      <c r="C66" s="20" t="s">
        <v>13</v>
      </c>
      <c r="D66" s="94">
        <f>D65*1.26</f>
        <v>912.73140000000001</v>
      </c>
      <c r="E66" s="21"/>
      <c r="F66" s="22"/>
      <c r="G66" s="22"/>
      <c r="H66" s="39">
        <v>2827.078</v>
      </c>
      <c r="I66" s="22">
        <f>ROUND(H66*D66,2)</f>
        <v>2580362.86</v>
      </c>
      <c r="J66" s="22">
        <f t="shared" ref="J66" si="90">ROUND(I66*1.2,2)</f>
        <v>3096435.43</v>
      </c>
      <c r="K66" s="23">
        <f t="shared" si="85"/>
        <v>2580362.86</v>
      </c>
      <c r="L66" s="24">
        <f t="shared" si="86"/>
        <v>3096435.43</v>
      </c>
      <c r="M66" s="37"/>
    </row>
    <row r="67" spans="1:13" ht="18.75" customHeight="1">
      <c r="A67" s="36">
        <f>A65+1</f>
        <v>26</v>
      </c>
      <c r="B67" s="35" t="s">
        <v>156</v>
      </c>
      <c r="C67" s="36" t="s">
        <v>13</v>
      </c>
      <c r="D67" s="93">
        <v>1448.78</v>
      </c>
      <c r="E67" s="25">
        <v>1055.45</v>
      </c>
      <c r="F67" s="30">
        <f>ROUND(E67*D67,2)</f>
        <v>1529114.85</v>
      </c>
      <c r="G67" s="30">
        <f>ROUND(F67*1.2,2)</f>
        <v>1834937.82</v>
      </c>
      <c r="H67" s="27"/>
      <c r="I67" s="30"/>
      <c r="J67" s="30"/>
      <c r="K67" s="31">
        <f t="shared" si="85"/>
        <v>1529114.85</v>
      </c>
      <c r="L67" s="32">
        <f t="shared" si="86"/>
        <v>1834937.82</v>
      </c>
    </row>
    <row r="68" spans="1:13" ht="18.75" customHeight="1">
      <c r="A68" s="38" t="s">
        <v>83</v>
      </c>
      <c r="B68" s="19" t="s">
        <v>49</v>
      </c>
      <c r="C68" s="20" t="s">
        <v>13</v>
      </c>
      <c r="D68" s="94">
        <f>D67*1.1</f>
        <v>1593.6580000000001</v>
      </c>
      <c r="E68" s="21"/>
      <c r="F68" s="22"/>
      <c r="G68" s="22"/>
      <c r="H68" s="39">
        <v>1427.76</v>
      </c>
      <c r="I68" s="22">
        <f>ROUND(H68*D68,2)</f>
        <v>2275361.15</v>
      </c>
      <c r="J68" s="22">
        <f t="shared" ref="J68" si="91">ROUND(I68*1.2,2)</f>
        <v>2730433.38</v>
      </c>
      <c r="K68" s="23">
        <f t="shared" si="85"/>
        <v>2275361.15</v>
      </c>
      <c r="L68" s="24">
        <f t="shared" si="86"/>
        <v>2730433.38</v>
      </c>
      <c r="M68" s="37"/>
    </row>
    <row r="69" spans="1:13" ht="20.25" customHeight="1">
      <c r="A69" s="36">
        <f>A67+1</f>
        <v>27</v>
      </c>
      <c r="B69" s="35" t="s">
        <v>147</v>
      </c>
      <c r="C69" s="36" t="s">
        <v>44</v>
      </c>
      <c r="D69" s="93">
        <v>4829.28</v>
      </c>
      <c r="E69" s="25">
        <v>183.58</v>
      </c>
      <c r="F69" s="30">
        <f>ROUND(E69*D69,2)</f>
        <v>886559.22</v>
      </c>
      <c r="G69" s="30">
        <f>ROUND(F69*1.2,2)</f>
        <v>1063871.06</v>
      </c>
      <c r="H69" s="27"/>
      <c r="I69" s="30"/>
      <c r="J69" s="30"/>
      <c r="K69" s="31">
        <f t="shared" si="85"/>
        <v>886559.22</v>
      </c>
      <c r="L69" s="32">
        <f t="shared" si="86"/>
        <v>1063871.06</v>
      </c>
    </row>
    <row r="70" spans="1:13" ht="18.75" customHeight="1">
      <c r="A70" s="38" t="s">
        <v>84</v>
      </c>
      <c r="B70" s="19" t="s">
        <v>148</v>
      </c>
      <c r="C70" s="20" t="s">
        <v>44</v>
      </c>
      <c r="D70" s="94">
        <f>D69*1.1</f>
        <v>5312.2080000000005</v>
      </c>
      <c r="E70" s="21"/>
      <c r="F70" s="22"/>
      <c r="G70" s="22"/>
      <c r="H70" s="39">
        <v>153.33000000000001</v>
      </c>
      <c r="I70" s="22">
        <f>ROUND(H70*D70,2)</f>
        <v>814520.85</v>
      </c>
      <c r="J70" s="22">
        <f t="shared" ref="J70" si="92">ROUND(I70*1.2,2)</f>
        <v>977425.02</v>
      </c>
      <c r="K70" s="23">
        <f t="shared" si="85"/>
        <v>814520.85</v>
      </c>
      <c r="L70" s="24">
        <f t="shared" si="86"/>
        <v>977425.02</v>
      </c>
      <c r="M70" s="63"/>
    </row>
    <row r="71" spans="1:13" ht="18.75" customHeight="1">
      <c r="A71" s="36">
        <f>A69+1</f>
        <v>28</v>
      </c>
      <c r="B71" s="35" t="s">
        <v>48</v>
      </c>
      <c r="C71" s="36" t="s">
        <v>38</v>
      </c>
      <c r="D71" s="93">
        <v>330</v>
      </c>
      <c r="E71" s="25">
        <v>1555.15</v>
      </c>
      <c r="F71" s="30">
        <f>ROUND(E71*D71,2)</f>
        <v>513199.5</v>
      </c>
      <c r="G71" s="30">
        <f>ROUND(F71*1.2,2)</f>
        <v>615839.4</v>
      </c>
      <c r="H71" s="27"/>
      <c r="I71" s="30"/>
      <c r="J71" s="30"/>
      <c r="K71" s="31">
        <f t="shared" si="85"/>
        <v>513199.5</v>
      </c>
      <c r="L71" s="32">
        <f t="shared" si="86"/>
        <v>615839.4</v>
      </c>
    </row>
    <row r="72" spans="1:13" ht="18.75" customHeight="1">
      <c r="A72" s="38" t="s">
        <v>85</v>
      </c>
      <c r="B72" s="19" t="s">
        <v>50</v>
      </c>
      <c r="C72" s="20" t="s">
        <v>38</v>
      </c>
      <c r="D72" s="111">
        <v>330</v>
      </c>
      <c r="E72" s="21"/>
      <c r="F72" s="22"/>
      <c r="G72" s="22"/>
      <c r="H72" s="39">
        <v>400</v>
      </c>
      <c r="I72" s="22">
        <f>ROUND(H72*D72,2)</f>
        <v>132000</v>
      </c>
      <c r="J72" s="22">
        <f t="shared" ref="J72" si="93">ROUND(I72*1.2,2)</f>
        <v>158400</v>
      </c>
      <c r="K72" s="23">
        <f t="shared" si="85"/>
        <v>132000</v>
      </c>
      <c r="L72" s="24">
        <f t="shared" si="86"/>
        <v>158400</v>
      </c>
      <c r="M72" s="37" t="s">
        <v>340</v>
      </c>
    </row>
    <row r="73" spans="1:13" ht="29.25" customHeight="1">
      <c r="A73" s="67"/>
      <c r="B73" s="74" t="s">
        <v>155</v>
      </c>
      <c r="C73" s="67"/>
      <c r="D73" s="112"/>
      <c r="E73" s="76"/>
      <c r="F73" s="71"/>
      <c r="G73" s="71"/>
      <c r="H73" s="72"/>
      <c r="I73" s="71"/>
      <c r="J73" s="71"/>
      <c r="K73" s="70"/>
      <c r="L73" s="73"/>
    </row>
    <row r="74" spans="1:13" ht="18.75" customHeight="1">
      <c r="A74" s="36">
        <f>A71+1</f>
        <v>29</v>
      </c>
      <c r="B74" s="35" t="s">
        <v>158</v>
      </c>
      <c r="C74" s="36" t="s">
        <v>13</v>
      </c>
      <c r="D74" s="93">
        <v>65.5</v>
      </c>
      <c r="E74" s="25">
        <v>1666.3</v>
      </c>
      <c r="F74" s="30">
        <f>ROUND(E74*D74,2)</f>
        <v>109142.65</v>
      </c>
      <c r="G74" s="30">
        <f>ROUND(F74*1.2,2)</f>
        <v>130971.18</v>
      </c>
      <c r="H74" s="27"/>
      <c r="I74" s="30"/>
      <c r="J74" s="30"/>
      <c r="K74" s="31">
        <f t="shared" ref="K74:K75" si="94">F74+I74</f>
        <v>109142.65</v>
      </c>
      <c r="L74" s="32">
        <f t="shared" ref="L74:L75" si="95">G74+J74</f>
        <v>130971.18</v>
      </c>
    </row>
    <row r="75" spans="1:13" ht="18.75" customHeight="1">
      <c r="A75" s="38" t="s">
        <v>86</v>
      </c>
      <c r="B75" s="19" t="s">
        <v>41</v>
      </c>
      <c r="C75" s="20" t="s">
        <v>13</v>
      </c>
      <c r="D75" s="94">
        <f>D74*1.26</f>
        <v>82.53</v>
      </c>
      <c r="E75" s="21"/>
      <c r="F75" s="22"/>
      <c r="G75" s="22"/>
      <c r="H75" s="39">
        <v>2827.078</v>
      </c>
      <c r="I75" s="22">
        <f>ROUND(H75*D75,2)</f>
        <v>233318.75</v>
      </c>
      <c r="J75" s="22">
        <f t="shared" ref="J75" si="96">ROUND(I75*1.2,2)</f>
        <v>279982.5</v>
      </c>
      <c r="K75" s="23">
        <f t="shared" si="94"/>
        <v>233318.75</v>
      </c>
      <c r="L75" s="24">
        <f t="shared" si="95"/>
        <v>279982.5</v>
      </c>
      <c r="M75" s="37"/>
    </row>
    <row r="76" spans="1:13" ht="18" customHeight="1">
      <c r="A76" s="67"/>
      <c r="B76" s="77" t="s">
        <v>53</v>
      </c>
      <c r="C76" s="67"/>
      <c r="D76" s="67"/>
      <c r="E76" s="76"/>
      <c r="F76" s="71"/>
      <c r="G76" s="71"/>
      <c r="H76" s="72"/>
      <c r="I76" s="71"/>
      <c r="J76" s="71"/>
      <c r="K76" s="70"/>
      <c r="L76" s="73"/>
    </row>
    <row r="77" spans="1:13" ht="18.75" customHeight="1">
      <c r="A77" s="36">
        <f>A74+1</f>
        <v>30</v>
      </c>
      <c r="B77" s="101" t="s">
        <v>160</v>
      </c>
      <c r="C77" s="36" t="s">
        <v>13</v>
      </c>
      <c r="D77" s="90">
        <v>1494.45</v>
      </c>
      <c r="E77" s="25">
        <v>4380.38</v>
      </c>
      <c r="F77" s="30">
        <f t="shared" ref="F77:F90" si="97">ROUND(E77*D77,2)</f>
        <v>6546258.8899999997</v>
      </c>
      <c r="G77" s="30">
        <f t="shared" ref="G77:G90" si="98">ROUND(F77*1.2,2)</f>
        <v>7855510.6699999999</v>
      </c>
      <c r="H77" s="27"/>
      <c r="I77" s="30"/>
      <c r="J77" s="30"/>
      <c r="K77" s="31">
        <f t="shared" ref="K77:L90" si="99">F77+I77</f>
        <v>6546258.8899999997</v>
      </c>
      <c r="L77" s="32">
        <f t="shared" ref="L77:L90" si="100">G77+J77</f>
        <v>7855510.6699999999</v>
      </c>
      <c r="M77" t="s">
        <v>339</v>
      </c>
    </row>
    <row r="78" spans="1:13" ht="18.75" customHeight="1">
      <c r="A78" s="36">
        <f>A77+1</f>
        <v>31</v>
      </c>
      <c r="B78" s="101" t="s">
        <v>161</v>
      </c>
      <c r="C78" s="36" t="s">
        <v>13</v>
      </c>
      <c r="D78" s="90">
        <v>388.1</v>
      </c>
      <c r="E78" s="25">
        <v>4380.38</v>
      </c>
      <c r="F78" s="30">
        <f t="shared" ref="F78" si="101">ROUND(E78*D78,2)</f>
        <v>1700025.48</v>
      </c>
      <c r="G78" s="30">
        <f t="shared" ref="G78" si="102">ROUND(F78*1.2,2)</f>
        <v>2040030.58</v>
      </c>
      <c r="H78" s="27"/>
      <c r="I78" s="30"/>
      <c r="J78" s="30"/>
      <c r="K78" s="31">
        <f t="shared" ref="K78" si="103">F78+I78</f>
        <v>1700025.48</v>
      </c>
      <c r="L78" s="32">
        <f t="shared" ref="L78" si="104">G78+J78</f>
        <v>2040030.58</v>
      </c>
      <c r="M78" t="s">
        <v>339</v>
      </c>
    </row>
    <row r="79" spans="1:13" ht="18.75" customHeight="1">
      <c r="A79" s="36">
        <f>A78+1</f>
        <v>32</v>
      </c>
      <c r="B79" s="101" t="s">
        <v>162</v>
      </c>
      <c r="C79" s="36" t="s">
        <v>13</v>
      </c>
      <c r="D79" s="90">
        <v>174.4</v>
      </c>
      <c r="E79" s="25">
        <v>4380.38</v>
      </c>
      <c r="F79" s="30">
        <f t="shared" ref="F79" si="105">ROUND(E79*D79,2)</f>
        <v>763938.27</v>
      </c>
      <c r="G79" s="30">
        <f t="shared" ref="G79" si="106">ROUND(F79*1.2,2)</f>
        <v>916725.92</v>
      </c>
      <c r="H79" s="27"/>
      <c r="I79" s="30"/>
      <c r="J79" s="30"/>
      <c r="K79" s="31">
        <f t="shared" ref="K79" si="107">F79+I79</f>
        <v>763938.27</v>
      </c>
      <c r="L79" s="32">
        <f t="shared" ref="L79" si="108">G79+J79</f>
        <v>916725.92</v>
      </c>
      <c r="M79" t="s">
        <v>339</v>
      </c>
    </row>
    <row r="80" spans="1:13" ht="18.75" customHeight="1">
      <c r="A80" s="36">
        <f t="shared" ref="A80:A88" si="109">A79+1</f>
        <v>33</v>
      </c>
      <c r="B80" s="35" t="s">
        <v>105</v>
      </c>
      <c r="C80" s="36" t="s">
        <v>13</v>
      </c>
      <c r="D80" s="90">
        <v>531.36</v>
      </c>
      <c r="E80" s="25">
        <v>1440.52</v>
      </c>
      <c r="F80" s="30">
        <f t="shared" si="97"/>
        <v>765434.71</v>
      </c>
      <c r="G80" s="30">
        <f t="shared" si="98"/>
        <v>918521.65</v>
      </c>
      <c r="H80" s="27"/>
      <c r="I80" s="30"/>
      <c r="J80" s="30"/>
      <c r="K80" s="31">
        <f t="shared" si="99"/>
        <v>765434.71</v>
      </c>
      <c r="L80" s="32">
        <f t="shared" si="100"/>
        <v>918521.65</v>
      </c>
      <c r="M80" t="s">
        <v>339</v>
      </c>
    </row>
    <row r="81" spans="1:13" ht="18.75" customHeight="1">
      <c r="A81" s="36">
        <f t="shared" si="109"/>
        <v>34</v>
      </c>
      <c r="B81" s="35" t="s">
        <v>163</v>
      </c>
      <c r="C81" s="36" t="s">
        <v>13</v>
      </c>
      <c r="D81" s="90">
        <v>405.3</v>
      </c>
      <c r="E81" s="25">
        <v>1440.52</v>
      </c>
      <c r="F81" s="30">
        <f t="shared" ref="F81" si="110">ROUND(E81*D81,2)</f>
        <v>583842.76</v>
      </c>
      <c r="G81" s="30">
        <f t="shared" ref="G81" si="111">ROUND(F81*1.2,2)</f>
        <v>700611.31</v>
      </c>
      <c r="H81" s="27"/>
      <c r="I81" s="30"/>
      <c r="J81" s="30"/>
      <c r="K81" s="31">
        <f t="shared" ref="K81" si="112">F81+I81</f>
        <v>583842.76</v>
      </c>
      <c r="L81" s="32">
        <f t="shared" ref="L81" si="113">G81+J81</f>
        <v>700611.31</v>
      </c>
      <c r="M81" t="s">
        <v>339</v>
      </c>
    </row>
    <row r="82" spans="1:13" ht="18.75" customHeight="1">
      <c r="A82" s="36">
        <f t="shared" si="109"/>
        <v>35</v>
      </c>
      <c r="B82" s="35" t="s">
        <v>163</v>
      </c>
      <c r="C82" s="36" t="s">
        <v>13</v>
      </c>
      <c r="D82" s="90">
        <v>996.3</v>
      </c>
      <c r="E82" s="25">
        <v>1440.52</v>
      </c>
      <c r="F82" s="30">
        <f t="shared" ref="F82" si="114">ROUND(E82*D82,2)</f>
        <v>1435190.08</v>
      </c>
      <c r="G82" s="30">
        <f t="shared" ref="G82" si="115">ROUND(F82*1.2,2)</f>
        <v>1722228.1</v>
      </c>
      <c r="H82" s="27"/>
      <c r="I82" s="30"/>
      <c r="J82" s="30"/>
      <c r="K82" s="31">
        <f t="shared" ref="K82" si="116">F82+I82</f>
        <v>1435190.08</v>
      </c>
      <c r="L82" s="32">
        <f t="shared" ref="L82" si="117">G82+J82</f>
        <v>1722228.1</v>
      </c>
      <c r="M82" t="s">
        <v>339</v>
      </c>
    </row>
    <row r="83" spans="1:13" ht="18.75" customHeight="1">
      <c r="A83" s="36">
        <f t="shared" si="109"/>
        <v>36</v>
      </c>
      <c r="B83" s="35" t="s">
        <v>71</v>
      </c>
      <c r="C83" s="36" t="s">
        <v>13</v>
      </c>
      <c r="D83" s="90">
        <v>1992.6</v>
      </c>
      <c r="E83" s="31">
        <v>308.75</v>
      </c>
      <c r="F83" s="30">
        <f t="shared" si="97"/>
        <v>615215.25</v>
      </c>
      <c r="G83" s="30">
        <f t="shared" si="98"/>
        <v>738258.3</v>
      </c>
      <c r="H83" s="27"/>
      <c r="I83" s="30"/>
      <c r="J83" s="30"/>
      <c r="K83" s="31">
        <f t="shared" si="99"/>
        <v>615215.25</v>
      </c>
      <c r="L83" s="32">
        <f t="shared" si="100"/>
        <v>738258.3</v>
      </c>
      <c r="M83" s="118" t="s">
        <v>165</v>
      </c>
    </row>
    <row r="84" spans="1:13" ht="21.75" customHeight="1">
      <c r="A84" s="36">
        <f t="shared" si="109"/>
        <v>37</v>
      </c>
      <c r="B84" s="113" t="s">
        <v>164</v>
      </c>
      <c r="C84" s="114" t="s">
        <v>13</v>
      </c>
      <c r="D84" s="117">
        <v>1387</v>
      </c>
      <c r="E84" s="13">
        <v>308.75</v>
      </c>
      <c r="F84" s="14">
        <f t="shared" si="97"/>
        <v>428236.25</v>
      </c>
      <c r="G84" s="14">
        <f t="shared" si="98"/>
        <v>513883.5</v>
      </c>
      <c r="H84" s="103"/>
      <c r="I84" s="104"/>
      <c r="J84" s="104"/>
      <c r="K84" s="18">
        <f t="shared" si="99"/>
        <v>428236.25</v>
      </c>
      <c r="L84" s="87">
        <f t="shared" si="99"/>
        <v>513883.5</v>
      </c>
      <c r="M84" s="105"/>
    </row>
    <row r="85" spans="1:13" ht="18.75" customHeight="1">
      <c r="A85" s="36">
        <f t="shared" si="109"/>
        <v>38</v>
      </c>
      <c r="B85" s="35" t="s">
        <v>54</v>
      </c>
      <c r="C85" s="36" t="s">
        <v>38</v>
      </c>
      <c r="D85" s="119">
        <v>415</v>
      </c>
      <c r="E85" s="31">
        <v>1055.02</v>
      </c>
      <c r="F85" s="30">
        <f t="shared" si="97"/>
        <v>437833.3</v>
      </c>
      <c r="G85" s="30">
        <f t="shared" si="98"/>
        <v>525399.96</v>
      </c>
      <c r="H85" s="27"/>
      <c r="I85" s="30"/>
      <c r="J85" s="30"/>
      <c r="K85" s="31">
        <f t="shared" si="99"/>
        <v>437833.3</v>
      </c>
      <c r="L85" s="32">
        <f t="shared" si="100"/>
        <v>525399.96</v>
      </c>
    </row>
    <row r="86" spans="1:13" ht="32.25" customHeight="1">
      <c r="A86" s="36">
        <f t="shared" si="109"/>
        <v>39</v>
      </c>
      <c r="B86" s="35" t="s">
        <v>166</v>
      </c>
      <c r="C86" s="114" t="s">
        <v>13</v>
      </c>
      <c r="D86" s="90">
        <v>17.02</v>
      </c>
      <c r="E86" s="31">
        <v>4380.38</v>
      </c>
      <c r="F86" s="30">
        <f t="shared" ref="F86:F87" si="118">ROUND(E86*D86,2)</f>
        <v>74554.070000000007</v>
      </c>
      <c r="G86" s="30">
        <f t="shared" ref="G86:G87" si="119">ROUND(F86*1.2,2)</f>
        <v>89464.88</v>
      </c>
      <c r="H86" s="27"/>
      <c r="I86" s="30"/>
      <c r="J86" s="30"/>
      <c r="K86" s="31">
        <f t="shared" ref="K86:K87" si="120">F86+I86</f>
        <v>74554.070000000007</v>
      </c>
      <c r="L86" s="32">
        <f t="shared" ref="L86:L87" si="121">G86+J86</f>
        <v>89464.88</v>
      </c>
    </row>
    <row r="87" spans="1:13" ht="34.5" customHeight="1">
      <c r="A87" s="36">
        <f t="shared" si="109"/>
        <v>40</v>
      </c>
      <c r="B87" s="35" t="s">
        <v>167</v>
      </c>
      <c r="C87" s="114" t="s">
        <v>13</v>
      </c>
      <c r="D87" s="90">
        <v>84.38</v>
      </c>
      <c r="E87" s="14">
        <f>3982.45/(3*1.75*0.17)</f>
        <v>4462.1288515406159</v>
      </c>
      <c r="F87" s="30">
        <f t="shared" si="118"/>
        <v>376514.43</v>
      </c>
      <c r="G87" s="30">
        <f t="shared" si="119"/>
        <v>451817.32</v>
      </c>
      <c r="H87" s="27"/>
      <c r="I87" s="30"/>
      <c r="J87" s="30"/>
      <c r="K87" s="31">
        <f t="shared" si="120"/>
        <v>376514.43</v>
      </c>
      <c r="L87" s="32">
        <f t="shared" si="121"/>
        <v>451817.32</v>
      </c>
      <c r="M87" s="63"/>
    </row>
    <row r="88" spans="1:13" ht="20.25" customHeight="1">
      <c r="A88" s="36">
        <f t="shared" si="109"/>
        <v>41</v>
      </c>
      <c r="B88" s="101" t="s">
        <v>168</v>
      </c>
      <c r="C88" s="114" t="s">
        <v>13</v>
      </c>
      <c r="D88" s="102">
        <v>20.41</v>
      </c>
      <c r="E88" s="14">
        <f>3982.45/(3*1.75*0.17)</f>
        <v>4462.1288515406159</v>
      </c>
      <c r="F88" s="14">
        <f t="shared" ref="F88" si="122">ROUND(E88*D88,2)</f>
        <v>91072.05</v>
      </c>
      <c r="G88" s="14">
        <f t="shared" ref="G88" si="123">ROUND(F88*1.2,2)</f>
        <v>109286.46</v>
      </c>
      <c r="H88" s="15"/>
      <c r="I88" s="16"/>
      <c r="J88" s="16"/>
      <c r="K88" s="13">
        <f t="shared" ref="K88" si="124">F88+I88</f>
        <v>91072.05</v>
      </c>
      <c r="L88" s="14">
        <f t="shared" si="100"/>
        <v>109286.46</v>
      </c>
      <c r="M88" s="63"/>
    </row>
    <row r="89" spans="1:13" ht="20.25" customHeight="1">
      <c r="A89" s="36"/>
      <c r="B89" s="122" t="s">
        <v>169</v>
      </c>
      <c r="C89" s="114"/>
      <c r="D89" s="102"/>
      <c r="E89" s="121"/>
      <c r="F89" s="14"/>
      <c r="G89" s="14"/>
      <c r="H89" s="15"/>
      <c r="I89" s="16"/>
      <c r="J89" s="16"/>
      <c r="K89" s="13"/>
      <c r="L89" s="17"/>
      <c r="M89" s="63"/>
    </row>
    <row r="90" spans="1:13" ht="18.75" customHeight="1">
      <c r="A90" s="36">
        <f>A88+1</f>
        <v>42</v>
      </c>
      <c r="B90" s="35" t="s">
        <v>170</v>
      </c>
      <c r="C90" s="36" t="s">
        <v>17</v>
      </c>
      <c r="D90" s="31">
        <v>5982.21</v>
      </c>
      <c r="E90" s="25">
        <v>544.86</v>
      </c>
      <c r="F90" s="30">
        <f t="shared" si="97"/>
        <v>3259466.94</v>
      </c>
      <c r="G90" s="30">
        <f t="shared" si="98"/>
        <v>3911360.33</v>
      </c>
      <c r="H90" s="27"/>
      <c r="I90" s="30"/>
      <c r="J90" s="30"/>
      <c r="K90" s="31">
        <f t="shared" si="99"/>
        <v>3259466.94</v>
      </c>
      <c r="L90" s="32">
        <f t="shared" si="100"/>
        <v>3911360.33</v>
      </c>
      <c r="M90" s="80"/>
    </row>
    <row r="91" spans="1:13" ht="18.75" customHeight="1">
      <c r="A91" s="36">
        <f>A90+1</f>
        <v>43</v>
      </c>
      <c r="B91" s="35" t="s">
        <v>171</v>
      </c>
      <c r="C91" s="36" t="s">
        <v>17</v>
      </c>
      <c r="D91" s="31">
        <v>54.6</v>
      </c>
      <c r="E91" s="25">
        <v>544.86</v>
      </c>
      <c r="F91" s="30">
        <f t="shared" ref="F91" si="125">ROUND(E91*D91,2)</f>
        <v>29749.360000000001</v>
      </c>
      <c r="G91" s="30">
        <f t="shared" ref="G91" si="126">ROUND(F91*1.2,2)</f>
        <v>35699.230000000003</v>
      </c>
      <c r="H91" s="27"/>
      <c r="I91" s="30"/>
      <c r="J91" s="30"/>
      <c r="K91" s="31">
        <f t="shared" ref="K91" si="127">F91+I91</f>
        <v>29749.360000000001</v>
      </c>
      <c r="L91" s="32">
        <f t="shared" ref="L91" si="128">G91+J91</f>
        <v>35699.230000000003</v>
      </c>
      <c r="M91" s="80"/>
    </row>
    <row r="92" spans="1:13" ht="34.5" customHeight="1">
      <c r="A92" s="67"/>
      <c r="B92" s="77" t="s">
        <v>172</v>
      </c>
      <c r="C92" s="67"/>
      <c r="D92" s="78"/>
      <c r="E92" s="76"/>
      <c r="F92" s="71"/>
      <c r="G92" s="71"/>
      <c r="H92" s="72"/>
      <c r="I92" s="71"/>
      <c r="J92" s="71"/>
      <c r="K92" s="70"/>
      <c r="L92" s="73"/>
    </row>
    <row r="93" spans="1:13" ht="21.75" customHeight="1">
      <c r="A93" s="106">
        <f>A91+1</f>
        <v>44</v>
      </c>
      <c r="B93" s="35" t="s">
        <v>173</v>
      </c>
      <c r="C93" s="36" t="s">
        <v>38</v>
      </c>
      <c r="D93" s="124">
        <v>22</v>
      </c>
      <c r="E93" s="123">
        <v>8850</v>
      </c>
      <c r="F93" s="14">
        <f t="shared" ref="F93:F95" si="129">ROUND(E93*D93,2)</f>
        <v>194700</v>
      </c>
      <c r="G93" s="14">
        <f t="shared" ref="G93:G95" si="130">ROUND(F93*1.2,2)</f>
        <v>233640</v>
      </c>
      <c r="H93" s="27"/>
      <c r="I93" s="16"/>
      <c r="J93" s="16"/>
      <c r="K93" s="13">
        <f t="shared" ref="K93:L95" si="131">F93+I93</f>
        <v>194700</v>
      </c>
      <c r="L93" s="14">
        <f t="shared" si="131"/>
        <v>233640</v>
      </c>
      <c r="M93" s="60"/>
    </row>
    <row r="94" spans="1:13" ht="21.75" customHeight="1">
      <c r="A94" s="106">
        <f>A93+1</f>
        <v>45</v>
      </c>
      <c r="B94" s="35" t="s">
        <v>174</v>
      </c>
      <c r="C94" s="36" t="s">
        <v>38</v>
      </c>
      <c r="D94" s="124">
        <v>44</v>
      </c>
      <c r="E94" s="123">
        <v>3210</v>
      </c>
      <c r="F94" s="14">
        <f t="shared" si="129"/>
        <v>141240</v>
      </c>
      <c r="G94" s="14">
        <f t="shared" si="130"/>
        <v>169488</v>
      </c>
      <c r="H94" s="27"/>
      <c r="I94" s="16"/>
      <c r="J94" s="16"/>
      <c r="K94" s="13">
        <f t="shared" si="131"/>
        <v>141240</v>
      </c>
      <c r="L94" s="14">
        <f t="shared" si="131"/>
        <v>169488</v>
      </c>
      <c r="M94" s="60"/>
    </row>
    <row r="95" spans="1:13" ht="21.75" customHeight="1">
      <c r="A95" s="106">
        <f t="shared" ref="A95" si="132">A94+1</f>
        <v>46</v>
      </c>
      <c r="B95" s="35" t="s">
        <v>175</v>
      </c>
      <c r="C95" s="36" t="s">
        <v>38</v>
      </c>
      <c r="D95" s="124">
        <v>44</v>
      </c>
      <c r="E95" s="123">
        <v>1020</v>
      </c>
      <c r="F95" s="14">
        <f t="shared" si="129"/>
        <v>44880</v>
      </c>
      <c r="G95" s="14">
        <f t="shared" si="130"/>
        <v>53856</v>
      </c>
      <c r="H95" s="27"/>
      <c r="I95" s="16"/>
      <c r="J95" s="16"/>
      <c r="K95" s="13">
        <f t="shared" si="131"/>
        <v>44880</v>
      </c>
      <c r="L95" s="14">
        <f t="shared" si="131"/>
        <v>53856</v>
      </c>
      <c r="M95" s="60"/>
    </row>
    <row r="96" spans="1:13" ht="34.5" customHeight="1">
      <c r="A96" s="67"/>
      <c r="B96" s="77" t="s">
        <v>178</v>
      </c>
      <c r="C96" s="67"/>
      <c r="D96" s="78"/>
      <c r="E96" s="76"/>
      <c r="F96" s="71"/>
      <c r="G96" s="71"/>
      <c r="H96" s="72"/>
      <c r="I96" s="71"/>
      <c r="J96" s="71"/>
      <c r="K96" s="70"/>
      <c r="L96" s="73"/>
    </row>
    <row r="97" spans="1:13" ht="21.75" customHeight="1">
      <c r="A97" s="106">
        <f>A95+1</f>
        <v>47</v>
      </c>
      <c r="B97" s="35" t="s">
        <v>173</v>
      </c>
      <c r="C97" s="36" t="s">
        <v>38</v>
      </c>
      <c r="D97" s="124">
        <v>76</v>
      </c>
      <c r="E97" s="123">
        <v>8850</v>
      </c>
      <c r="F97" s="14">
        <f t="shared" ref="F97:F99" si="133">ROUND(E97*D97,2)</f>
        <v>672600</v>
      </c>
      <c r="G97" s="14">
        <f t="shared" ref="G97:G99" si="134">ROUND(F97*1.2,2)</f>
        <v>807120</v>
      </c>
      <c r="H97" s="27"/>
      <c r="I97" s="16"/>
      <c r="J97" s="16"/>
      <c r="K97" s="13">
        <f t="shared" ref="K97:K99" si="135">F97+I97</f>
        <v>672600</v>
      </c>
      <c r="L97" s="14">
        <f t="shared" ref="L97:L99" si="136">G97+J97</f>
        <v>807120</v>
      </c>
      <c r="M97" s="60"/>
    </row>
    <row r="98" spans="1:13" ht="21.75" customHeight="1">
      <c r="A98" s="84">
        <f>A97+1</f>
        <v>48</v>
      </c>
      <c r="B98" s="35" t="s">
        <v>174</v>
      </c>
      <c r="C98" s="36" t="s">
        <v>38</v>
      </c>
      <c r="D98" s="124">
        <v>152</v>
      </c>
      <c r="E98" s="123">
        <v>3210</v>
      </c>
      <c r="F98" s="14">
        <f t="shared" si="133"/>
        <v>487920</v>
      </c>
      <c r="G98" s="14">
        <f t="shared" si="134"/>
        <v>585504</v>
      </c>
      <c r="H98" s="27"/>
      <c r="I98" s="16"/>
      <c r="J98" s="16"/>
      <c r="K98" s="13">
        <f t="shared" si="135"/>
        <v>487920</v>
      </c>
      <c r="L98" s="14">
        <f t="shared" si="136"/>
        <v>585504</v>
      </c>
      <c r="M98" s="60"/>
    </row>
    <row r="99" spans="1:13" ht="21.75" customHeight="1">
      <c r="A99" s="84">
        <f t="shared" ref="A99:A100" si="137">A98+1</f>
        <v>49</v>
      </c>
      <c r="B99" s="179" t="s">
        <v>176</v>
      </c>
      <c r="C99" s="36" t="s">
        <v>38</v>
      </c>
      <c r="D99" s="124">
        <v>16</v>
      </c>
      <c r="E99" s="123">
        <v>3120</v>
      </c>
      <c r="F99" s="14">
        <f t="shared" si="133"/>
        <v>49920</v>
      </c>
      <c r="G99" s="14">
        <f t="shared" si="134"/>
        <v>59904</v>
      </c>
      <c r="H99" s="27"/>
      <c r="I99" s="16"/>
      <c r="J99" s="16"/>
      <c r="K99" s="13">
        <f t="shared" si="135"/>
        <v>49920</v>
      </c>
      <c r="L99" s="14">
        <f t="shared" si="136"/>
        <v>59904</v>
      </c>
      <c r="M99" s="60"/>
    </row>
    <row r="100" spans="1:13" ht="21.75" customHeight="1">
      <c r="A100" s="84">
        <f t="shared" si="137"/>
        <v>50</v>
      </c>
      <c r="B100" s="179" t="s">
        <v>177</v>
      </c>
      <c r="C100" s="36" t="s">
        <v>38</v>
      </c>
      <c r="D100" s="124">
        <v>8</v>
      </c>
      <c r="E100" s="123">
        <f>E99*1.2</f>
        <v>3744</v>
      </c>
      <c r="F100" s="14">
        <f t="shared" ref="F100" si="138">ROUND(E100*D100,2)</f>
        <v>29952</v>
      </c>
      <c r="G100" s="14">
        <f t="shared" ref="G100" si="139">ROUND(F100*1.2,2)</f>
        <v>35942.400000000001</v>
      </c>
      <c r="H100" s="27"/>
      <c r="I100" s="16"/>
      <c r="J100" s="16"/>
      <c r="K100" s="13">
        <f t="shared" ref="K100" si="140">F100+I100</f>
        <v>29952</v>
      </c>
      <c r="L100" s="14">
        <f t="shared" ref="L100" si="141">G100+J100</f>
        <v>35942.400000000001</v>
      </c>
      <c r="M100" s="60"/>
    </row>
    <row r="101" spans="1:13" ht="23.25" customHeight="1">
      <c r="A101" s="67"/>
      <c r="B101" s="77" t="s">
        <v>55</v>
      </c>
      <c r="C101" s="67"/>
      <c r="D101" s="78"/>
      <c r="E101" s="76"/>
      <c r="F101" s="71"/>
      <c r="G101" s="71"/>
      <c r="H101" s="72"/>
      <c r="I101" s="71"/>
      <c r="J101" s="71"/>
      <c r="K101" s="70"/>
      <c r="L101" s="73"/>
    </row>
    <row r="102" spans="1:13" ht="27.75" customHeight="1">
      <c r="A102" s="36">
        <f>A100+1</f>
        <v>51</v>
      </c>
      <c r="B102" s="35" t="s">
        <v>107</v>
      </c>
      <c r="C102" s="36" t="s">
        <v>13</v>
      </c>
      <c r="D102" s="95">
        <v>367.52</v>
      </c>
      <c r="E102" s="25">
        <v>419.9</v>
      </c>
      <c r="F102" s="30">
        <f t="shared" ref="F102" si="142">ROUND(E102*D102,2)</f>
        <v>154321.65</v>
      </c>
      <c r="G102" s="30">
        <f t="shared" ref="G102" si="143">ROUND(F102*1.2,2)</f>
        <v>185185.98</v>
      </c>
      <c r="H102" s="27"/>
      <c r="I102" s="30"/>
      <c r="J102" s="30"/>
      <c r="K102" s="31">
        <f t="shared" ref="K102:K109" si="144">F102+I102</f>
        <v>154321.65</v>
      </c>
      <c r="L102" s="32">
        <f t="shared" ref="L102:L109" si="145">G102+J102</f>
        <v>185185.98</v>
      </c>
      <c r="M102" s="61"/>
    </row>
    <row r="103" spans="1:13" ht="18.75" customHeight="1">
      <c r="A103" s="38" t="s">
        <v>179</v>
      </c>
      <c r="B103" s="65" t="s">
        <v>109</v>
      </c>
      <c r="C103" s="64" t="s">
        <v>13</v>
      </c>
      <c r="D103" s="125">
        <f>D102</f>
        <v>367.52</v>
      </c>
      <c r="E103" s="28"/>
      <c r="F103" s="22"/>
      <c r="G103" s="22"/>
      <c r="H103" s="22">
        <v>2120</v>
      </c>
      <c r="I103" s="22">
        <f>ROUND(H103*D103,2)</f>
        <v>779142.4</v>
      </c>
      <c r="J103" s="22">
        <f t="shared" ref="J103" si="146">ROUND(I103*1.2,2)</f>
        <v>934970.88</v>
      </c>
      <c r="K103" s="23">
        <f t="shared" si="144"/>
        <v>779142.4</v>
      </c>
      <c r="L103" s="24">
        <f t="shared" si="145"/>
        <v>934970.88</v>
      </c>
      <c r="M103" s="37" t="s">
        <v>340</v>
      </c>
    </row>
    <row r="104" spans="1:13" ht="29.25" customHeight="1">
      <c r="A104" s="36">
        <f>A102+1</f>
        <v>52</v>
      </c>
      <c r="B104" s="35" t="s">
        <v>108</v>
      </c>
      <c r="C104" s="36" t="s">
        <v>13</v>
      </c>
      <c r="D104" s="95">
        <v>91.88</v>
      </c>
      <c r="E104" s="31">
        <v>304.06</v>
      </c>
      <c r="F104" s="30">
        <f t="shared" ref="F104" si="147">ROUND(E104*D104,2)</f>
        <v>27937.03</v>
      </c>
      <c r="G104" s="30">
        <f t="shared" ref="G104" si="148">ROUND(F104*1.2,2)</f>
        <v>33524.44</v>
      </c>
      <c r="H104" s="180"/>
      <c r="I104" s="30"/>
      <c r="J104" s="30"/>
      <c r="K104" s="31">
        <f t="shared" si="144"/>
        <v>27937.03</v>
      </c>
      <c r="L104" s="32">
        <f t="shared" si="145"/>
        <v>33524.44</v>
      </c>
      <c r="M104" s="37" t="s">
        <v>110</v>
      </c>
    </row>
    <row r="105" spans="1:13" ht="18.75" customHeight="1">
      <c r="A105" s="38" t="s">
        <v>101</v>
      </c>
      <c r="B105" s="65" t="s">
        <v>109</v>
      </c>
      <c r="C105" s="64" t="s">
        <v>13</v>
      </c>
      <c r="D105" s="125">
        <f>D104</f>
        <v>91.88</v>
      </c>
      <c r="E105" s="23"/>
      <c r="F105" s="22"/>
      <c r="G105" s="22"/>
      <c r="H105" s="22">
        <v>2120</v>
      </c>
      <c r="I105" s="22">
        <f>ROUND(H105*D105,2)</f>
        <v>194785.6</v>
      </c>
      <c r="J105" s="22">
        <f t="shared" ref="J105" si="149">ROUND(I105*1.2,2)</f>
        <v>233742.72</v>
      </c>
      <c r="K105" s="23">
        <f t="shared" si="144"/>
        <v>194785.6</v>
      </c>
      <c r="L105" s="24">
        <f t="shared" si="145"/>
        <v>233742.72</v>
      </c>
      <c r="M105" s="37" t="s">
        <v>340</v>
      </c>
    </row>
    <row r="106" spans="1:13" ht="18.75" customHeight="1">
      <c r="A106" s="36">
        <f>A104+1</f>
        <v>53</v>
      </c>
      <c r="B106" s="35" t="s">
        <v>56</v>
      </c>
      <c r="C106" s="36" t="s">
        <v>44</v>
      </c>
      <c r="D106" s="116">
        <v>2297</v>
      </c>
      <c r="E106" s="31">
        <v>118.81</v>
      </c>
      <c r="F106" s="30">
        <f t="shared" ref="F106" si="150">ROUND(E106*D106,2)</f>
        <v>272906.57</v>
      </c>
      <c r="G106" s="30">
        <f t="shared" ref="G106" si="151">ROUND(F106*1.2,2)</f>
        <v>327487.88</v>
      </c>
      <c r="H106" s="27"/>
      <c r="I106" s="30"/>
      <c r="J106" s="30"/>
      <c r="K106" s="31">
        <f t="shared" si="144"/>
        <v>272906.57</v>
      </c>
      <c r="L106" s="32">
        <f t="shared" si="145"/>
        <v>327487.88</v>
      </c>
      <c r="M106" s="37" t="s">
        <v>110</v>
      </c>
    </row>
    <row r="107" spans="1:13" ht="18.75" customHeight="1">
      <c r="A107" s="38" t="s">
        <v>102</v>
      </c>
      <c r="B107" s="65" t="s">
        <v>57</v>
      </c>
      <c r="C107" s="64" t="s">
        <v>61</v>
      </c>
      <c r="D107" s="126">
        <v>15</v>
      </c>
      <c r="E107" s="23"/>
      <c r="F107" s="22"/>
      <c r="G107" s="22"/>
      <c r="H107" s="39">
        <v>461.7</v>
      </c>
      <c r="I107" s="22">
        <f>ROUND(H107*D107,2)</f>
        <v>6925.5</v>
      </c>
      <c r="J107" s="22">
        <f t="shared" ref="J107:J109" si="152">ROUND(I107*1.2,2)</f>
        <v>8310.6</v>
      </c>
      <c r="K107" s="23">
        <f t="shared" si="144"/>
        <v>6925.5</v>
      </c>
      <c r="L107" s="24">
        <f t="shared" si="145"/>
        <v>8310.6</v>
      </c>
      <c r="M107" s="61"/>
    </row>
    <row r="108" spans="1:13" ht="18.75" customHeight="1">
      <c r="A108" s="38" t="s">
        <v>180</v>
      </c>
      <c r="B108" s="65" t="s">
        <v>58</v>
      </c>
      <c r="C108" s="64" t="s">
        <v>61</v>
      </c>
      <c r="D108" s="126">
        <v>15</v>
      </c>
      <c r="E108" s="23"/>
      <c r="F108" s="22"/>
      <c r="G108" s="22"/>
      <c r="H108" s="39">
        <v>615.6</v>
      </c>
      <c r="I108" s="22">
        <f>ROUND(H108*D108,2)</f>
        <v>9234</v>
      </c>
      <c r="J108" s="22">
        <f t="shared" si="152"/>
        <v>11080.8</v>
      </c>
      <c r="K108" s="23">
        <f t="shared" si="144"/>
        <v>9234</v>
      </c>
      <c r="L108" s="24">
        <f t="shared" si="145"/>
        <v>11080.8</v>
      </c>
      <c r="M108" s="61"/>
    </row>
    <row r="109" spans="1:13" ht="18.75" customHeight="1">
      <c r="A109" s="38" t="s">
        <v>181</v>
      </c>
      <c r="B109" s="65" t="s">
        <v>59</v>
      </c>
      <c r="C109" s="64" t="s">
        <v>61</v>
      </c>
      <c r="D109" s="126">
        <v>15</v>
      </c>
      <c r="E109" s="23"/>
      <c r="F109" s="22"/>
      <c r="G109" s="22"/>
      <c r="H109" s="39">
        <v>1201.75</v>
      </c>
      <c r="I109" s="22">
        <f>ROUND(H109*D109,2)</f>
        <v>18026.25</v>
      </c>
      <c r="J109" s="22">
        <f t="shared" si="152"/>
        <v>21631.5</v>
      </c>
      <c r="K109" s="23">
        <f t="shared" si="144"/>
        <v>18026.25</v>
      </c>
      <c r="L109" s="24">
        <f t="shared" si="145"/>
        <v>21631.5</v>
      </c>
      <c r="M109" s="61"/>
    </row>
    <row r="110" spans="1:13" ht="18" customHeight="1">
      <c r="A110" s="67"/>
      <c r="B110" s="77" t="s">
        <v>60</v>
      </c>
      <c r="C110" s="67"/>
      <c r="D110" s="78"/>
      <c r="E110" s="70"/>
      <c r="F110" s="71"/>
      <c r="G110" s="71"/>
      <c r="H110" s="72"/>
      <c r="I110" s="71"/>
      <c r="J110" s="71"/>
      <c r="K110" s="70"/>
      <c r="L110" s="73"/>
    </row>
    <row r="111" spans="1:13" ht="18.75" customHeight="1">
      <c r="A111" s="36">
        <f>A106+1</f>
        <v>54</v>
      </c>
      <c r="B111" s="35" t="s">
        <v>111</v>
      </c>
      <c r="C111" s="36" t="s">
        <v>44</v>
      </c>
      <c r="D111" s="98">
        <v>294</v>
      </c>
      <c r="E111" s="31">
        <f>308.75+188.1</f>
        <v>496.85</v>
      </c>
      <c r="F111" s="30">
        <f t="shared" ref="F111:F112" si="153">ROUND(E111*D111,2)</f>
        <v>146073.9</v>
      </c>
      <c r="G111" s="30">
        <f t="shared" ref="G111:G112" si="154">ROUND(F111*1.2,2)</f>
        <v>175288.68</v>
      </c>
      <c r="H111" s="27"/>
      <c r="I111" s="30"/>
      <c r="J111" s="30"/>
      <c r="K111" s="31">
        <f t="shared" ref="K111:K112" si="155">F111+I111</f>
        <v>146073.9</v>
      </c>
      <c r="L111" s="32">
        <f t="shared" ref="L111:L112" si="156">G111+J111</f>
        <v>175288.68</v>
      </c>
      <c r="M111" s="61"/>
    </row>
    <row r="112" spans="1:13" ht="18.75" customHeight="1">
      <c r="A112" s="36">
        <f>A111+1</f>
        <v>55</v>
      </c>
      <c r="B112" s="35" t="s">
        <v>112</v>
      </c>
      <c r="C112" s="36" t="s">
        <v>44</v>
      </c>
      <c r="D112" s="116">
        <v>294</v>
      </c>
      <c r="E112" s="31">
        <f>157.6</f>
        <v>157.6</v>
      </c>
      <c r="F112" s="30">
        <f t="shared" si="153"/>
        <v>46334.400000000001</v>
      </c>
      <c r="G112" s="30">
        <f t="shared" si="154"/>
        <v>55601.279999999999</v>
      </c>
      <c r="H112" s="27"/>
      <c r="I112" s="30"/>
      <c r="J112" s="30"/>
      <c r="K112" s="31">
        <f t="shared" si="155"/>
        <v>46334.400000000001</v>
      </c>
      <c r="L112" s="32">
        <f t="shared" si="156"/>
        <v>55601.279999999999</v>
      </c>
    </row>
    <row r="113" spans="1:12" ht="18.75" customHeight="1">
      <c r="A113" s="64" t="s">
        <v>103</v>
      </c>
      <c r="B113" s="177" t="s">
        <v>182</v>
      </c>
      <c r="C113" s="64" t="s">
        <v>44</v>
      </c>
      <c r="D113" s="125">
        <f>D112*1.1</f>
        <v>323.40000000000003</v>
      </c>
      <c r="E113" s="28"/>
      <c r="F113" s="22"/>
      <c r="G113" s="22"/>
      <c r="H113" s="21">
        <v>214.53</v>
      </c>
      <c r="I113" s="22">
        <f>ROUND(H113*D113,2)</f>
        <v>69379</v>
      </c>
      <c r="J113" s="22">
        <f t="shared" ref="J113:J114" si="157">ROUND(I113*1.2,2)</f>
        <v>83254.8</v>
      </c>
      <c r="K113" s="23">
        <f>F113+I113</f>
        <v>69379</v>
      </c>
      <c r="L113" s="24">
        <f>G113+J113</f>
        <v>83254.8</v>
      </c>
    </row>
    <row r="114" spans="1:12" ht="18.75" customHeight="1">
      <c r="A114" s="64" t="s">
        <v>184</v>
      </c>
      <c r="B114" s="177" t="s">
        <v>183</v>
      </c>
      <c r="C114" s="64" t="s">
        <v>38</v>
      </c>
      <c r="D114" s="125">
        <v>675</v>
      </c>
      <c r="E114" s="28"/>
      <c r="F114" s="22"/>
      <c r="G114" s="22"/>
      <c r="H114" s="39">
        <v>115</v>
      </c>
      <c r="I114" s="22">
        <f>ROUND(H114*D114,2)</f>
        <v>77625</v>
      </c>
      <c r="J114" s="22">
        <f t="shared" si="157"/>
        <v>93150</v>
      </c>
      <c r="K114" s="23">
        <f t="shared" ref="K114:K116" si="158">F114+I114</f>
        <v>77625</v>
      </c>
      <c r="L114" s="24">
        <f t="shared" ref="L114:L116" si="159">G114+J114</f>
        <v>93150</v>
      </c>
    </row>
    <row r="115" spans="1:12" ht="18.75" customHeight="1">
      <c r="A115" s="36">
        <f>A112+1</f>
        <v>56</v>
      </c>
      <c r="B115" s="35" t="s">
        <v>113</v>
      </c>
      <c r="C115" s="36" t="s">
        <v>44</v>
      </c>
      <c r="D115" s="116">
        <v>294</v>
      </c>
      <c r="E115" s="25">
        <v>1178</v>
      </c>
      <c r="F115" s="30">
        <f t="shared" ref="F115" si="160">ROUND(E115*D115,2)</f>
        <v>346332</v>
      </c>
      <c r="G115" s="30">
        <f t="shared" ref="G115" si="161">ROUND(F115*1.2,2)</f>
        <v>415598.4</v>
      </c>
      <c r="H115" s="27"/>
      <c r="I115" s="30"/>
      <c r="J115" s="30"/>
      <c r="K115" s="31">
        <f t="shared" si="158"/>
        <v>346332</v>
      </c>
      <c r="L115" s="32">
        <f t="shared" si="159"/>
        <v>415598.4</v>
      </c>
    </row>
    <row r="116" spans="1:12" ht="18.75" customHeight="1">
      <c r="A116" s="64" t="s">
        <v>104</v>
      </c>
      <c r="B116" s="65" t="s">
        <v>69</v>
      </c>
      <c r="C116" s="64" t="s">
        <v>13</v>
      </c>
      <c r="D116" s="125">
        <f>D115*0.1*1.26</f>
        <v>37.044000000000004</v>
      </c>
      <c r="E116" s="28"/>
      <c r="F116" s="22"/>
      <c r="G116" s="22"/>
      <c r="H116" s="39">
        <f>2827.078</f>
        <v>2827.078</v>
      </c>
      <c r="I116" s="22">
        <f>ROUND(H116*D116,2)</f>
        <v>104726.28</v>
      </c>
      <c r="J116" s="22">
        <f t="shared" ref="J116" si="162">ROUND(I116*1.2,2)</f>
        <v>125671.54</v>
      </c>
      <c r="K116" s="23">
        <f t="shared" si="158"/>
        <v>104726.28</v>
      </c>
      <c r="L116" s="24">
        <f t="shared" si="159"/>
        <v>125671.54</v>
      </c>
    </row>
    <row r="117" spans="1:12" ht="18.75" customHeight="1">
      <c r="A117" s="67"/>
      <c r="B117" s="77" t="s">
        <v>62</v>
      </c>
      <c r="C117" s="67"/>
      <c r="D117" s="129"/>
      <c r="E117" s="76"/>
      <c r="F117" s="71"/>
      <c r="G117" s="71"/>
      <c r="H117" s="72"/>
      <c r="I117" s="71"/>
      <c r="J117" s="71"/>
      <c r="K117" s="70"/>
      <c r="L117" s="73"/>
    </row>
    <row r="118" spans="1:12" ht="18.75" customHeight="1">
      <c r="A118" s="36">
        <f>A115+1</f>
        <v>57</v>
      </c>
      <c r="B118" s="35" t="s">
        <v>63</v>
      </c>
      <c r="C118" s="36" t="s">
        <v>13</v>
      </c>
      <c r="D118" s="116">
        <v>29.4</v>
      </c>
      <c r="E118" s="25">
        <v>1777</v>
      </c>
      <c r="F118" s="30">
        <f t="shared" ref="F118" si="163">ROUND(E118*D118,2)</f>
        <v>52243.8</v>
      </c>
      <c r="G118" s="30">
        <f t="shared" ref="G118" si="164">ROUND(F118*1.2,2)</f>
        <v>62692.56</v>
      </c>
      <c r="H118" s="27"/>
      <c r="I118" s="30"/>
      <c r="J118" s="30"/>
      <c r="K118" s="31">
        <f t="shared" ref="K118" si="165">F118+I118</f>
        <v>52243.8</v>
      </c>
      <c r="L118" s="32">
        <f t="shared" ref="L118" si="166">G118+J118</f>
        <v>62692.56</v>
      </c>
    </row>
    <row r="119" spans="1:12" ht="26.25" customHeight="1">
      <c r="A119" s="67"/>
      <c r="B119" s="77" t="s">
        <v>64</v>
      </c>
      <c r="C119" s="67"/>
      <c r="D119" s="78"/>
      <c r="E119" s="76"/>
      <c r="F119" s="71"/>
      <c r="G119" s="71"/>
      <c r="H119" s="72"/>
      <c r="I119" s="71"/>
      <c r="J119" s="71"/>
      <c r="K119" s="70"/>
      <c r="L119" s="73"/>
    </row>
    <row r="120" spans="1:12" ht="18.75" customHeight="1">
      <c r="A120" s="36">
        <f>A118+1</f>
        <v>58</v>
      </c>
      <c r="B120" s="35" t="s">
        <v>87</v>
      </c>
      <c r="C120" s="36" t="s">
        <v>15</v>
      </c>
      <c r="D120" s="98">
        <f>2.5*4</f>
        <v>10</v>
      </c>
      <c r="E120" s="25">
        <v>2455</v>
      </c>
      <c r="F120" s="30">
        <f t="shared" ref="F120" si="167">ROUND(E120*D120,2)</f>
        <v>24550</v>
      </c>
      <c r="G120" s="30">
        <f t="shared" ref="G120" si="168">ROUND(F120*1.2,2)</f>
        <v>29460</v>
      </c>
      <c r="H120" s="27"/>
      <c r="I120" s="30"/>
      <c r="J120" s="30"/>
      <c r="K120" s="31">
        <f t="shared" ref="K120:K122" si="169">F120+I120</f>
        <v>24550</v>
      </c>
      <c r="L120" s="32">
        <f t="shared" ref="L120:L122" si="170">G120+J120</f>
        <v>29460</v>
      </c>
    </row>
    <row r="121" spans="1:12" ht="18.75" customHeight="1">
      <c r="A121" s="64" t="s">
        <v>185</v>
      </c>
      <c r="B121" s="65" t="s">
        <v>65</v>
      </c>
      <c r="C121" s="64" t="s">
        <v>38</v>
      </c>
      <c r="D121" s="96">
        <v>3</v>
      </c>
      <c r="E121" s="28"/>
      <c r="F121" s="22"/>
      <c r="G121" s="22"/>
      <c r="H121" s="28">
        <v>4006</v>
      </c>
      <c r="I121" s="22">
        <f>ROUND(H121*D121,2)</f>
        <v>12018</v>
      </c>
      <c r="J121" s="22">
        <f t="shared" ref="J121:J122" si="171">ROUND(I121*1.2,2)</f>
        <v>14421.6</v>
      </c>
      <c r="K121" s="23">
        <f t="shared" si="169"/>
        <v>12018</v>
      </c>
      <c r="L121" s="24">
        <f t="shared" si="170"/>
        <v>14421.6</v>
      </c>
    </row>
    <row r="122" spans="1:12" ht="18.75" customHeight="1">
      <c r="A122" s="64" t="s">
        <v>186</v>
      </c>
      <c r="B122" s="65" t="s">
        <v>66</v>
      </c>
      <c r="C122" s="64" t="s">
        <v>38</v>
      </c>
      <c r="D122" s="96">
        <v>4</v>
      </c>
      <c r="E122" s="28"/>
      <c r="F122" s="22"/>
      <c r="G122" s="22"/>
      <c r="H122" s="28">
        <v>12650</v>
      </c>
      <c r="I122" s="22">
        <f>ROUND(H122*D122,2)</f>
        <v>50600</v>
      </c>
      <c r="J122" s="22">
        <f t="shared" si="171"/>
        <v>60720</v>
      </c>
      <c r="K122" s="23">
        <f t="shared" si="169"/>
        <v>50600</v>
      </c>
      <c r="L122" s="24">
        <f t="shared" si="170"/>
        <v>60720</v>
      </c>
    </row>
    <row r="123" spans="1:12" ht="26.25" customHeight="1">
      <c r="A123" s="36">
        <f>A120+1</f>
        <v>59</v>
      </c>
      <c r="B123" s="35" t="s">
        <v>68</v>
      </c>
      <c r="C123" s="36" t="s">
        <v>13</v>
      </c>
      <c r="D123" s="116">
        <v>3.3</v>
      </c>
      <c r="E123" s="25">
        <v>1240</v>
      </c>
      <c r="F123" s="30">
        <f t="shared" ref="F123" si="172">ROUND(E123*D123,2)</f>
        <v>4092</v>
      </c>
      <c r="G123" s="30">
        <f t="shared" ref="G123" si="173">ROUND(F123*1.2,2)</f>
        <v>4910.3999999999996</v>
      </c>
      <c r="H123" s="27"/>
      <c r="I123" s="30"/>
      <c r="J123" s="30"/>
      <c r="K123" s="31">
        <f t="shared" ref="K123:K124" si="174">F123+I123</f>
        <v>4092</v>
      </c>
      <c r="L123" s="32">
        <f t="shared" ref="L123:L124" si="175">G123+J123</f>
        <v>4910.3999999999996</v>
      </c>
    </row>
    <row r="124" spans="1:12" ht="18" customHeight="1">
      <c r="A124" s="64" t="s">
        <v>187</v>
      </c>
      <c r="B124" s="65" t="s">
        <v>69</v>
      </c>
      <c r="C124" s="64" t="s">
        <v>13</v>
      </c>
      <c r="D124" s="125">
        <f>D123*1.26</f>
        <v>4.1579999999999995</v>
      </c>
      <c r="E124" s="28"/>
      <c r="F124" s="22"/>
      <c r="G124" s="22"/>
      <c r="H124" s="39">
        <v>2827.078</v>
      </c>
      <c r="I124" s="22">
        <f>ROUND(H124*D124,2)</f>
        <v>11754.99</v>
      </c>
      <c r="J124" s="22">
        <f t="shared" ref="J124" si="176">ROUND(I124*1.2,2)</f>
        <v>14105.99</v>
      </c>
      <c r="K124" s="23">
        <f t="shared" si="174"/>
        <v>11754.99</v>
      </c>
      <c r="L124" s="24">
        <f t="shared" si="175"/>
        <v>14105.99</v>
      </c>
    </row>
    <row r="125" spans="1:12" ht="20.25" customHeight="1">
      <c r="A125" s="36">
        <f>A123+1</f>
        <v>60</v>
      </c>
      <c r="B125" s="35" t="s">
        <v>70</v>
      </c>
      <c r="C125" s="36" t="s">
        <v>13</v>
      </c>
      <c r="D125" s="128">
        <v>0.75900000000000001</v>
      </c>
      <c r="E125" s="25">
        <v>4844.8</v>
      </c>
      <c r="F125" s="30">
        <f t="shared" ref="F125" si="177">ROUND(E125*D125,2)</f>
        <v>3677.2</v>
      </c>
      <c r="G125" s="30">
        <f t="shared" ref="G125" si="178">ROUND(F125*1.2,2)</f>
        <v>4412.6400000000003</v>
      </c>
      <c r="H125" s="27"/>
      <c r="I125" s="30"/>
      <c r="J125" s="30"/>
      <c r="K125" s="31">
        <f t="shared" ref="K125" si="179">F125+I125</f>
        <v>3677.2</v>
      </c>
      <c r="L125" s="32">
        <f t="shared" ref="L125" si="180">G125+J125</f>
        <v>4412.6400000000003</v>
      </c>
    </row>
    <row r="126" spans="1:12" ht="18" customHeight="1">
      <c r="A126" s="36">
        <f>A125+1</f>
        <v>61</v>
      </c>
      <c r="B126" s="35" t="s">
        <v>188</v>
      </c>
      <c r="C126" s="36" t="s">
        <v>15</v>
      </c>
      <c r="D126" s="98">
        <f>2.5*4</f>
        <v>10</v>
      </c>
      <c r="E126" s="25">
        <f>2455*0.8</f>
        <v>1964</v>
      </c>
      <c r="F126" s="30">
        <f t="shared" ref="F126" si="181">ROUND(E126*D126,2)</f>
        <v>19640</v>
      </c>
      <c r="G126" s="30">
        <f t="shared" ref="G126" si="182">ROUND(F126*1.2,2)</f>
        <v>23568</v>
      </c>
      <c r="H126" s="27"/>
      <c r="I126" s="30"/>
      <c r="J126" s="30"/>
      <c r="K126" s="31">
        <f t="shared" ref="K126" si="183">F126+I126</f>
        <v>19640</v>
      </c>
      <c r="L126" s="32">
        <f t="shared" ref="L126" si="184">G126+J126</f>
        <v>23568</v>
      </c>
    </row>
    <row r="127" spans="1:12" ht="18" customHeight="1">
      <c r="A127" s="36"/>
      <c r="B127" s="130" t="s">
        <v>169</v>
      </c>
      <c r="C127" s="36"/>
      <c r="D127" s="127"/>
      <c r="E127" s="25"/>
      <c r="F127" s="30"/>
      <c r="G127" s="30"/>
      <c r="H127" s="27"/>
      <c r="I127" s="30"/>
      <c r="J127" s="30"/>
      <c r="K127" s="31"/>
      <c r="L127" s="32"/>
    </row>
    <row r="128" spans="1:12" ht="18" customHeight="1">
      <c r="A128" s="36">
        <f>A126+1</f>
        <v>62</v>
      </c>
      <c r="B128" s="35" t="s">
        <v>170</v>
      </c>
      <c r="C128" s="36" t="s">
        <v>17</v>
      </c>
      <c r="D128" s="131">
        <v>3.0230000000000001</v>
      </c>
      <c r="E128" s="25">
        <v>544.86</v>
      </c>
      <c r="F128" s="30">
        <f t="shared" ref="F128:F129" si="185">ROUND(E128*D128,2)</f>
        <v>1647.11</v>
      </c>
      <c r="G128" s="30">
        <f t="shared" ref="G128:G129" si="186">ROUND(F128*1.2,2)</f>
        <v>1976.53</v>
      </c>
      <c r="H128" s="27"/>
      <c r="I128" s="30"/>
      <c r="J128" s="30"/>
      <c r="K128" s="31">
        <f t="shared" ref="K128:K129" si="187">F128+I128</f>
        <v>1647.11</v>
      </c>
      <c r="L128" s="32">
        <f t="shared" ref="L128:L129" si="188">G128+J128</f>
        <v>1976.53</v>
      </c>
    </row>
    <row r="129" spans="1:13" ht="18" customHeight="1">
      <c r="A129" s="36">
        <f>A128+1</f>
        <v>63</v>
      </c>
      <c r="B129" s="35" t="s">
        <v>171</v>
      </c>
      <c r="C129" s="36" t="s">
        <v>17</v>
      </c>
      <c r="D129" s="31">
        <v>51.45</v>
      </c>
      <c r="E129" s="25">
        <v>544.86</v>
      </c>
      <c r="F129" s="30">
        <f t="shared" si="185"/>
        <v>28033.05</v>
      </c>
      <c r="G129" s="30">
        <f t="shared" si="186"/>
        <v>33639.660000000003</v>
      </c>
      <c r="H129" s="27"/>
      <c r="I129" s="30"/>
      <c r="J129" s="30"/>
      <c r="K129" s="31">
        <f t="shared" si="187"/>
        <v>28033.05</v>
      </c>
      <c r="L129" s="32">
        <f t="shared" si="188"/>
        <v>33639.660000000003</v>
      </c>
    </row>
    <row r="130" spans="1:13" ht="31.5" customHeight="1">
      <c r="A130" s="67"/>
      <c r="B130" s="77" t="s">
        <v>189</v>
      </c>
      <c r="C130" s="67"/>
      <c r="D130" s="78"/>
      <c r="E130" s="76"/>
      <c r="F130" s="71"/>
      <c r="G130" s="71"/>
      <c r="H130" s="72"/>
      <c r="I130" s="71"/>
      <c r="J130" s="71"/>
      <c r="K130" s="70"/>
      <c r="L130" s="73"/>
    </row>
    <row r="131" spans="1:13" ht="21.75" customHeight="1">
      <c r="A131" s="36">
        <f>A129+1</f>
        <v>64</v>
      </c>
      <c r="B131" s="35" t="s">
        <v>190</v>
      </c>
      <c r="C131" s="36" t="s">
        <v>44</v>
      </c>
      <c r="D131" s="31">
        <v>18.27</v>
      </c>
      <c r="E131" s="31">
        <v>2101.14</v>
      </c>
      <c r="F131" s="30">
        <f t="shared" ref="F131" si="189">ROUND(E131*D131,2)</f>
        <v>38387.83</v>
      </c>
      <c r="G131" s="30">
        <f t="shared" ref="G131" si="190">ROUND(F131*1.2,2)</f>
        <v>46065.4</v>
      </c>
      <c r="H131" s="27"/>
      <c r="I131" s="30"/>
      <c r="J131" s="30"/>
      <c r="K131" s="31">
        <f t="shared" ref="K131:K132" si="191">F131+I131</f>
        <v>38387.83</v>
      </c>
      <c r="L131" s="32">
        <f t="shared" ref="L131:L132" si="192">G131+J131</f>
        <v>46065.4</v>
      </c>
      <c r="M131" s="37" t="s">
        <v>110</v>
      </c>
    </row>
    <row r="132" spans="1:13" ht="18" customHeight="1">
      <c r="A132" s="64" t="s">
        <v>192</v>
      </c>
      <c r="B132" s="177" t="s">
        <v>191</v>
      </c>
      <c r="C132" s="64" t="s">
        <v>44</v>
      </c>
      <c r="D132" s="125">
        <v>18.27</v>
      </c>
      <c r="E132" s="28"/>
      <c r="F132" s="22"/>
      <c r="G132" s="22"/>
      <c r="H132" s="22">
        <f>1133.33/1.2</f>
        <v>944.44166666666661</v>
      </c>
      <c r="I132" s="22">
        <f>ROUND(H132*D132,2)</f>
        <v>17254.95</v>
      </c>
      <c r="J132" s="22">
        <f t="shared" ref="J132" si="193">ROUND(I132*1.2,2)</f>
        <v>20705.939999999999</v>
      </c>
      <c r="K132" s="23">
        <f t="shared" si="191"/>
        <v>17254.95</v>
      </c>
      <c r="L132" s="24">
        <f t="shared" si="192"/>
        <v>20705.939999999999</v>
      </c>
      <c r="M132" s="60" t="s">
        <v>311</v>
      </c>
    </row>
    <row r="133" spans="1:13" ht="27.75" customHeight="1">
      <c r="A133" s="67"/>
      <c r="B133" s="77" t="s">
        <v>193</v>
      </c>
      <c r="C133" s="67"/>
      <c r="D133" s="78"/>
      <c r="E133" s="76"/>
      <c r="F133" s="71"/>
      <c r="G133" s="71"/>
      <c r="H133" s="72"/>
      <c r="I133" s="71"/>
      <c r="J133" s="71"/>
      <c r="K133" s="70"/>
      <c r="L133" s="73"/>
    </row>
    <row r="134" spans="1:13" ht="21.75" customHeight="1">
      <c r="A134" s="144"/>
      <c r="B134" s="145" t="s">
        <v>197</v>
      </c>
      <c r="C134" s="146"/>
      <c r="D134" s="147"/>
      <c r="E134" s="148"/>
      <c r="F134" s="149"/>
      <c r="G134" s="149"/>
      <c r="H134" s="150"/>
      <c r="I134" s="149"/>
      <c r="J134" s="149"/>
      <c r="K134" s="148"/>
      <c r="L134" s="151"/>
    </row>
    <row r="135" spans="1:13" ht="21.75" customHeight="1">
      <c r="A135" s="11"/>
      <c r="B135" s="122" t="s">
        <v>222</v>
      </c>
      <c r="C135" s="84"/>
      <c r="D135" s="102"/>
      <c r="E135" s="18"/>
      <c r="F135" s="16"/>
      <c r="G135" s="16"/>
      <c r="H135" s="132"/>
      <c r="I135" s="16"/>
      <c r="J135" s="16"/>
      <c r="K135" s="18"/>
      <c r="L135" s="87"/>
      <c r="M135" s="63"/>
    </row>
    <row r="136" spans="1:13" ht="28.5" customHeight="1">
      <c r="A136" s="84">
        <f>A131+1</f>
        <v>65</v>
      </c>
      <c r="B136" s="113" t="s">
        <v>195</v>
      </c>
      <c r="C136" s="114" t="s">
        <v>13</v>
      </c>
      <c r="D136" s="134">
        <v>0.27</v>
      </c>
      <c r="E136" s="196">
        <f>14540/0.84*0.27</f>
        <v>4673.5714285714284</v>
      </c>
      <c r="F136" s="196">
        <f>ROUND(E136*1,2)</f>
        <v>4673.57</v>
      </c>
      <c r="G136" s="196">
        <f t="shared" ref="G136" si="194">ROUND(F136*1.2,2)</f>
        <v>5608.28</v>
      </c>
      <c r="H136" s="196"/>
      <c r="I136" s="196"/>
      <c r="J136" s="196"/>
      <c r="K136" s="196">
        <f t="shared" ref="K136:L136" si="195">F136+I136</f>
        <v>4673.57</v>
      </c>
      <c r="L136" s="196">
        <f t="shared" si="195"/>
        <v>5608.28</v>
      </c>
      <c r="M136" s="63"/>
    </row>
    <row r="137" spans="1:13" ht="19.5" customHeight="1">
      <c r="A137" s="106" t="s">
        <v>196</v>
      </c>
      <c r="B137" s="113" t="s">
        <v>194</v>
      </c>
      <c r="C137" s="114" t="s">
        <v>38</v>
      </c>
      <c r="D137" s="85">
        <v>1</v>
      </c>
      <c r="E137" s="197"/>
      <c r="F137" s="197"/>
      <c r="G137" s="197"/>
      <c r="H137" s="197"/>
      <c r="I137" s="197"/>
      <c r="J137" s="197"/>
      <c r="K137" s="197"/>
      <c r="L137" s="197"/>
      <c r="M137" s="133"/>
    </row>
    <row r="138" spans="1:13" ht="18" customHeight="1">
      <c r="A138" s="36"/>
      <c r="B138" s="122" t="s">
        <v>223</v>
      </c>
      <c r="C138" s="36"/>
      <c r="D138" s="127"/>
      <c r="E138" s="25"/>
      <c r="F138" s="30"/>
      <c r="G138" s="30"/>
      <c r="H138" s="27"/>
      <c r="I138" s="30"/>
      <c r="J138" s="30"/>
      <c r="K138" s="31"/>
      <c r="L138" s="32"/>
    </row>
    <row r="139" spans="1:13" ht="30.75" customHeight="1">
      <c r="A139" s="84">
        <f>A136+1</f>
        <v>66</v>
      </c>
      <c r="B139" s="113" t="s">
        <v>198</v>
      </c>
      <c r="C139" s="84" t="s">
        <v>13</v>
      </c>
      <c r="D139" s="102">
        <f>0.27+0.1</f>
        <v>0.37</v>
      </c>
      <c r="E139" s="25">
        <v>17265.68</v>
      </c>
      <c r="F139" s="16">
        <f t="shared" ref="F139" si="196">ROUND(E139*D139,2)</f>
        <v>6388.3</v>
      </c>
      <c r="G139" s="16">
        <f t="shared" ref="G139" si="197">ROUND(F139*1.2,2)</f>
        <v>7665.96</v>
      </c>
      <c r="H139" s="132"/>
      <c r="I139" s="16"/>
      <c r="J139" s="16"/>
      <c r="K139" s="18">
        <f t="shared" ref="K139:L142" si="198">F139+I139</f>
        <v>6388.3</v>
      </c>
      <c r="L139" s="87">
        <f t="shared" si="198"/>
        <v>7665.96</v>
      </c>
      <c r="M139" s="105"/>
    </row>
    <row r="140" spans="1:13" ht="18.75" customHeight="1">
      <c r="A140" s="106" t="s">
        <v>206</v>
      </c>
      <c r="B140" s="181" t="s">
        <v>201</v>
      </c>
      <c r="C140" s="107" t="s">
        <v>38</v>
      </c>
      <c r="D140" s="137">
        <v>1</v>
      </c>
      <c r="E140" s="28"/>
      <c r="F140" s="22"/>
      <c r="G140" s="22"/>
      <c r="H140" s="138">
        <v>7056</v>
      </c>
      <c r="I140" s="22">
        <f t="shared" ref="I140" si="199">ROUND(H140*D140,2)</f>
        <v>7056</v>
      </c>
      <c r="J140" s="22">
        <f t="shared" ref="J140" si="200">ROUND(I140*1.2,2)</f>
        <v>8467.2000000000007</v>
      </c>
      <c r="K140" s="23">
        <f t="shared" ref="K140" si="201">F140+I140</f>
        <v>7056</v>
      </c>
      <c r="L140" s="22">
        <f t="shared" ref="L140" si="202">G140+J140</f>
        <v>8467.2000000000007</v>
      </c>
      <c r="M140" s="37" t="s">
        <v>209</v>
      </c>
    </row>
    <row r="141" spans="1:13" ht="18.75" customHeight="1">
      <c r="A141" s="106" t="s">
        <v>207</v>
      </c>
      <c r="B141" s="181" t="s">
        <v>205</v>
      </c>
      <c r="C141" s="107" t="s">
        <v>38</v>
      </c>
      <c r="D141" s="137">
        <v>1</v>
      </c>
      <c r="E141" s="28"/>
      <c r="F141" s="22"/>
      <c r="G141" s="22"/>
      <c r="H141" s="138">
        <v>3136</v>
      </c>
      <c r="I141" s="22">
        <f t="shared" ref="I141:I142" si="203">ROUND(H141*D141,2)</f>
        <v>3136</v>
      </c>
      <c r="J141" s="22">
        <f t="shared" ref="J141:J142" si="204">ROUND(I141*1.2,2)</f>
        <v>3763.2</v>
      </c>
      <c r="K141" s="23">
        <f t="shared" si="198"/>
        <v>3136</v>
      </c>
      <c r="L141" s="22">
        <f t="shared" si="198"/>
        <v>3763.2</v>
      </c>
      <c r="M141" s="37"/>
    </row>
    <row r="142" spans="1:13" ht="18.75" customHeight="1">
      <c r="A142" s="106" t="s">
        <v>208</v>
      </c>
      <c r="B142" s="181" t="s">
        <v>215</v>
      </c>
      <c r="C142" s="107" t="s">
        <v>38</v>
      </c>
      <c r="D142" s="137">
        <v>1</v>
      </c>
      <c r="E142" s="28"/>
      <c r="F142" s="22"/>
      <c r="G142" s="22"/>
      <c r="H142" s="138">
        <v>14421</v>
      </c>
      <c r="I142" s="22">
        <f t="shared" si="203"/>
        <v>14421</v>
      </c>
      <c r="J142" s="22">
        <f t="shared" si="204"/>
        <v>17305.2</v>
      </c>
      <c r="K142" s="23">
        <f t="shared" si="198"/>
        <v>14421</v>
      </c>
      <c r="L142" s="22">
        <f t="shared" si="198"/>
        <v>17305.2</v>
      </c>
      <c r="M142" s="37" t="s">
        <v>209</v>
      </c>
    </row>
    <row r="143" spans="1:13" ht="21.75" customHeight="1">
      <c r="A143" s="144"/>
      <c r="B143" s="145" t="s">
        <v>210</v>
      </c>
      <c r="C143" s="146"/>
      <c r="D143" s="147"/>
      <c r="E143" s="148"/>
      <c r="F143" s="149"/>
      <c r="G143" s="149"/>
      <c r="H143" s="150"/>
      <c r="I143" s="149"/>
      <c r="J143" s="149"/>
      <c r="K143" s="148"/>
      <c r="L143" s="151"/>
    </row>
    <row r="144" spans="1:13" ht="21.75" customHeight="1">
      <c r="A144" s="11"/>
      <c r="B144" s="122" t="s">
        <v>222</v>
      </c>
      <c r="C144" s="84"/>
      <c r="D144" s="102"/>
      <c r="E144" s="18"/>
      <c r="F144" s="16"/>
      <c r="G144" s="16"/>
      <c r="H144" s="132"/>
      <c r="I144" s="16"/>
      <c r="J144" s="16"/>
      <c r="K144" s="18"/>
      <c r="L144" s="87"/>
      <c r="M144" s="63"/>
    </row>
    <row r="145" spans="1:13" ht="21" customHeight="1">
      <c r="A145" s="84">
        <f>A139+1</f>
        <v>67</v>
      </c>
      <c r="B145" s="113" t="s">
        <v>211</v>
      </c>
      <c r="C145" s="114" t="s">
        <v>13</v>
      </c>
      <c r="D145" s="134">
        <f>0.06+0.24+0.18</f>
        <v>0.48</v>
      </c>
      <c r="E145" s="141">
        <f>14540/0.84*0.48</f>
        <v>8308.5714285714275</v>
      </c>
      <c r="F145" s="141">
        <f>ROUND(E145*1,2)</f>
        <v>8308.57</v>
      </c>
      <c r="G145" s="141">
        <f t="shared" ref="G145" si="205">ROUND(F145*1.2,2)</f>
        <v>9970.2800000000007</v>
      </c>
      <c r="H145" s="141"/>
      <c r="I145" s="141"/>
      <c r="J145" s="141"/>
      <c r="K145" s="141">
        <f t="shared" ref="K145" si="206">F145+I145</f>
        <v>8308.57</v>
      </c>
      <c r="L145" s="141">
        <f t="shared" ref="L145" si="207">G145+J145</f>
        <v>9970.2800000000007</v>
      </c>
      <c r="M145" s="63"/>
    </row>
    <row r="146" spans="1:13" ht="21" customHeight="1">
      <c r="A146" s="84">
        <f>A145+1</f>
        <v>68</v>
      </c>
      <c r="B146" s="113" t="s">
        <v>212</v>
      </c>
      <c r="C146" s="114" t="s">
        <v>38</v>
      </c>
      <c r="D146" s="97">
        <v>1</v>
      </c>
      <c r="E146" s="141">
        <f>2170.75*0.7</f>
        <v>1519.5249999999999</v>
      </c>
      <c r="F146" s="141">
        <f>ROUND(E146*1,2)</f>
        <v>1519.53</v>
      </c>
      <c r="G146" s="141">
        <f t="shared" ref="G146:G147" si="208">ROUND(F146*1.2,2)</f>
        <v>1823.44</v>
      </c>
      <c r="H146" s="141"/>
      <c r="I146" s="141"/>
      <c r="J146" s="141"/>
      <c r="K146" s="141">
        <f t="shared" ref="K146:K147" si="209">F146+I146</f>
        <v>1519.53</v>
      </c>
      <c r="L146" s="141">
        <f t="shared" ref="L146:L147" si="210">G146+J146</f>
        <v>1823.44</v>
      </c>
      <c r="M146" s="63"/>
    </row>
    <row r="147" spans="1:13" ht="21" customHeight="1">
      <c r="A147" s="84">
        <f>A146+1</f>
        <v>69</v>
      </c>
      <c r="B147" s="113" t="s">
        <v>213</v>
      </c>
      <c r="C147" s="114" t="s">
        <v>15</v>
      </c>
      <c r="D147" s="97">
        <v>8</v>
      </c>
      <c r="E147" s="141">
        <f>1853.74*0.5</f>
        <v>926.87</v>
      </c>
      <c r="F147" s="141">
        <f>ROUND(E147*1,2)</f>
        <v>926.87</v>
      </c>
      <c r="G147" s="141">
        <f t="shared" si="208"/>
        <v>1112.24</v>
      </c>
      <c r="H147" s="141"/>
      <c r="I147" s="141"/>
      <c r="J147" s="141"/>
      <c r="K147" s="141">
        <f t="shared" si="209"/>
        <v>926.87</v>
      </c>
      <c r="L147" s="141">
        <f t="shared" si="210"/>
        <v>1112.24</v>
      </c>
      <c r="M147" s="63"/>
    </row>
    <row r="148" spans="1:13" ht="21.75" customHeight="1">
      <c r="A148" s="144"/>
      <c r="B148" s="145" t="s">
        <v>214</v>
      </c>
      <c r="C148" s="146"/>
      <c r="D148" s="147"/>
      <c r="E148" s="148"/>
      <c r="F148" s="149"/>
      <c r="G148" s="149"/>
      <c r="H148" s="150"/>
      <c r="I148" s="149"/>
      <c r="J148" s="149"/>
      <c r="K148" s="148"/>
      <c r="L148" s="151"/>
    </row>
    <row r="149" spans="1:13" ht="21.75" customHeight="1">
      <c r="A149" s="11"/>
      <c r="B149" s="122" t="s">
        <v>222</v>
      </c>
      <c r="C149" s="84"/>
      <c r="D149" s="102"/>
      <c r="E149" s="18"/>
      <c r="F149" s="16"/>
      <c r="G149" s="16"/>
      <c r="H149" s="132"/>
      <c r="I149" s="16"/>
      <c r="J149" s="16"/>
      <c r="K149" s="18"/>
      <c r="L149" s="87"/>
      <c r="M149" s="63"/>
    </row>
    <row r="150" spans="1:13" ht="28.5" customHeight="1">
      <c r="A150" s="84">
        <f>A147+1</f>
        <v>70</v>
      </c>
      <c r="B150" s="113" t="s">
        <v>195</v>
      </c>
      <c r="C150" s="114" t="s">
        <v>13</v>
      </c>
      <c r="D150" s="134">
        <v>0.27</v>
      </c>
      <c r="E150" s="196">
        <f>14540/0.84*0.27</f>
        <v>4673.5714285714284</v>
      </c>
      <c r="F150" s="196">
        <f>ROUND(E150*1,2)</f>
        <v>4673.57</v>
      </c>
      <c r="G150" s="196">
        <f t="shared" ref="G150" si="211">ROUND(F150*1.2,2)</f>
        <v>5608.28</v>
      </c>
      <c r="H150" s="196"/>
      <c r="I150" s="196"/>
      <c r="J150" s="196"/>
      <c r="K150" s="196">
        <f t="shared" ref="K150" si="212">F150+I150</f>
        <v>4673.57</v>
      </c>
      <c r="L150" s="196">
        <f t="shared" ref="L150" si="213">G150+J150</f>
        <v>5608.28</v>
      </c>
      <c r="M150" s="63"/>
    </row>
    <row r="151" spans="1:13" ht="19.5" customHeight="1">
      <c r="A151" s="106" t="s">
        <v>265</v>
      </c>
      <c r="B151" s="113" t="s">
        <v>194</v>
      </c>
      <c r="C151" s="114" t="s">
        <v>38</v>
      </c>
      <c r="D151" s="85">
        <v>1</v>
      </c>
      <c r="E151" s="197"/>
      <c r="F151" s="197"/>
      <c r="G151" s="197"/>
      <c r="H151" s="197"/>
      <c r="I151" s="197"/>
      <c r="J151" s="197"/>
      <c r="K151" s="197"/>
      <c r="L151" s="197"/>
      <c r="M151" s="133"/>
    </row>
    <row r="152" spans="1:13" ht="18" customHeight="1">
      <c r="A152" s="36"/>
      <c r="B152" s="122" t="s">
        <v>223</v>
      </c>
      <c r="C152" s="36"/>
      <c r="D152" s="127"/>
      <c r="E152" s="25"/>
      <c r="F152" s="30"/>
      <c r="G152" s="30"/>
      <c r="H152" s="27"/>
      <c r="I152" s="30"/>
      <c r="J152" s="30"/>
      <c r="K152" s="31"/>
      <c r="L152" s="32"/>
    </row>
    <row r="153" spans="1:13" ht="30.75" customHeight="1">
      <c r="A153" s="84">
        <f>A150+1</f>
        <v>71</v>
      </c>
      <c r="B153" s="113" t="s">
        <v>198</v>
      </c>
      <c r="C153" s="84" t="s">
        <v>13</v>
      </c>
      <c r="D153" s="102">
        <f>0.27+0.1</f>
        <v>0.37</v>
      </c>
      <c r="E153" s="25">
        <v>17265.68</v>
      </c>
      <c r="F153" s="16">
        <f t="shared" ref="F153" si="214">ROUND(E153*D153,2)</f>
        <v>6388.3</v>
      </c>
      <c r="G153" s="16">
        <f t="shared" ref="G153" si="215">ROUND(F153*1.2,2)</f>
        <v>7665.96</v>
      </c>
      <c r="H153" s="132"/>
      <c r="I153" s="16"/>
      <c r="J153" s="16"/>
      <c r="K153" s="18">
        <f t="shared" ref="K153:K156" si="216">F153+I153</f>
        <v>6388.3</v>
      </c>
      <c r="L153" s="87">
        <f t="shared" ref="L153:L156" si="217">G153+J153</f>
        <v>7665.96</v>
      </c>
      <c r="M153" s="105"/>
    </row>
    <row r="154" spans="1:13" ht="18.75" customHeight="1">
      <c r="A154" s="106" t="s">
        <v>266</v>
      </c>
      <c r="B154" s="181" t="s">
        <v>201</v>
      </c>
      <c r="C154" s="107" t="s">
        <v>38</v>
      </c>
      <c r="D154" s="137">
        <v>1</v>
      </c>
      <c r="E154" s="28"/>
      <c r="F154" s="22"/>
      <c r="G154" s="22"/>
      <c r="H154" s="138">
        <v>7056</v>
      </c>
      <c r="I154" s="22">
        <f t="shared" ref="I154:I156" si="218">ROUND(H154*D154,2)</f>
        <v>7056</v>
      </c>
      <c r="J154" s="22">
        <f t="shared" ref="J154:J156" si="219">ROUND(I154*1.2,2)</f>
        <v>8467.2000000000007</v>
      </c>
      <c r="K154" s="23">
        <f t="shared" si="216"/>
        <v>7056</v>
      </c>
      <c r="L154" s="22">
        <f t="shared" si="217"/>
        <v>8467.2000000000007</v>
      </c>
      <c r="M154" s="37" t="s">
        <v>209</v>
      </c>
    </row>
    <row r="155" spans="1:13" ht="18.75" customHeight="1">
      <c r="A155" s="106" t="s">
        <v>267</v>
      </c>
      <c r="B155" s="181" t="s">
        <v>205</v>
      </c>
      <c r="C155" s="107" t="s">
        <v>38</v>
      </c>
      <c r="D155" s="137">
        <v>1</v>
      </c>
      <c r="E155" s="28"/>
      <c r="F155" s="22"/>
      <c r="G155" s="22"/>
      <c r="H155" s="138">
        <v>3136</v>
      </c>
      <c r="I155" s="22">
        <f t="shared" si="218"/>
        <v>3136</v>
      </c>
      <c r="J155" s="22">
        <f t="shared" si="219"/>
        <v>3763.2</v>
      </c>
      <c r="K155" s="23">
        <f t="shared" si="216"/>
        <v>3136</v>
      </c>
      <c r="L155" s="22">
        <f t="shared" si="217"/>
        <v>3763.2</v>
      </c>
      <c r="M155" s="37"/>
    </row>
    <row r="156" spans="1:13" ht="18.75" customHeight="1">
      <c r="A156" s="106" t="s">
        <v>268</v>
      </c>
      <c r="B156" s="181" t="s">
        <v>215</v>
      </c>
      <c r="C156" s="107" t="s">
        <v>38</v>
      </c>
      <c r="D156" s="137">
        <v>1</v>
      </c>
      <c r="E156" s="28"/>
      <c r="F156" s="22"/>
      <c r="G156" s="22"/>
      <c r="H156" s="138">
        <v>14421</v>
      </c>
      <c r="I156" s="22">
        <f t="shared" si="218"/>
        <v>14421</v>
      </c>
      <c r="J156" s="22">
        <f t="shared" si="219"/>
        <v>17305.2</v>
      </c>
      <c r="K156" s="23">
        <f t="shared" si="216"/>
        <v>14421</v>
      </c>
      <c r="L156" s="22">
        <f t="shared" si="217"/>
        <v>17305.2</v>
      </c>
      <c r="M156" s="37" t="s">
        <v>209</v>
      </c>
    </row>
    <row r="157" spans="1:13" ht="21.75" customHeight="1">
      <c r="A157" s="144"/>
      <c r="B157" s="145" t="s">
        <v>220</v>
      </c>
      <c r="C157" s="146"/>
      <c r="D157" s="147"/>
      <c r="E157" s="148"/>
      <c r="F157" s="149"/>
      <c r="G157" s="149"/>
      <c r="H157" s="150"/>
      <c r="I157" s="149"/>
      <c r="J157" s="149"/>
      <c r="K157" s="148"/>
      <c r="L157" s="151"/>
    </row>
    <row r="158" spans="1:13" ht="21.75" customHeight="1">
      <c r="A158" s="11"/>
      <c r="B158" s="122" t="s">
        <v>222</v>
      </c>
      <c r="C158" s="84"/>
      <c r="D158" s="102"/>
      <c r="E158" s="18"/>
      <c r="F158" s="16"/>
      <c r="G158" s="16"/>
      <c r="H158" s="132"/>
      <c r="I158" s="16"/>
      <c r="J158" s="16"/>
      <c r="K158" s="18"/>
      <c r="L158" s="87"/>
      <c r="M158" s="63"/>
    </row>
    <row r="159" spans="1:13" ht="18.75" customHeight="1">
      <c r="A159" s="84">
        <f>A153+1</f>
        <v>72</v>
      </c>
      <c r="B159" s="99" t="s">
        <v>221</v>
      </c>
      <c r="C159" s="84" t="s">
        <v>38</v>
      </c>
      <c r="D159" s="100">
        <v>1</v>
      </c>
      <c r="E159" s="15">
        <f>1974*0.7</f>
        <v>1381.8</v>
      </c>
      <c r="F159" s="87">
        <f>ROUND(E159*D159,2)</f>
        <v>1381.8</v>
      </c>
      <c r="G159" s="87">
        <f t="shared" ref="G159" si="220">ROUND(F159*1.2,2)</f>
        <v>1658.16</v>
      </c>
      <c r="H159" s="18"/>
      <c r="I159" s="87"/>
      <c r="J159" s="87"/>
      <c r="K159" s="18">
        <f t="shared" ref="K159" si="221">F159+I159</f>
        <v>1381.8</v>
      </c>
      <c r="L159" s="87">
        <f t="shared" ref="L159" si="222">G159+J159</f>
        <v>1658.16</v>
      </c>
    </row>
    <row r="160" spans="1:13" ht="18" customHeight="1">
      <c r="A160" s="36"/>
      <c r="B160" s="122" t="s">
        <v>223</v>
      </c>
      <c r="C160" s="36"/>
      <c r="D160" s="127"/>
      <c r="E160" s="25"/>
      <c r="F160" s="30"/>
      <c r="G160" s="30"/>
      <c r="H160" s="27"/>
      <c r="I160" s="30"/>
      <c r="J160" s="30"/>
      <c r="K160" s="31"/>
      <c r="L160" s="32"/>
    </row>
    <row r="161" spans="1:13" ht="30.75" customHeight="1">
      <c r="A161" s="84">
        <f>A159+1</f>
        <v>73</v>
      </c>
      <c r="B161" s="113" t="s">
        <v>198</v>
      </c>
      <c r="C161" s="84" t="s">
        <v>13</v>
      </c>
      <c r="D161" s="102">
        <f>0.05</f>
        <v>0.05</v>
      </c>
      <c r="E161" s="25">
        <v>17265.68</v>
      </c>
      <c r="F161" s="16">
        <f t="shared" ref="F161" si="223">ROUND(E161*D161,2)</f>
        <v>863.28</v>
      </c>
      <c r="G161" s="16">
        <f t="shared" ref="G161" si="224">ROUND(F161*1.2,2)</f>
        <v>1035.94</v>
      </c>
      <c r="H161" s="132"/>
      <c r="I161" s="16"/>
      <c r="J161" s="16"/>
      <c r="K161" s="18">
        <f t="shared" ref="K161:K163" si="225">F161+I161</f>
        <v>863.28</v>
      </c>
      <c r="L161" s="87">
        <f t="shared" ref="L161:L163" si="226">G161+J161</f>
        <v>1035.94</v>
      </c>
      <c r="M161" s="105"/>
    </row>
    <row r="162" spans="1:13" ht="18.75" customHeight="1">
      <c r="A162" s="106" t="s">
        <v>216</v>
      </c>
      <c r="B162" s="136" t="s">
        <v>224</v>
      </c>
      <c r="C162" s="107" t="s">
        <v>38</v>
      </c>
      <c r="D162" s="137">
        <v>1</v>
      </c>
      <c r="E162" s="28"/>
      <c r="F162" s="22"/>
      <c r="G162" s="22"/>
      <c r="H162" s="138">
        <v>1379.4</v>
      </c>
      <c r="I162" s="22">
        <f t="shared" ref="I162:I163" si="227">ROUND(H162*D162,2)</f>
        <v>1379.4</v>
      </c>
      <c r="J162" s="22">
        <f t="shared" ref="J162:J163" si="228">ROUND(I162*1.2,2)</f>
        <v>1655.28</v>
      </c>
      <c r="K162" s="23">
        <f t="shared" si="225"/>
        <v>1379.4</v>
      </c>
      <c r="L162" s="22">
        <f t="shared" si="226"/>
        <v>1655.28</v>
      </c>
      <c r="M162" s="37"/>
    </row>
    <row r="163" spans="1:13" ht="18.75" customHeight="1">
      <c r="A163" s="106" t="s">
        <v>217</v>
      </c>
      <c r="B163" s="181" t="s">
        <v>215</v>
      </c>
      <c r="C163" s="107" t="s">
        <v>38</v>
      </c>
      <c r="D163" s="137">
        <v>1</v>
      </c>
      <c r="E163" s="28"/>
      <c r="F163" s="22"/>
      <c r="G163" s="22"/>
      <c r="H163" s="138">
        <v>14421</v>
      </c>
      <c r="I163" s="22">
        <f t="shared" si="227"/>
        <v>14421</v>
      </c>
      <c r="J163" s="22">
        <f t="shared" si="228"/>
        <v>17305.2</v>
      </c>
      <c r="K163" s="23">
        <f t="shared" si="225"/>
        <v>14421</v>
      </c>
      <c r="L163" s="22">
        <f t="shared" si="226"/>
        <v>17305.2</v>
      </c>
      <c r="M163" s="37" t="s">
        <v>209</v>
      </c>
    </row>
    <row r="164" spans="1:13" ht="21.75" customHeight="1">
      <c r="A164" s="144"/>
      <c r="B164" s="145" t="s">
        <v>230</v>
      </c>
      <c r="C164" s="146"/>
      <c r="D164" s="147"/>
      <c r="E164" s="148"/>
      <c r="F164" s="149"/>
      <c r="G164" s="149"/>
      <c r="H164" s="150"/>
      <c r="I164" s="149"/>
      <c r="J164" s="149"/>
      <c r="K164" s="148"/>
      <c r="L164" s="151"/>
    </row>
    <row r="165" spans="1:13" ht="21.75" customHeight="1">
      <c r="A165" s="11"/>
      <c r="B165" s="122" t="s">
        <v>222</v>
      </c>
      <c r="C165" s="84"/>
      <c r="D165" s="102"/>
      <c r="E165" s="18"/>
      <c r="F165" s="16"/>
      <c r="G165" s="16"/>
      <c r="H165" s="132"/>
      <c r="I165" s="16"/>
      <c r="J165" s="16"/>
      <c r="K165" s="18"/>
      <c r="L165" s="87"/>
      <c r="M165" s="63"/>
    </row>
    <row r="166" spans="1:13" ht="28.5" customHeight="1">
      <c r="A166" s="84">
        <f>A161+1</f>
        <v>74</v>
      </c>
      <c r="B166" s="113" t="s">
        <v>195</v>
      </c>
      <c r="C166" s="114" t="s">
        <v>13</v>
      </c>
      <c r="D166" s="134">
        <v>0.52</v>
      </c>
      <c r="E166" s="196">
        <f>14540/0.84*0.52</f>
        <v>9000.9523809523816</v>
      </c>
      <c r="F166" s="196">
        <f>ROUND(E166*1,2)</f>
        <v>9000.9500000000007</v>
      </c>
      <c r="G166" s="196">
        <f t="shared" ref="G166" si="229">ROUND(F166*1.2,2)</f>
        <v>10801.14</v>
      </c>
      <c r="H166" s="196"/>
      <c r="I166" s="196"/>
      <c r="J166" s="196"/>
      <c r="K166" s="196">
        <f t="shared" ref="K166" si="230">F166+I166</f>
        <v>9000.9500000000007</v>
      </c>
      <c r="L166" s="196">
        <f t="shared" ref="L166" si="231">G166+J166</f>
        <v>10801.14</v>
      </c>
      <c r="M166" s="63"/>
    </row>
    <row r="167" spans="1:13" ht="19.5" customHeight="1">
      <c r="A167" s="106" t="s">
        <v>218</v>
      </c>
      <c r="B167" s="113" t="s">
        <v>194</v>
      </c>
      <c r="C167" s="114" t="s">
        <v>38</v>
      </c>
      <c r="D167" s="85">
        <v>1</v>
      </c>
      <c r="E167" s="198"/>
      <c r="F167" s="198"/>
      <c r="G167" s="198"/>
      <c r="H167" s="198"/>
      <c r="I167" s="198"/>
      <c r="J167" s="198"/>
      <c r="K167" s="198"/>
      <c r="L167" s="198"/>
      <c r="M167" s="133"/>
    </row>
    <row r="168" spans="1:13" ht="19.5" customHeight="1">
      <c r="A168" s="106"/>
      <c r="B168" s="122" t="s">
        <v>223</v>
      </c>
      <c r="C168" s="114"/>
      <c r="D168" s="85"/>
      <c r="E168" s="135"/>
      <c r="F168" s="135"/>
      <c r="G168" s="135"/>
      <c r="H168" s="135"/>
      <c r="I168" s="135"/>
      <c r="J168" s="135"/>
      <c r="K168" s="135"/>
      <c r="L168" s="135"/>
      <c r="M168" s="133"/>
    </row>
    <row r="169" spans="1:13" ht="30.75" customHeight="1">
      <c r="A169" s="84">
        <f>A166+1</f>
        <v>75</v>
      </c>
      <c r="B169" s="113" t="s">
        <v>198</v>
      </c>
      <c r="C169" s="84" t="s">
        <v>13</v>
      </c>
      <c r="D169" s="102">
        <f>0.52+0.05</f>
        <v>0.57000000000000006</v>
      </c>
      <c r="E169" s="25">
        <v>17265.68</v>
      </c>
      <c r="F169" s="16">
        <f t="shared" ref="F169" si="232">ROUND(E169*D169,2)</f>
        <v>9841.44</v>
      </c>
      <c r="G169" s="16">
        <f t="shared" ref="G169" si="233">ROUND(F169*1.2,2)</f>
        <v>11809.73</v>
      </c>
      <c r="H169" s="132"/>
      <c r="I169" s="16"/>
      <c r="J169" s="16"/>
      <c r="K169" s="18">
        <f t="shared" ref="K169:K172" si="234">F169+I169</f>
        <v>9841.44</v>
      </c>
      <c r="L169" s="87">
        <f t="shared" ref="L169:L172" si="235">G169+J169</f>
        <v>11809.73</v>
      </c>
      <c r="M169" s="105"/>
    </row>
    <row r="170" spans="1:13" ht="18.75" customHeight="1">
      <c r="A170" s="106" t="s">
        <v>219</v>
      </c>
      <c r="B170" s="181" t="s">
        <v>231</v>
      </c>
      <c r="C170" s="107" t="s">
        <v>38</v>
      </c>
      <c r="D170" s="137">
        <v>1</v>
      </c>
      <c r="E170" s="28"/>
      <c r="F170" s="22"/>
      <c r="G170" s="22"/>
      <c r="H170" s="138">
        <v>11691.67</v>
      </c>
      <c r="I170" s="22">
        <f t="shared" ref="I170:I172" si="236">ROUND(H170*D170,2)</f>
        <v>11691.67</v>
      </c>
      <c r="J170" s="22">
        <f t="shared" ref="J170:J172" si="237">ROUND(I170*1.2,2)</f>
        <v>14030</v>
      </c>
      <c r="K170" s="23">
        <f t="shared" si="234"/>
        <v>11691.67</v>
      </c>
      <c r="L170" s="22">
        <f t="shared" si="235"/>
        <v>14030</v>
      </c>
      <c r="M170" s="37" t="s">
        <v>209</v>
      </c>
    </row>
    <row r="171" spans="1:13" ht="18.75" customHeight="1">
      <c r="A171" s="106" t="s">
        <v>269</v>
      </c>
      <c r="B171" s="181" t="s">
        <v>232</v>
      </c>
      <c r="C171" s="107" t="s">
        <v>38</v>
      </c>
      <c r="D171" s="137">
        <v>1</v>
      </c>
      <c r="E171" s="28"/>
      <c r="F171" s="22"/>
      <c r="G171" s="22"/>
      <c r="H171" s="138">
        <v>1379.4</v>
      </c>
      <c r="I171" s="22">
        <f t="shared" si="236"/>
        <v>1379.4</v>
      </c>
      <c r="J171" s="22">
        <f t="shared" si="237"/>
        <v>1655.28</v>
      </c>
      <c r="K171" s="23">
        <f t="shared" si="234"/>
        <v>1379.4</v>
      </c>
      <c r="L171" s="22">
        <f t="shared" si="235"/>
        <v>1655.28</v>
      </c>
      <c r="M171" s="37" t="s">
        <v>243</v>
      </c>
    </row>
    <row r="172" spans="1:13" ht="18.75" customHeight="1">
      <c r="A172" s="106" t="s">
        <v>270</v>
      </c>
      <c r="B172" s="181" t="s">
        <v>215</v>
      </c>
      <c r="C172" s="107" t="s">
        <v>38</v>
      </c>
      <c r="D172" s="137">
        <v>1</v>
      </c>
      <c r="E172" s="28"/>
      <c r="F172" s="22"/>
      <c r="G172" s="22"/>
      <c r="H172" s="138">
        <v>14421</v>
      </c>
      <c r="I172" s="22">
        <f t="shared" si="236"/>
        <v>14421</v>
      </c>
      <c r="J172" s="22">
        <f t="shared" si="237"/>
        <v>17305.2</v>
      </c>
      <c r="K172" s="23">
        <f t="shared" si="234"/>
        <v>14421</v>
      </c>
      <c r="L172" s="22">
        <f t="shared" si="235"/>
        <v>17305.2</v>
      </c>
      <c r="M172" s="37" t="s">
        <v>209</v>
      </c>
    </row>
    <row r="173" spans="1:13" ht="21.75" customHeight="1">
      <c r="A173" s="144"/>
      <c r="B173" s="145" t="s">
        <v>236</v>
      </c>
      <c r="C173" s="146"/>
      <c r="D173" s="147"/>
      <c r="E173" s="148"/>
      <c r="F173" s="149"/>
      <c r="G173" s="149"/>
      <c r="H173" s="150"/>
      <c r="I173" s="149"/>
      <c r="J173" s="149"/>
      <c r="K173" s="148"/>
      <c r="L173" s="151"/>
    </row>
    <row r="174" spans="1:13" ht="21.75" customHeight="1">
      <c r="A174" s="11"/>
      <c r="B174" s="122" t="s">
        <v>222</v>
      </c>
      <c r="C174" s="84"/>
      <c r="D174" s="102"/>
      <c r="E174" s="18"/>
      <c r="F174" s="16"/>
      <c r="G174" s="16"/>
      <c r="H174" s="132"/>
      <c r="I174" s="16"/>
      <c r="J174" s="16"/>
      <c r="K174" s="18"/>
      <c r="L174" s="87"/>
      <c r="M174" s="63"/>
    </row>
    <row r="175" spans="1:13" ht="18.75" customHeight="1">
      <c r="A175" s="84">
        <f>A169+1</f>
        <v>76</v>
      </c>
      <c r="B175" s="99" t="s">
        <v>221</v>
      </c>
      <c r="C175" s="84" t="s">
        <v>38</v>
      </c>
      <c r="D175" s="100">
        <v>1</v>
      </c>
      <c r="E175" s="15">
        <f>1974*0.7</f>
        <v>1381.8</v>
      </c>
      <c r="F175" s="87">
        <f>ROUND(E175*D175,2)</f>
        <v>1381.8</v>
      </c>
      <c r="G175" s="87">
        <f t="shared" ref="G175" si="238">ROUND(F175*1.2,2)</f>
        <v>1658.16</v>
      </c>
      <c r="H175" s="18"/>
      <c r="I175" s="87"/>
      <c r="J175" s="87"/>
      <c r="K175" s="18">
        <f t="shared" ref="K175" si="239">F175+I175</f>
        <v>1381.8</v>
      </c>
      <c r="L175" s="87">
        <f t="shared" ref="L175" si="240">G175+J175</f>
        <v>1658.16</v>
      </c>
    </row>
    <row r="176" spans="1:13" ht="18" customHeight="1">
      <c r="A176" s="36"/>
      <c r="B176" s="122" t="s">
        <v>223</v>
      </c>
      <c r="C176" s="36"/>
      <c r="D176" s="127"/>
      <c r="E176" s="25"/>
      <c r="F176" s="30"/>
      <c r="G176" s="30"/>
      <c r="H176" s="27"/>
      <c r="I176" s="30"/>
      <c r="J176" s="30"/>
      <c r="K176" s="31"/>
      <c r="L176" s="32"/>
    </row>
    <row r="177" spans="1:13" ht="30.75" customHeight="1">
      <c r="A177" s="84">
        <f>A175+1</f>
        <v>77</v>
      </c>
      <c r="B177" s="113" t="s">
        <v>198</v>
      </c>
      <c r="C177" s="84" t="s">
        <v>13</v>
      </c>
      <c r="D177" s="102">
        <f>0.1+0.08</f>
        <v>0.18</v>
      </c>
      <c r="E177" s="25">
        <v>17265.68</v>
      </c>
      <c r="F177" s="16">
        <f t="shared" ref="F177" si="241">ROUND(E177*D177,2)</f>
        <v>3107.82</v>
      </c>
      <c r="G177" s="16">
        <f t="shared" ref="G177" si="242">ROUND(F177*1.2,2)</f>
        <v>3729.38</v>
      </c>
      <c r="H177" s="132"/>
      <c r="I177" s="16"/>
      <c r="J177" s="16"/>
      <c r="K177" s="18">
        <f t="shared" ref="K177:K180" si="243">F177+I177</f>
        <v>3107.82</v>
      </c>
      <c r="L177" s="87">
        <f t="shared" ref="L177:L180" si="244">G177+J177</f>
        <v>3729.38</v>
      </c>
      <c r="M177" s="105"/>
    </row>
    <row r="178" spans="1:13" ht="18.75" customHeight="1">
      <c r="A178" s="106" t="s">
        <v>227</v>
      </c>
      <c r="B178" s="136" t="s">
        <v>238</v>
      </c>
      <c r="C178" s="107" t="s">
        <v>38</v>
      </c>
      <c r="D178" s="137">
        <v>1</v>
      </c>
      <c r="E178" s="28"/>
      <c r="F178" s="22"/>
      <c r="G178" s="22"/>
      <c r="H178" s="138">
        <v>4025</v>
      </c>
      <c r="I178" s="22">
        <f t="shared" ref="I178" si="245">ROUND(H178*D178,2)</f>
        <v>4025</v>
      </c>
      <c r="J178" s="22">
        <f t="shared" ref="J178" si="246">ROUND(I178*1.2,2)</f>
        <v>4830</v>
      </c>
      <c r="K178" s="23">
        <f t="shared" ref="K178" si="247">F178+I178</f>
        <v>4025</v>
      </c>
      <c r="L178" s="22">
        <f t="shared" ref="L178" si="248">G178+J178</f>
        <v>4830</v>
      </c>
      <c r="M178" s="37"/>
    </row>
    <row r="179" spans="1:13" ht="18.75" customHeight="1">
      <c r="A179" s="106" t="s">
        <v>225</v>
      </c>
      <c r="B179" s="136" t="s">
        <v>237</v>
      </c>
      <c r="C179" s="107" t="s">
        <v>38</v>
      </c>
      <c r="D179" s="137">
        <v>1</v>
      </c>
      <c r="E179" s="28"/>
      <c r="F179" s="22"/>
      <c r="G179" s="22"/>
      <c r="H179" s="138">
        <v>3099.25</v>
      </c>
      <c r="I179" s="22">
        <f t="shared" ref="I179:I180" si="249">ROUND(H179*D179,2)</f>
        <v>3099.25</v>
      </c>
      <c r="J179" s="22">
        <f t="shared" ref="J179:J180" si="250">ROUND(I179*1.2,2)</f>
        <v>3719.1</v>
      </c>
      <c r="K179" s="23">
        <f t="shared" si="243"/>
        <v>3099.25</v>
      </c>
      <c r="L179" s="22">
        <f t="shared" si="244"/>
        <v>3719.1</v>
      </c>
      <c r="M179" s="37"/>
    </row>
    <row r="180" spans="1:13" ht="18.75" customHeight="1">
      <c r="A180" s="106" t="s">
        <v>226</v>
      </c>
      <c r="B180" s="181" t="s">
        <v>215</v>
      </c>
      <c r="C180" s="107" t="s">
        <v>38</v>
      </c>
      <c r="D180" s="137">
        <v>1</v>
      </c>
      <c r="E180" s="28"/>
      <c r="F180" s="22"/>
      <c r="G180" s="22"/>
      <c r="H180" s="138">
        <v>14421</v>
      </c>
      <c r="I180" s="22">
        <f t="shared" si="249"/>
        <v>14421</v>
      </c>
      <c r="J180" s="22">
        <f t="shared" si="250"/>
        <v>17305.2</v>
      </c>
      <c r="K180" s="23">
        <f t="shared" si="243"/>
        <v>14421</v>
      </c>
      <c r="L180" s="22">
        <f t="shared" si="244"/>
        <v>17305.2</v>
      </c>
      <c r="M180" s="37" t="s">
        <v>209</v>
      </c>
    </row>
    <row r="181" spans="1:13" ht="21.75" customHeight="1">
      <c r="A181" s="144"/>
      <c r="B181" s="145" t="s">
        <v>230</v>
      </c>
      <c r="C181" s="146"/>
      <c r="D181" s="147"/>
      <c r="E181" s="148"/>
      <c r="F181" s="149"/>
      <c r="G181" s="149"/>
      <c r="H181" s="150"/>
      <c r="I181" s="149"/>
      <c r="J181" s="149"/>
      <c r="K181" s="148"/>
      <c r="L181" s="151"/>
    </row>
    <row r="182" spans="1:13" ht="21.75" customHeight="1">
      <c r="A182" s="11"/>
      <c r="B182" s="122" t="s">
        <v>222</v>
      </c>
      <c r="C182" s="84"/>
      <c r="D182" s="102"/>
      <c r="E182" s="18"/>
      <c r="F182" s="16"/>
      <c r="G182" s="16"/>
      <c r="H182" s="132"/>
      <c r="I182" s="16"/>
      <c r="J182" s="16"/>
      <c r="K182" s="18"/>
      <c r="L182" s="87"/>
      <c r="M182" s="63"/>
    </row>
    <row r="183" spans="1:13" ht="28.5" customHeight="1">
      <c r="A183" s="84">
        <f>A177+1</f>
        <v>78</v>
      </c>
      <c r="B183" s="113" t="s">
        <v>195</v>
      </c>
      <c r="C183" s="114" t="s">
        <v>13</v>
      </c>
      <c r="D183" s="134">
        <v>0.1</v>
      </c>
      <c r="E183" s="196">
        <f>14540/0.84*0.1</f>
        <v>1730.952380952381</v>
      </c>
      <c r="F183" s="196">
        <f>ROUND(E183*1,2)</f>
        <v>1730.95</v>
      </c>
      <c r="G183" s="196">
        <f t="shared" ref="G183" si="251">ROUND(F183*1.2,2)</f>
        <v>2077.14</v>
      </c>
      <c r="H183" s="196"/>
      <c r="I183" s="196"/>
      <c r="J183" s="196"/>
      <c r="K183" s="196">
        <f t="shared" ref="K183" si="252">F183+I183</f>
        <v>1730.95</v>
      </c>
      <c r="L183" s="196">
        <f t="shared" ref="L183" si="253">G183+J183</f>
        <v>2077.14</v>
      </c>
      <c r="M183" s="63"/>
    </row>
    <row r="184" spans="1:13" ht="19.5" customHeight="1">
      <c r="A184" s="106" t="s">
        <v>228</v>
      </c>
      <c r="B184" s="113" t="s">
        <v>194</v>
      </c>
      <c r="C184" s="114" t="s">
        <v>38</v>
      </c>
      <c r="D184" s="85">
        <v>1</v>
      </c>
      <c r="E184" s="198"/>
      <c r="F184" s="198"/>
      <c r="G184" s="198"/>
      <c r="H184" s="198"/>
      <c r="I184" s="198"/>
      <c r="J184" s="198"/>
      <c r="K184" s="198"/>
      <c r="L184" s="198"/>
      <c r="M184" s="133"/>
    </row>
    <row r="185" spans="1:13" ht="19.5" customHeight="1">
      <c r="A185" s="106"/>
      <c r="B185" s="122" t="s">
        <v>223</v>
      </c>
      <c r="C185" s="114"/>
      <c r="D185" s="85"/>
      <c r="E185" s="135"/>
      <c r="F185" s="135"/>
      <c r="G185" s="135"/>
      <c r="H185" s="135"/>
      <c r="I185" s="135"/>
      <c r="J185" s="135"/>
      <c r="K185" s="135"/>
      <c r="L185" s="135"/>
      <c r="M185" s="133"/>
    </row>
    <row r="186" spans="1:13" ht="30.75" customHeight="1">
      <c r="A186" s="84">
        <f>A183+1</f>
        <v>79</v>
      </c>
      <c r="B186" s="113" t="s">
        <v>198</v>
      </c>
      <c r="C186" s="84" t="s">
        <v>13</v>
      </c>
      <c r="D186" s="102">
        <f>0.1+0.02</f>
        <v>0.12000000000000001</v>
      </c>
      <c r="E186" s="25">
        <v>17265.68</v>
      </c>
      <c r="F186" s="16">
        <f t="shared" ref="F186" si="254">ROUND(E186*D186,2)</f>
        <v>2071.88</v>
      </c>
      <c r="G186" s="16">
        <f t="shared" ref="G186" si="255">ROUND(F186*1.2,2)</f>
        <v>2486.2600000000002</v>
      </c>
      <c r="H186" s="132"/>
      <c r="I186" s="16"/>
      <c r="J186" s="16"/>
      <c r="K186" s="18">
        <f t="shared" ref="K186:K189" si="256">F186+I186</f>
        <v>2071.88</v>
      </c>
      <c r="L186" s="87">
        <f t="shared" ref="L186:L189" si="257">G186+J186</f>
        <v>2486.2600000000002</v>
      </c>
      <c r="M186" s="105"/>
    </row>
    <row r="187" spans="1:13" ht="18.75" customHeight="1">
      <c r="A187" s="106" t="s">
        <v>229</v>
      </c>
      <c r="B187" s="181" t="s">
        <v>238</v>
      </c>
      <c r="C187" s="107" t="s">
        <v>38</v>
      </c>
      <c r="D187" s="137">
        <v>1</v>
      </c>
      <c r="E187" s="28"/>
      <c r="F187" s="22"/>
      <c r="G187" s="22"/>
      <c r="H187" s="138">
        <v>4025</v>
      </c>
      <c r="I187" s="22">
        <f t="shared" ref="I187:I189" si="258">ROUND(H187*D187,2)</f>
        <v>4025</v>
      </c>
      <c r="J187" s="22">
        <f t="shared" ref="J187:J189" si="259">ROUND(I187*1.2,2)</f>
        <v>4830</v>
      </c>
      <c r="K187" s="23">
        <f t="shared" si="256"/>
        <v>4025</v>
      </c>
      <c r="L187" s="22">
        <f t="shared" si="257"/>
        <v>4830</v>
      </c>
      <c r="M187" s="37" t="s">
        <v>209</v>
      </c>
    </row>
    <row r="188" spans="1:13" ht="18.75" customHeight="1">
      <c r="A188" s="106" t="s">
        <v>271</v>
      </c>
      <c r="B188" s="181" t="s">
        <v>242</v>
      </c>
      <c r="C188" s="107" t="s">
        <v>38</v>
      </c>
      <c r="D188" s="137">
        <v>1</v>
      </c>
      <c r="E188" s="28"/>
      <c r="F188" s="22"/>
      <c r="G188" s="22"/>
      <c r="H188" s="138">
        <v>3332</v>
      </c>
      <c r="I188" s="22">
        <f t="shared" si="258"/>
        <v>3332</v>
      </c>
      <c r="J188" s="22">
        <f t="shared" si="259"/>
        <v>3998.4</v>
      </c>
      <c r="K188" s="23">
        <f t="shared" si="256"/>
        <v>3332</v>
      </c>
      <c r="L188" s="22">
        <f t="shared" si="257"/>
        <v>3998.4</v>
      </c>
      <c r="M188" s="37" t="s">
        <v>243</v>
      </c>
    </row>
    <row r="189" spans="1:13" ht="18.75" customHeight="1">
      <c r="A189" s="106" t="s">
        <v>272</v>
      </c>
      <c r="B189" s="181" t="s">
        <v>215</v>
      </c>
      <c r="C189" s="107" t="s">
        <v>38</v>
      </c>
      <c r="D189" s="137">
        <v>1</v>
      </c>
      <c r="E189" s="28"/>
      <c r="F189" s="22"/>
      <c r="G189" s="22"/>
      <c r="H189" s="138">
        <v>14421</v>
      </c>
      <c r="I189" s="22">
        <f t="shared" si="258"/>
        <v>14421</v>
      </c>
      <c r="J189" s="22">
        <f t="shared" si="259"/>
        <v>17305.2</v>
      </c>
      <c r="K189" s="23">
        <f t="shared" si="256"/>
        <v>14421</v>
      </c>
      <c r="L189" s="22">
        <f t="shared" si="257"/>
        <v>17305.2</v>
      </c>
      <c r="M189" s="37" t="s">
        <v>209</v>
      </c>
    </row>
    <row r="190" spans="1:13" ht="21.75" customHeight="1">
      <c r="A190" s="144"/>
      <c r="B190" s="145" t="s">
        <v>244</v>
      </c>
      <c r="C190" s="146"/>
      <c r="D190" s="147"/>
      <c r="E190" s="148"/>
      <c r="F190" s="149"/>
      <c r="G190" s="149"/>
      <c r="H190" s="150"/>
      <c r="I190" s="149"/>
      <c r="J190" s="149"/>
      <c r="K190" s="148"/>
      <c r="L190" s="151"/>
    </row>
    <row r="191" spans="1:13" ht="21.75" customHeight="1">
      <c r="A191" s="11"/>
      <c r="B191" s="122" t="s">
        <v>222</v>
      </c>
      <c r="C191" s="84"/>
      <c r="D191" s="102"/>
      <c r="E191" s="18"/>
      <c r="F191" s="16"/>
      <c r="G191" s="16"/>
      <c r="H191" s="132"/>
      <c r="I191" s="16"/>
      <c r="J191" s="16"/>
      <c r="K191" s="18"/>
      <c r="L191" s="87"/>
      <c r="M191" s="63"/>
    </row>
    <row r="192" spans="1:13" ht="18.75" customHeight="1">
      <c r="A192" s="84">
        <f>A186+1</f>
        <v>80</v>
      </c>
      <c r="B192" s="99" t="s">
        <v>221</v>
      </c>
      <c r="C192" s="84" t="s">
        <v>38</v>
      </c>
      <c r="D192" s="100">
        <v>1</v>
      </c>
      <c r="E192" s="15">
        <f>1974*0.7</f>
        <v>1381.8</v>
      </c>
      <c r="F192" s="87">
        <f>ROUND(E192*D192,2)</f>
        <v>1381.8</v>
      </c>
      <c r="G192" s="87">
        <f t="shared" ref="G192" si="260">ROUND(F192*1.2,2)</f>
        <v>1658.16</v>
      </c>
      <c r="H192" s="18"/>
      <c r="I192" s="87"/>
      <c r="J192" s="87"/>
      <c r="K192" s="18">
        <f t="shared" ref="K192" si="261">F192+I192</f>
        <v>1381.8</v>
      </c>
      <c r="L192" s="87">
        <f t="shared" ref="L192" si="262">G192+J192</f>
        <v>1658.16</v>
      </c>
    </row>
    <row r="193" spans="1:13" ht="19.5" customHeight="1">
      <c r="A193" s="106"/>
      <c r="B193" s="122" t="s">
        <v>223</v>
      </c>
      <c r="C193" s="114"/>
      <c r="D193" s="85"/>
      <c r="E193" s="135"/>
      <c r="F193" s="135"/>
      <c r="G193" s="135"/>
      <c r="H193" s="135"/>
      <c r="I193" s="135"/>
      <c r="J193" s="135"/>
      <c r="K193" s="135"/>
      <c r="L193" s="135"/>
      <c r="M193" s="133"/>
    </row>
    <row r="194" spans="1:13" ht="30.75" customHeight="1">
      <c r="A194" s="84">
        <f>A192+1</f>
        <v>81</v>
      </c>
      <c r="B194" s="113" t="s">
        <v>198</v>
      </c>
      <c r="C194" s="84" t="s">
        <v>13</v>
      </c>
      <c r="D194" s="102">
        <f>0.18</f>
        <v>0.18</v>
      </c>
      <c r="E194" s="25">
        <v>17265.68</v>
      </c>
      <c r="F194" s="16">
        <f t="shared" ref="F194" si="263">ROUND(E194*D194,2)</f>
        <v>3107.82</v>
      </c>
      <c r="G194" s="16">
        <f t="shared" ref="G194" si="264">ROUND(F194*1.2,2)</f>
        <v>3729.38</v>
      </c>
      <c r="H194" s="132"/>
      <c r="I194" s="16"/>
      <c r="J194" s="16"/>
      <c r="K194" s="18">
        <f t="shared" ref="K194:L195" si="265">F194+I194</f>
        <v>3107.82</v>
      </c>
      <c r="L194" s="87">
        <f t="shared" ref="L194" si="266">G194+J194</f>
        <v>3729.38</v>
      </c>
      <c r="M194" s="105"/>
    </row>
    <row r="195" spans="1:13" ht="18.75" customHeight="1">
      <c r="A195" s="106" t="s">
        <v>233</v>
      </c>
      <c r="B195" s="136" t="s">
        <v>249</v>
      </c>
      <c r="C195" s="107" t="s">
        <v>38</v>
      </c>
      <c r="D195" s="137">
        <v>1</v>
      </c>
      <c r="E195" s="21"/>
      <c r="F195" s="22"/>
      <c r="G195" s="22"/>
      <c r="H195" s="138">
        <v>5079.17</v>
      </c>
      <c r="I195" s="22">
        <f t="shared" ref="I195" si="267">ROUND(H195*D195,2)</f>
        <v>5079.17</v>
      </c>
      <c r="J195" s="22">
        <f t="shared" ref="J195" si="268">ROUND(I195*1.2,2)</f>
        <v>6095</v>
      </c>
      <c r="K195" s="23">
        <f t="shared" si="265"/>
        <v>5079.17</v>
      </c>
      <c r="L195" s="22">
        <f t="shared" si="265"/>
        <v>6095</v>
      </c>
      <c r="M195" s="37"/>
    </row>
    <row r="196" spans="1:13" ht="21.75" customHeight="1">
      <c r="A196" s="144"/>
      <c r="B196" s="145" t="s">
        <v>252</v>
      </c>
      <c r="C196" s="146"/>
      <c r="D196" s="147"/>
      <c r="E196" s="148"/>
      <c r="F196" s="149"/>
      <c r="G196" s="149"/>
      <c r="H196" s="150"/>
      <c r="I196" s="149"/>
      <c r="J196" s="149"/>
      <c r="K196" s="148"/>
      <c r="L196" s="151"/>
    </row>
    <row r="197" spans="1:13" ht="21.75" customHeight="1">
      <c r="A197" s="11"/>
      <c r="B197" s="122" t="s">
        <v>222</v>
      </c>
      <c r="C197" s="84"/>
      <c r="D197" s="102"/>
      <c r="E197" s="18"/>
      <c r="F197" s="16"/>
      <c r="G197" s="16"/>
      <c r="H197" s="132"/>
      <c r="I197" s="16"/>
      <c r="J197" s="16"/>
      <c r="K197" s="18"/>
      <c r="L197" s="87"/>
      <c r="M197" s="63"/>
    </row>
    <row r="198" spans="1:13" ht="28.5" customHeight="1">
      <c r="A198" s="84">
        <f>A194+1</f>
        <v>82</v>
      </c>
      <c r="B198" s="113" t="s">
        <v>195</v>
      </c>
      <c r="C198" s="114" t="s">
        <v>13</v>
      </c>
      <c r="D198" s="134">
        <v>0.52</v>
      </c>
      <c r="E198" s="196">
        <f>14540/0.84*0.52</f>
        <v>9000.9523809523816</v>
      </c>
      <c r="F198" s="196">
        <f>ROUND(E198*1,2)</f>
        <v>9000.9500000000007</v>
      </c>
      <c r="G198" s="196">
        <f t="shared" ref="G198" si="269">ROUND(F198*1.2,2)</f>
        <v>10801.14</v>
      </c>
      <c r="H198" s="196"/>
      <c r="I198" s="196"/>
      <c r="J198" s="196"/>
      <c r="K198" s="196">
        <f t="shared" ref="K198" si="270">F198+I198</f>
        <v>9000.9500000000007</v>
      </c>
      <c r="L198" s="196">
        <f t="shared" ref="L198" si="271">G198+J198</f>
        <v>10801.14</v>
      </c>
      <c r="M198" s="63"/>
    </row>
    <row r="199" spans="1:13" ht="19.5" customHeight="1">
      <c r="A199" s="106" t="s">
        <v>234</v>
      </c>
      <c r="B199" s="113" t="s">
        <v>194</v>
      </c>
      <c r="C199" s="114" t="s">
        <v>38</v>
      </c>
      <c r="D199" s="85">
        <v>1</v>
      </c>
      <c r="E199" s="198"/>
      <c r="F199" s="198"/>
      <c r="G199" s="198"/>
      <c r="H199" s="198"/>
      <c r="I199" s="198"/>
      <c r="J199" s="198"/>
      <c r="K199" s="198"/>
      <c r="L199" s="198"/>
      <c r="M199" s="133"/>
    </row>
    <row r="200" spans="1:13" ht="19.5" customHeight="1">
      <c r="A200" s="106"/>
      <c r="B200" s="122" t="s">
        <v>223</v>
      </c>
      <c r="C200" s="114"/>
      <c r="D200" s="85"/>
      <c r="E200" s="135"/>
      <c r="F200" s="135"/>
      <c r="G200" s="135"/>
      <c r="H200" s="135"/>
      <c r="I200" s="135"/>
      <c r="J200" s="135"/>
      <c r="K200" s="135"/>
      <c r="L200" s="135"/>
      <c r="M200" s="133"/>
    </row>
    <row r="201" spans="1:13" ht="30.75" customHeight="1">
      <c r="A201" s="84">
        <f>A198+1</f>
        <v>83</v>
      </c>
      <c r="B201" s="113" t="s">
        <v>198</v>
      </c>
      <c r="C201" s="84" t="s">
        <v>13</v>
      </c>
      <c r="D201" s="102">
        <f>0.52+0.08</f>
        <v>0.6</v>
      </c>
      <c r="E201" s="25">
        <v>17265.68</v>
      </c>
      <c r="F201" s="16">
        <f t="shared" ref="F201" si="272">ROUND(E201*D201,2)</f>
        <v>10359.41</v>
      </c>
      <c r="G201" s="16">
        <f t="shared" ref="G201" si="273">ROUND(F201*1.2,2)</f>
        <v>12431.29</v>
      </c>
      <c r="H201" s="132"/>
      <c r="I201" s="16"/>
      <c r="J201" s="16"/>
      <c r="K201" s="18">
        <f t="shared" ref="K201:K204" si="274">F201+I201</f>
        <v>10359.41</v>
      </c>
      <c r="L201" s="87">
        <f t="shared" ref="L201:L204" si="275">G201+J201</f>
        <v>12431.29</v>
      </c>
      <c r="M201" s="105"/>
    </row>
    <row r="202" spans="1:13" ht="18.75" customHeight="1">
      <c r="A202" s="106" t="s">
        <v>235</v>
      </c>
      <c r="B202" s="181" t="s">
        <v>231</v>
      </c>
      <c r="C202" s="107" t="s">
        <v>38</v>
      </c>
      <c r="D202" s="137">
        <v>1</v>
      </c>
      <c r="E202" s="28"/>
      <c r="F202" s="22"/>
      <c r="G202" s="22"/>
      <c r="H202" s="138">
        <v>11691.67</v>
      </c>
      <c r="I202" s="22">
        <f t="shared" ref="I202:I204" si="276">ROUND(H202*D202,2)</f>
        <v>11691.67</v>
      </c>
      <c r="J202" s="22">
        <f t="shared" ref="J202:J204" si="277">ROUND(I202*1.2,2)</f>
        <v>14030</v>
      </c>
      <c r="K202" s="23">
        <f t="shared" si="274"/>
        <v>11691.67</v>
      </c>
      <c r="L202" s="22">
        <f t="shared" si="275"/>
        <v>14030</v>
      </c>
      <c r="M202" s="37" t="s">
        <v>209</v>
      </c>
    </row>
    <row r="203" spans="1:13" ht="18.75" customHeight="1">
      <c r="A203" s="106" t="s">
        <v>273</v>
      </c>
      <c r="B203" s="181" t="s">
        <v>237</v>
      </c>
      <c r="C203" s="107" t="s">
        <v>38</v>
      </c>
      <c r="D203" s="137">
        <v>1</v>
      </c>
      <c r="E203" s="28"/>
      <c r="F203" s="22"/>
      <c r="G203" s="22"/>
      <c r="H203" s="138">
        <v>3099.25</v>
      </c>
      <c r="I203" s="22">
        <f t="shared" si="276"/>
        <v>3099.25</v>
      </c>
      <c r="J203" s="22">
        <f t="shared" si="277"/>
        <v>3719.1</v>
      </c>
      <c r="K203" s="23">
        <f t="shared" si="274"/>
        <v>3099.25</v>
      </c>
      <c r="L203" s="22">
        <f t="shared" si="275"/>
        <v>3719.1</v>
      </c>
      <c r="M203" s="37"/>
    </row>
    <row r="204" spans="1:13" ht="18.75" customHeight="1">
      <c r="A204" s="106" t="s">
        <v>274</v>
      </c>
      <c r="B204" s="181" t="s">
        <v>215</v>
      </c>
      <c r="C204" s="107" t="s">
        <v>38</v>
      </c>
      <c r="D204" s="137">
        <v>1</v>
      </c>
      <c r="E204" s="28"/>
      <c r="F204" s="22"/>
      <c r="G204" s="22"/>
      <c r="H204" s="138">
        <v>14421</v>
      </c>
      <c r="I204" s="22">
        <f t="shared" si="276"/>
        <v>14421</v>
      </c>
      <c r="J204" s="22">
        <f t="shared" si="277"/>
        <v>17305.2</v>
      </c>
      <c r="K204" s="23">
        <f t="shared" si="274"/>
        <v>14421</v>
      </c>
      <c r="L204" s="22">
        <f t="shared" si="275"/>
        <v>17305.2</v>
      </c>
      <c r="M204" s="37" t="s">
        <v>209</v>
      </c>
    </row>
    <row r="205" spans="1:13" ht="21.75" customHeight="1">
      <c r="A205" s="144"/>
      <c r="B205" s="145" t="s">
        <v>255</v>
      </c>
      <c r="C205" s="146"/>
      <c r="D205" s="147"/>
      <c r="E205" s="148"/>
      <c r="F205" s="149"/>
      <c r="G205" s="149"/>
      <c r="H205" s="150"/>
      <c r="I205" s="149"/>
      <c r="J205" s="149"/>
      <c r="K205" s="148"/>
      <c r="L205" s="151"/>
    </row>
    <row r="206" spans="1:13" ht="21.75" customHeight="1">
      <c r="A206" s="11"/>
      <c r="B206" s="122" t="s">
        <v>222</v>
      </c>
      <c r="C206" s="84"/>
      <c r="D206" s="102"/>
      <c r="E206" s="18"/>
      <c r="F206" s="16"/>
      <c r="G206" s="16"/>
      <c r="H206" s="132"/>
      <c r="I206" s="16"/>
      <c r="J206" s="16"/>
      <c r="K206" s="18"/>
      <c r="L206" s="87"/>
      <c r="M206" s="63"/>
    </row>
    <row r="207" spans="1:13" ht="28.5" customHeight="1">
      <c r="A207" s="84">
        <f>A201+1</f>
        <v>84</v>
      </c>
      <c r="B207" s="113" t="s">
        <v>195</v>
      </c>
      <c r="C207" s="114" t="s">
        <v>13</v>
      </c>
      <c r="D207" s="134">
        <f>0.1+0.24</f>
        <v>0.33999999999999997</v>
      </c>
      <c r="E207" s="196">
        <f>14540/0.84*0.34</f>
        <v>5885.2380952380954</v>
      </c>
      <c r="F207" s="196">
        <f>ROUND(E207*1,2)</f>
        <v>5885.24</v>
      </c>
      <c r="G207" s="196">
        <f t="shared" ref="G207" si="278">ROUND(F207*1.2,2)</f>
        <v>7062.29</v>
      </c>
      <c r="H207" s="196"/>
      <c r="I207" s="196"/>
      <c r="J207" s="196"/>
      <c r="K207" s="196">
        <f t="shared" ref="K207" si="279">F207+I207</f>
        <v>5885.24</v>
      </c>
      <c r="L207" s="196">
        <f t="shared" ref="L207" si="280">G207+J207</f>
        <v>7062.29</v>
      </c>
      <c r="M207" s="63"/>
    </row>
    <row r="208" spans="1:13" ht="19.5" customHeight="1">
      <c r="A208" s="106" t="s">
        <v>275</v>
      </c>
      <c r="B208" s="113" t="s">
        <v>194</v>
      </c>
      <c r="C208" s="114" t="s">
        <v>38</v>
      </c>
      <c r="D208" s="85">
        <v>1</v>
      </c>
      <c r="E208" s="198"/>
      <c r="F208" s="198"/>
      <c r="G208" s="198"/>
      <c r="H208" s="198"/>
      <c r="I208" s="198"/>
      <c r="J208" s="198"/>
      <c r="K208" s="198"/>
      <c r="L208" s="198"/>
      <c r="M208" s="133"/>
    </row>
    <row r="209" spans="1:13" ht="19.5" customHeight="1">
      <c r="A209" s="106"/>
      <c r="B209" s="122" t="s">
        <v>223</v>
      </c>
      <c r="C209" s="114"/>
      <c r="D209" s="85"/>
      <c r="E209" s="135"/>
      <c r="F209" s="135"/>
      <c r="G209" s="135"/>
      <c r="H209" s="135"/>
      <c r="I209" s="135"/>
      <c r="J209" s="135"/>
      <c r="K209" s="135"/>
      <c r="L209" s="135"/>
      <c r="M209" s="133"/>
    </row>
    <row r="210" spans="1:13" ht="30.75" customHeight="1">
      <c r="A210" s="84">
        <f>A207+1</f>
        <v>85</v>
      </c>
      <c r="B210" s="113" t="s">
        <v>198</v>
      </c>
      <c r="C210" s="84" t="s">
        <v>13</v>
      </c>
      <c r="D210" s="102">
        <f>0.1+0.08</f>
        <v>0.18</v>
      </c>
      <c r="E210" s="25">
        <v>17265.68</v>
      </c>
      <c r="F210" s="16">
        <f t="shared" ref="F210" si="281">ROUND(E210*D210,2)</f>
        <v>3107.82</v>
      </c>
      <c r="G210" s="16">
        <f t="shared" ref="G210" si="282">ROUND(F210*1.2,2)</f>
        <v>3729.38</v>
      </c>
      <c r="H210" s="132"/>
      <c r="I210" s="16"/>
      <c r="J210" s="16"/>
      <c r="K210" s="18">
        <f t="shared" ref="K210:K213" si="283">F210+I210</f>
        <v>3107.82</v>
      </c>
      <c r="L210" s="87">
        <f t="shared" ref="L210:L213" si="284">G210+J210</f>
        <v>3729.38</v>
      </c>
      <c r="M210" s="105"/>
    </row>
    <row r="211" spans="1:13" ht="18.75" customHeight="1">
      <c r="A211" s="106" t="s">
        <v>239</v>
      </c>
      <c r="B211" s="181" t="s">
        <v>238</v>
      </c>
      <c r="C211" s="107" t="s">
        <v>38</v>
      </c>
      <c r="D211" s="137">
        <v>1</v>
      </c>
      <c r="E211" s="28"/>
      <c r="F211" s="22"/>
      <c r="G211" s="22"/>
      <c r="H211" s="138">
        <v>4025</v>
      </c>
      <c r="I211" s="22">
        <f t="shared" ref="I211:I213" si="285">ROUND(H211*D211,2)</f>
        <v>4025</v>
      </c>
      <c r="J211" s="22">
        <f t="shared" ref="J211:J213" si="286">ROUND(I211*1.2,2)</f>
        <v>4830</v>
      </c>
      <c r="K211" s="23">
        <f t="shared" si="283"/>
        <v>4025</v>
      </c>
      <c r="L211" s="22">
        <f t="shared" si="284"/>
        <v>4830</v>
      </c>
      <c r="M211" s="37" t="s">
        <v>209</v>
      </c>
    </row>
    <row r="212" spans="1:13" ht="18.75" customHeight="1">
      <c r="A212" s="106" t="s">
        <v>240</v>
      </c>
      <c r="B212" s="181" t="s">
        <v>237</v>
      </c>
      <c r="C212" s="107" t="s">
        <v>38</v>
      </c>
      <c r="D212" s="137">
        <v>1</v>
      </c>
      <c r="E212" s="28"/>
      <c r="F212" s="22"/>
      <c r="G212" s="22"/>
      <c r="H212" s="138">
        <v>3099.25</v>
      </c>
      <c r="I212" s="22">
        <f t="shared" si="285"/>
        <v>3099.25</v>
      </c>
      <c r="J212" s="22">
        <f t="shared" si="286"/>
        <v>3719.1</v>
      </c>
      <c r="K212" s="23">
        <f t="shared" si="283"/>
        <v>3099.25</v>
      </c>
      <c r="L212" s="22">
        <f t="shared" si="284"/>
        <v>3719.1</v>
      </c>
      <c r="M212" s="37"/>
    </row>
    <row r="213" spans="1:13" ht="18.75" customHeight="1">
      <c r="A213" s="106" t="s">
        <v>241</v>
      </c>
      <c r="B213" s="181" t="s">
        <v>215</v>
      </c>
      <c r="C213" s="107" t="s">
        <v>38</v>
      </c>
      <c r="D213" s="137">
        <v>1</v>
      </c>
      <c r="E213" s="28"/>
      <c r="F213" s="22"/>
      <c r="G213" s="22"/>
      <c r="H213" s="138">
        <v>14421</v>
      </c>
      <c r="I213" s="22">
        <f t="shared" si="285"/>
        <v>14421</v>
      </c>
      <c r="J213" s="22">
        <f t="shared" si="286"/>
        <v>17305.2</v>
      </c>
      <c r="K213" s="23">
        <f t="shared" si="283"/>
        <v>14421</v>
      </c>
      <c r="L213" s="22">
        <f t="shared" si="284"/>
        <v>17305.2</v>
      </c>
      <c r="M213" s="37" t="s">
        <v>209</v>
      </c>
    </row>
    <row r="214" spans="1:13" ht="21.75" customHeight="1">
      <c r="A214" s="144"/>
      <c r="B214" s="145" t="s">
        <v>257</v>
      </c>
      <c r="C214" s="146"/>
      <c r="D214" s="147"/>
      <c r="E214" s="148"/>
      <c r="F214" s="149"/>
      <c r="G214" s="149"/>
      <c r="H214" s="150"/>
      <c r="I214" s="149"/>
      <c r="J214" s="149"/>
      <c r="K214" s="148"/>
      <c r="L214" s="151"/>
    </row>
    <row r="215" spans="1:13" ht="21.75" customHeight="1">
      <c r="A215" s="11"/>
      <c r="B215" s="122" t="s">
        <v>222</v>
      </c>
      <c r="C215" s="84"/>
      <c r="D215" s="102"/>
      <c r="E215" s="18"/>
      <c r="F215" s="16"/>
      <c r="G215" s="16"/>
      <c r="H215" s="132"/>
      <c r="I215" s="16"/>
      <c r="J215" s="16"/>
      <c r="K215" s="18"/>
      <c r="L215" s="87"/>
      <c r="M215" s="63"/>
    </row>
    <row r="216" spans="1:13" ht="21" customHeight="1">
      <c r="A216" s="84">
        <f>A210+1</f>
        <v>86</v>
      </c>
      <c r="B216" s="113" t="s">
        <v>211</v>
      </c>
      <c r="C216" s="114" t="s">
        <v>13</v>
      </c>
      <c r="D216" s="134">
        <f>0.06+0.219+0.06+0.24+0.19</f>
        <v>0.76899999999999991</v>
      </c>
      <c r="E216" s="141">
        <f>14540/0.84*0.48</f>
        <v>8308.5714285714275</v>
      </c>
      <c r="F216" s="141">
        <f>ROUND(E216*1,2)</f>
        <v>8308.57</v>
      </c>
      <c r="G216" s="141">
        <f t="shared" ref="G216:G218" si="287">ROUND(F216*1.2,2)</f>
        <v>9970.2800000000007</v>
      </c>
      <c r="H216" s="141"/>
      <c r="I216" s="141"/>
      <c r="J216" s="141"/>
      <c r="K216" s="141">
        <f t="shared" ref="K216:K218" si="288">F216+I216</f>
        <v>8308.57</v>
      </c>
      <c r="L216" s="141">
        <f t="shared" ref="L216:L218" si="289">G216+J216</f>
        <v>9970.2800000000007</v>
      </c>
      <c r="M216" s="63"/>
    </row>
    <row r="217" spans="1:13" ht="21" customHeight="1">
      <c r="A217" s="84">
        <f>A216+1</f>
        <v>87</v>
      </c>
      <c r="B217" s="113" t="s">
        <v>212</v>
      </c>
      <c r="C217" s="114" t="s">
        <v>38</v>
      </c>
      <c r="D217" s="97">
        <v>2</v>
      </c>
      <c r="E217" s="141">
        <f>2170.75*0.7</f>
        <v>1519.5249999999999</v>
      </c>
      <c r="F217" s="141">
        <f>ROUND(E217*1,2)</f>
        <v>1519.53</v>
      </c>
      <c r="G217" s="141">
        <f t="shared" si="287"/>
        <v>1823.44</v>
      </c>
      <c r="H217" s="141"/>
      <c r="I217" s="141"/>
      <c r="J217" s="141"/>
      <c r="K217" s="141">
        <f t="shared" si="288"/>
        <v>1519.53</v>
      </c>
      <c r="L217" s="141">
        <f t="shared" si="289"/>
        <v>1823.44</v>
      </c>
      <c r="M217" s="63"/>
    </row>
    <row r="218" spans="1:13" ht="21" customHeight="1">
      <c r="A218" s="84">
        <f>A217+1</f>
        <v>88</v>
      </c>
      <c r="B218" s="113" t="s">
        <v>256</v>
      </c>
      <c r="C218" s="114" t="s">
        <v>15</v>
      </c>
      <c r="D218" s="134">
        <f>4.4+5.6</f>
        <v>10</v>
      </c>
      <c r="E218" s="141">
        <f>1149.5*0.7</f>
        <v>804.65</v>
      </c>
      <c r="F218" s="141">
        <f>ROUND(E218*1,2)</f>
        <v>804.65</v>
      </c>
      <c r="G218" s="141">
        <f t="shared" si="287"/>
        <v>965.58</v>
      </c>
      <c r="H218" s="141"/>
      <c r="I218" s="141"/>
      <c r="J218" s="141"/>
      <c r="K218" s="141">
        <f t="shared" si="288"/>
        <v>804.65</v>
      </c>
      <c r="L218" s="141">
        <f t="shared" si="289"/>
        <v>965.58</v>
      </c>
      <c r="M218" s="63"/>
    </row>
    <row r="219" spans="1:13" ht="21.75" customHeight="1">
      <c r="A219" s="144"/>
      <c r="B219" s="145" t="s">
        <v>258</v>
      </c>
      <c r="C219" s="146"/>
      <c r="D219" s="147"/>
      <c r="E219" s="148"/>
      <c r="F219" s="149"/>
      <c r="G219" s="149"/>
      <c r="H219" s="150"/>
      <c r="I219" s="149"/>
      <c r="J219" s="149"/>
      <c r="K219" s="148"/>
      <c r="L219" s="151"/>
    </row>
    <row r="220" spans="1:13" ht="19.5" customHeight="1">
      <c r="A220" s="106"/>
      <c r="B220" s="122" t="s">
        <v>223</v>
      </c>
      <c r="C220" s="114"/>
      <c r="D220" s="85"/>
      <c r="E220" s="135"/>
      <c r="F220" s="135"/>
      <c r="G220" s="135"/>
      <c r="H220" s="135"/>
      <c r="I220" s="135"/>
      <c r="J220" s="135"/>
      <c r="K220" s="135"/>
      <c r="L220" s="135"/>
      <c r="M220" s="133"/>
    </row>
    <row r="221" spans="1:13" ht="30.75" customHeight="1">
      <c r="A221" s="84">
        <f>A218+1</f>
        <v>89</v>
      </c>
      <c r="B221" s="113" t="s">
        <v>198</v>
      </c>
      <c r="C221" s="84" t="s">
        <v>13</v>
      </c>
      <c r="D221" s="102">
        <v>0.02</v>
      </c>
      <c r="E221" s="25">
        <v>17265.68</v>
      </c>
      <c r="F221" s="16">
        <f t="shared" ref="F221" si="290">ROUND(E221*D221,2)</f>
        <v>345.31</v>
      </c>
      <c r="G221" s="16">
        <f t="shared" ref="G221" si="291">ROUND(F221*1.2,2)</f>
        <v>414.37</v>
      </c>
      <c r="H221" s="132"/>
      <c r="I221" s="16"/>
      <c r="J221" s="16"/>
      <c r="K221" s="18">
        <f t="shared" ref="K221:K223" si="292">F221+I221</f>
        <v>345.31</v>
      </c>
      <c r="L221" s="87">
        <f t="shared" ref="L221:L223" si="293">G221+J221</f>
        <v>414.37</v>
      </c>
      <c r="M221" s="105"/>
    </row>
    <row r="222" spans="1:13" ht="18.75" customHeight="1">
      <c r="A222" s="106" t="s">
        <v>245</v>
      </c>
      <c r="B222" s="136" t="s">
        <v>237</v>
      </c>
      <c r="C222" s="107" t="s">
        <v>38</v>
      </c>
      <c r="D222" s="137">
        <v>1</v>
      </c>
      <c r="E222" s="28"/>
      <c r="F222" s="22"/>
      <c r="G222" s="22"/>
      <c r="H222" s="138">
        <v>3099.25</v>
      </c>
      <c r="I222" s="22">
        <f t="shared" ref="I222:I223" si="294">ROUND(H222*D222,2)</f>
        <v>3099.25</v>
      </c>
      <c r="J222" s="22">
        <f t="shared" ref="J222:J223" si="295">ROUND(I222*1.2,2)</f>
        <v>3719.1</v>
      </c>
      <c r="K222" s="23">
        <f t="shared" si="292"/>
        <v>3099.25</v>
      </c>
      <c r="L222" s="22">
        <f t="shared" si="293"/>
        <v>3719.1</v>
      </c>
      <c r="M222" s="37"/>
    </row>
    <row r="223" spans="1:13" ht="18.75" customHeight="1">
      <c r="A223" s="106" t="s">
        <v>246</v>
      </c>
      <c r="B223" s="136" t="s">
        <v>215</v>
      </c>
      <c r="C223" s="107" t="s">
        <v>38</v>
      </c>
      <c r="D223" s="137">
        <v>1</v>
      </c>
      <c r="E223" s="28"/>
      <c r="F223" s="22"/>
      <c r="G223" s="22"/>
      <c r="H223" s="138">
        <v>14421</v>
      </c>
      <c r="I223" s="22">
        <f t="shared" si="294"/>
        <v>14421</v>
      </c>
      <c r="J223" s="22">
        <f t="shared" si="295"/>
        <v>17305.2</v>
      </c>
      <c r="K223" s="23">
        <f t="shared" si="292"/>
        <v>14421</v>
      </c>
      <c r="L223" s="22">
        <f t="shared" si="293"/>
        <v>17305.2</v>
      </c>
      <c r="M223" s="37"/>
    </row>
    <row r="224" spans="1:13" ht="21.75" customHeight="1">
      <c r="A224" s="144"/>
      <c r="B224" s="145" t="s">
        <v>262</v>
      </c>
      <c r="C224" s="146"/>
      <c r="D224" s="147"/>
      <c r="E224" s="148"/>
      <c r="F224" s="149"/>
      <c r="G224" s="149"/>
      <c r="H224" s="150"/>
      <c r="I224" s="149"/>
      <c r="J224" s="149"/>
      <c r="K224" s="148"/>
      <c r="L224" s="151"/>
    </row>
    <row r="225" spans="1:13" ht="19.5" customHeight="1">
      <c r="A225" s="106"/>
      <c r="B225" s="122" t="s">
        <v>223</v>
      </c>
      <c r="C225" s="114"/>
      <c r="D225" s="85"/>
      <c r="E225" s="135"/>
      <c r="F225" s="135"/>
      <c r="G225" s="135"/>
      <c r="H225" s="135"/>
      <c r="I225" s="135"/>
      <c r="J225" s="135"/>
      <c r="K225" s="135"/>
      <c r="L225" s="135"/>
      <c r="M225" s="133"/>
    </row>
    <row r="226" spans="1:13" ht="18" customHeight="1">
      <c r="A226" s="36">
        <f>A221+1</f>
        <v>90</v>
      </c>
      <c r="B226" s="35" t="s">
        <v>261</v>
      </c>
      <c r="C226" s="36" t="s">
        <v>13</v>
      </c>
      <c r="D226" s="128">
        <f>0.042+0.084+0.084+0.084+0.084</f>
        <v>0.37800000000000006</v>
      </c>
      <c r="E226" s="25">
        <v>6799</v>
      </c>
      <c r="F226" s="30">
        <f t="shared" ref="F226" si="296">ROUND(E226*D226,2)</f>
        <v>2570.02</v>
      </c>
      <c r="G226" s="30">
        <f t="shared" ref="G226" si="297">ROUND(F226*1.2,2)</f>
        <v>3084.02</v>
      </c>
      <c r="H226" s="27"/>
      <c r="I226" s="30"/>
      <c r="J226" s="30"/>
      <c r="K226" s="31">
        <f t="shared" ref="K226:K229" si="298">F226+I226</f>
        <v>2570.02</v>
      </c>
      <c r="L226" s="32">
        <f t="shared" ref="L226:L229" si="299">G226+J226</f>
        <v>3084.02</v>
      </c>
    </row>
    <row r="227" spans="1:13" ht="18" customHeight="1">
      <c r="A227" s="64" t="s">
        <v>247</v>
      </c>
      <c r="B227" s="65" t="s">
        <v>67</v>
      </c>
      <c r="C227" s="64" t="s">
        <v>38</v>
      </c>
      <c r="D227" s="96">
        <f>453*D226</f>
        <v>171.23400000000004</v>
      </c>
      <c r="E227" s="28"/>
      <c r="F227" s="22"/>
      <c r="G227" s="22"/>
      <c r="H227" s="28">
        <v>24</v>
      </c>
      <c r="I227" s="22">
        <f>ROUND(H227*D227,2)</f>
        <v>4109.62</v>
      </c>
      <c r="J227" s="22">
        <f t="shared" ref="J227" si="300">ROUND(I227*1.2,2)</f>
        <v>4931.54</v>
      </c>
      <c r="K227" s="23">
        <f t="shared" si="298"/>
        <v>4109.62</v>
      </c>
      <c r="L227" s="24">
        <f t="shared" si="299"/>
        <v>4931.54</v>
      </c>
    </row>
    <row r="228" spans="1:13" ht="18.75" customHeight="1">
      <c r="A228" s="84">
        <f>A226+1</f>
        <v>91</v>
      </c>
      <c r="B228" s="99" t="s">
        <v>134</v>
      </c>
      <c r="C228" s="84" t="s">
        <v>38</v>
      </c>
      <c r="D228" s="100">
        <v>5</v>
      </c>
      <c r="E228" s="15">
        <v>1974</v>
      </c>
      <c r="F228" s="87">
        <f>ROUND(E228*D228,2)</f>
        <v>9870</v>
      </c>
      <c r="G228" s="87">
        <f t="shared" ref="G228" si="301">ROUND(F228*1.2,2)</f>
        <v>11844</v>
      </c>
      <c r="H228" s="18"/>
      <c r="I228" s="87"/>
      <c r="J228" s="87"/>
      <c r="K228" s="18">
        <f t="shared" si="298"/>
        <v>9870</v>
      </c>
      <c r="L228" s="87">
        <f t="shared" si="299"/>
        <v>11844</v>
      </c>
    </row>
    <row r="229" spans="1:13" ht="18.75" customHeight="1">
      <c r="A229" s="81" t="s">
        <v>248</v>
      </c>
      <c r="B229" s="65" t="s">
        <v>133</v>
      </c>
      <c r="C229" s="64" t="s">
        <v>38</v>
      </c>
      <c r="D229" s="96">
        <v>5</v>
      </c>
      <c r="E229" s="28"/>
      <c r="F229" s="22"/>
      <c r="G229" s="22"/>
      <c r="H229" s="28">
        <v>14421</v>
      </c>
      <c r="I229" s="22">
        <f t="shared" ref="I229" si="302">ROUND(H229*D229,2)</f>
        <v>72105</v>
      </c>
      <c r="J229" s="22">
        <f t="shared" ref="J229" si="303">ROUND(I229*1.2,2)</f>
        <v>86526</v>
      </c>
      <c r="K229" s="23">
        <f t="shared" si="298"/>
        <v>72105</v>
      </c>
      <c r="L229" s="24">
        <f t="shared" si="299"/>
        <v>86526</v>
      </c>
    </row>
    <row r="230" spans="1:13" ht="21.75" customHeight="1">
      <c r="A230" s="144"/>
      <c r="B230" s="145" t="s">
        <v>263</v>
      </c>
      <c r="C230" s="146"/>
      <c r="D230" s="147"/>
      <c r="E230" s="148"/>
      <c r="F230" s="149"/>
      <c r="G230" s="149"/>
      <c r="H230" s="150"/>
      <c r="I230" s="149"/>
      <c r="J230" s="149"/>
      <c r="K230" s="148"/>
      <c r="L230" s="151"/>
    </row>
    <row r="231" spans="1:13" ht="18.75" customHeight="1">
      <c r="A231" s="84">
        <f>A228+1</f>
        <v>92</v>
      </c>
      <c r="B231" s="99" t="s">
        <v>134</v>
      </c>
      <c r="C231" s="84" t="s">
        <v>38</v>
      </c>
      <c r="D231" s="100">
        <v>1</v>
      </c>
      <c r="E231" s="15">
        <v>1974</v>
      </c>
      <c r="F231" s="87">
        <f>ROUND(E231*D231,2)</f>
        <v>1974</v>
      </c>
      <c r="G231" s="87">
        <f t="shared" ref="G231" si="304">ROUND(F231*1.2,2)</f>
        <v>2368.8000000000002</v>
      </c>
      <c r="H231" s="18"/>
      <c r="I231" s="87"/>
      <c r="J231" s="87"/>
      <c r="K231" s="18">
        <f t="shared" ref="K231:K237" si="305">F231+I231</f>
        <v>1974</v>
      </c>
      <c r="L231" s="87">
        <f t="shared" ref="L231:L237" si="306">G231+J231</f>
        <v>2368.8000000000002</v>
      </c>
    </row>
    <row r="232" spans="1:13" ht="18.75" customHeight="1">
      <c r="A232" s="81" t="s">
        <v>276</v>
      </c>
      <c r="B232" s="65" t="s">
        <v>133</v>
      </c>
      <c r="C232" s="64" t="s">
        <v>38</v>
      </c>
      <c r="D232" s="96">
        <v>1</v>
      </c>
      <c r="E232" s="28"/>
      <c r="F232" s="22"/>
      <c r="G232" s="22"/>
      <c r="H232" s="28">
        <v>14421</v>
      </c>
      <c r="I232" s="22">
        <f t="shared" ref="I232" si="307">ROUND(H232*D232,2)</f>
        <v>14421</v>
      </c>
      <c r="J232" s="22">
        <f t="shared" ref="J232" si="308">ROUND(I232*1.2,2)</f>
        <v>17305.2</v>
      </c>
      <c r="K232" s="23">
        <f t="shared" si="305"/>
        <v>14421</v>
      </c>
      <c r="L232" s="24">
        <f t="shared" si="306"/>
        <v>17305.2</v>
      </c>
    </row>
    <row r="233" spans="1:13" ht="18.75" customHeight="1">
      <c r="A233" s="144"/>
      <c r="B233" s="145" t="s">
        <v>264</v>
      </c>
      <c r="C233" s="146"/>
      <c r="D233" s="147"/>
      <c r="E233" s="148"/>
      <c r="F233" s="149"/>
      <c r="G233" s="149"/>
      <c r="H233" s="150"/>
      <c r="I233" s="149"/>
      <c r="J233" s="149"/>
      <c r="K233" s="148"/>
      <c r="L233" s="151"/>
    </row>
    <row r="234" spans="1:13" ht="27.75" customHeight="1">
      <c r="A234" s="84">
        <f>A228+1</f>
        <v>92</v>
      </c>
      <c r="B234" s="101" t="s">
        <v>259</v>
      </c>
      <c r="C234" s="84" t="s">
        <v>44</v>
      </c>
      <c r="D234" s="134">
        <f>0.29+0.22+0.44*4+0.185+1.46+4.76+2.3+1.24+1.46+5.15+0.61+3.57+3.41</f>
        <v>26.415000000000003</v>
      </c>
      <c r="E234" s="18">
        <v>144.4</v>
      </c>
      <c r="F234" s="16">
        <f>ROUND(E234*D234,2)</f>
        <v>3814.33</v>
      </c>
      <c r="G234" s="16">
        <f t="shared" ref="G234" si="309">ROUND(F234*1.2,2)</f>
        <v>4577.2</v>
      </c>
      <c r="H234" s="18"/>
      <c r="I234" s="16"/>
      <c r="J234" s="16"/>
      <c r="K234" s="18">
        <f t="shared" si="305"/>
        <v>3814.33</v>
      </c>
      <c r="L234" s="87">
        <f t="shared" si="306"/>
        <v>4577.2</v>
      </c>
      <c r="M234" s="63"/>
    </row>
    <row r="235" spans="1:13" ht="17.25" customHeight="1">
      <c r="A235" s="106" t="s">
        <v>276</v>
      </c>
      <c r="B235" s="136" t="s">
        <v>202</v>
      </c>
      <c r="C235" s="107" t="s">
        <v>203</v>
      </c>
      <c r="D235" s="139">
        <f>D234*0.3*20/16</f>
        <v>9.9056250000000006</v>
      </c>
      <c r="E235" s="28"/>
      <c r="F235" s="22"/>
      <c r="G235" s="22"/>
      <c r="H235" s="138">
        <v>237.5</v>
      </c>
      <c r="I235" s="22">
        <f>ROUND(H235*D235,2)</f>
        <v>2352.59</v>
      </c>
      <c r="J235" s="22">
        <f t="shared" ref="J235" si="310">ROUND(I235*1.2,2)</f>
        <v>2823.11</v>
      </c>
      <c r="K235" s="23">
        <f t="shared" si="305"/>
        <v>2352.59</v>
      </c>
      <c r="L235" s="22">
        <f t="shared" si="306"/>
        <v>2823.11</v>
      </c>
      <c r="M235" s="63"/>
    </row>
    <row r="236" spans="1:13" ht="28.5" customHeight="1">
      <c r="A236" s="84">
        <f>A234+1</f>
        <v>93</v>
      </c>
      <c r="B236" s="101" t="s">
        <v>260</v>
      </c>
      <c r="C236" s="84" t="s">
        <v>44</v>
      </c>
      <c r="D236" s="134">
        <f>0.29+0.22+0.44*4+0.185+1.46+4.76+2.3+1.24+1.46+5.15+0.61+3.57+3.41</f>
        <v>26.415000000000003</v>
      </c>
      <c r="E236" s="18">
        <v>299.76</v>
      </c>
      <c r="F236" s="16">
        <f>ROUND(E236*D236,2)</f>
        <v>7918.16</v>
      </c>
      <c r="G236" s="16">
        <f t="shared" ref="G236" si="311">ROUND(F236*1.2,2)</f>
        <v>9501.7900000000009</v>
      </c>
      <c r="H236" s="18"/>
      <c r="I236" s="16"/>
      <c r="J236" s="16"/>
      <c r="K236" s="18">
        <f t="shared" si="305"/>
        <v>7918.16</v>
      </c>
      <c r="L236" s="87">
        <f t="shared" si="306"/>
        <v>9501.7900000000009</v>
      </c>
      <c r="M236" s="63"/>
    </row>
    <row r="237" spans="1:13">
      <c r="A237" s="106" t="s">
        <v>250</v>
      </c>
      <c r="B237" s="136" t="s">
        <v>204</v>
      </c>
      <c r="C237" s="107" t="s">
        <v>61</v>
      </c>
      <c r="D237" s="108">
        <f>D236*0.7*2</f>
        <v>36.981000000000002</v>
      </c>
      <c r="E237" s="28"/>
      <c r="F237" s="22"/>
      <c r="G237" s="22"/>
      <c r="H237" s="138">
        <v>296.39999999999998</v>
      </c>
      <c r="I237" s="22">
        <f t="shared" ref="I237" si="312">ROUND(H237*D237,2)</f>
        <v>10961.17</v>
      </c>
      <c r="J237" s="22">
        <f t="shared" ref="J237" si="313">ROUND(I237*1.2,2)</f>
        <v>13153.4</v>
      </c>
      <c r="K237" s="28">
        <f t="shared" si="305"/>
        <v>10961.17</v>
      </c>
      <c r="L237" s="39">
        <f t="shared" si="306"/>
        <v>13153.4</v>
      </c>
      <c r="M237" s="63"/>
    </row>
    <row r="238" spans="1:13" ht="18" customHeight="1">
      <c r="A238" s="36"/>
      <c r="B238" s="130" t="s">
        <v>169</v>
      </c>
      <c r="C238" s="36"/>
      <c r="D238" s="127"/>
      <c r="E238" s="25"/>
      <c r="F238" s="30"/>
      <c r="G238" s="30"/>
      <c r="H238" s="27"/>
      <c r="I238" s="30"/>
      <c r="J238" s="30"/>
      <c r="K238" s="31"/>
      <c r="L238" s="32"/>
    </row>
    <row r="239" spans="1:13" ht="18" customHeight="1">
      <c r="A239" s="36">
        <f>A236+1</f>
        <v>94</v>
      </c>
      <c r="B239" s="35" t="s">
        <v>170</v>
      </c>
      <c r="C239" s="36" t="s">
        <v>17</v>
      </c>
      <c r="D239" s="131">
        <v>10.88</v>
      </c>
      <c r="E239" s="25">
        <v>544.86</v>
      </c>
      <c r="F239" s="30">
        <f t="shared" ref="F239" si="314">ROUND(E239*D239,2)</f>
        <v>5928.08</v>
      </c>
      <c r="G239" s="30">
        <f t="shared" ref="G239" si="315">ROUND(F239*1.2,2)</f>
        <v>7113.7</v>
      </c>
      <c r="H239" s="27"/>
      <c r="I239" s="30"/>
      <c r="J239" s="30"/>
      <c r="K239" s="31">
        <f t="shared" ref="K239" si="316">F239+I239</f>
        <v>5928.08</v>
      </c>
      <c r="L239" s="32">
        <f t="shared" ref="L239" si="317">G239+J239</f>
        <v>7113.7</v>
      </c>
    </row>
    <row r="240" spans="1:13" ht="27.75" customHeight="1">
      <c r="A240" s="67"/>
      <c r="B240" s="77" t="s">
        <v>277</v>
      </c>
      <c r="C240" s="67"/>
      <c r="D240" s="78"/>
      <c r="E240" s="76"/>
      <c r="F240" s="71"/>
      <c r="G240" s="71"/>
      <c r="H240" s="72"/>
      <c r="I240" s="71"/>
      <c r="J240" s="71"/>
      <c r="K240" s="70"/>
      <c r="L240" s="73"/>
    </row>
    <row r="241" spans="1:13" ht="44.25" customHeight="1">
      <c r="A241" s="36">
        <f>A239+1</f>
        <v>95</v>
      </c>
      <c r="B241" s="35" t="s">
        <v>278</v>
      </c>
      <c r="C241" s="36" t="s">
        <v>38</v>
      </c>
      <c r="D241" s="98">
        <v>4</v>
      </c>
      <c r="E241" s="31">
        <v>6852.75</v>
      </c>
      <c r="F241" s="30">
        <f t="shared" ref="F241" si="318">ROUND(E241*D241,2)</f>
        <v>27411</v>
      </c>
      <c r="G241" s="30">
        <f t="shared" ref="G241" si="319">ROUND(F241*1.2,2)</f>
        <v>32893.199999999997</v>
      </c>
      <c r="H241" s="27"/>
      <c r="I241" s="30"/>
      <c r="J241" s="30"/>
      <c r="K241" s="31">
        <f t="shared" ref="K241:K242" si="320">F241+I241</f>
        <v>27411</v>
      </c>
      <c r="L241" s="32">
        <f t="shared" ref="L241:L242" si="321">G241+J241</f>
        <v>32893.199999999997</v>
      </c>
      <c r="M241" s="37" t="s">
        <v>110</v>
      </c>
    </row>
    <row r="242" spans="1:13" ht="24" customHeight="1">
      <c r="A242" s="64" t="s">
        <v>251</v>
      </c>
      <c r="B242" s="65" t="s">
        <v>281</v>
      </c>
      <c r="C242" s="64" t="s">
        <v>38</v>
      </c>
      <c r="D242" s="96">
        <v>4</v>
      </c>
      <c r="E242" s="23"/>
      <c r="F242" s="22"/>
      <c r="G242" s="22"/>
      <c r="H242" s="23">
        <f>4800/1.2</f>
        <v>4000</v>
      </c>
      <c r="I242" s="22">
        <f>ROUND(H242*D242,2)</f>
        <v>16000</v>
      </c>
      <c r="J242" s="22">
        <f t="shared" ref="J242" si="322">ROUND(I242*1.2,2)</f>
        <v>19200</v>
      </c>
      <c r="K242" s="23">
        <f t="shared" si="320"/>
        <v>16000</v>
      </c>
      <c r="L242" s="24">
        <f t="shared" si="321"/>
        <v>19200</v>
      </c>
      <c r="M242" s="37"/>
    </row>
    <row r="243" spans="1:13" ht="24" customHeight="1">
      <c r="A243" s="64" t="s">
        <v>284</v>
      </c>
      <c r="B243" s="65" t="s">
        <v>282</v>
      </c>
      <c r="C243" s="64" t="s">
        <v>38</v>
      </c>
      <c r="D243" s="96">
        <v>8</v>
      </c>
      <c r="E243" s="23"/>
      <c r="F243" s="22"/>
      <c r="G243" s="22"/>
      <c r="H243" s="23">
        <f>100/1.2</f>
        <v>83.333333333333343</v>
      </c>
      <c r="I243" s="22">
        <f>ROUND(H243*D243,2)</f>
        <v>666.67</v>
      </c>
      <c r="J243" s="22">
        <f t="shared" ref="J243" si="323">ROUND(I243*1.2,2)</f>
        <v>800</v>
      </c>
      <c r="K243" s="23">
        <f t="shared" ref="K243" si="324">F243+I243</f>
        <v>666.67</v>
      </c>
      <c r="L243" s="24">
        <f t="shared" ref="L243" si="325">G243+J243</f>
        <v>800</v>
      </c>
      <c r="M243" s="37"/>
    </row>
    <row r="244" spans="1:13" ht="30" customHeight="1">
      <c r="A244" s="64" t="s">
        <v>285</v>
      </c>
      <c r="B244" s="65" t="s">
        <v>283</v>
      </c>
      <c r="C244" s="64" t="s">
        <v>38</v>
      </c>
      <c r="D244" s="96">
        <v>4</v>
      </c>
      <c r="E244" s="23"/>
      <c r="F244" s="22"/>
      <c r="G244" s="22"/>
      <c r="H244" s="23">
        <f>3200/1.2</f>
        <v>2666.666666666667</v>
      </c>
      <c r="I244" s="22">
        <f>ROUND(H244*D244,2)</f>
        <v>10666.67</v>
      </c>
      <c r="J244" s="22">
        <f t="shared" ref="J244" si="326">ROUND(I244*1.2,2)</f>
        <v>12800</v>
      </c>
      <c r="K244" s="23">
        <f t="shared" ref="K244" si="327">F244+I244</f>
        <v>10666.67</v>
      </c>
      <c r="L244" s="24">
        <f t="shared" ref="L244" si="328">G244+J244</f>
        <v>12800</v>
      </c>
      <c r="M244" s="37"/>
    </row>
    <row r="245" spans="1:13" ht="33" customHeight="1">
      <c r="A245" s="36">
        <f>A241+1</f>
        <v>96</v>
      </c>
      <c r="B245" s="35" t="s">
        <v>279</v>
      </c>
      <c r="C245" s="36" t="s">
        <v>38</v>
      </c>
      <c r="D245" s="98">
        <v>16</v>
      </c>
      <c r="E245" s="31">
        <v>12278.56</v>
      </c>
      <c r="F245" s="30">
        <f t="shared" ref="F245" si="329">ROUND(E245*D245,2)</f>
        <v>196456.95999999999</v>
      </c>
      <c r="G245" s="30">
        <f t="shared" ref="G245" si="330">ROUND(F245*1.2,2)</f>
        <v>235748.35</v>
      </c>
      <c r="H245" s="27"/>
      <c r="I245" s="30"/>
      <c r="J245" s="30"/>
      <c r="K245" s="31">
        <f t="shared" ref="K245:K246" si="331">F245+I245</f>
        <v>196456.95999999999</v>
      </c>
      <c r="L245" s="32">
        <f t="shared" ref="L245:L246" si="332">G245+J245</f>
        <v>235748.35</v>
      </c>
      <c r="M245" s="37" t="s">
        <v>110</v>
      </c>
    </row>
    <row r="246" spans="1:13" ht="23.25" customHeight="1">
      <c r="A246" s="64" t="s">
        <v>253</v>
      </c>
      <c r="B246" s="65" t="s">
        <v>286</v>
      </c>
      <c r="C246" s="64" t="s">
        <v>38</v>
      </c>
      <c r="D246" s="96">
        <v>16</v>
      </c>
      <c r="E246" s="28"/>
      <c r="F246" s="22"/>
      <c r="G246" s="22"/>
      <c r="H246" s="23">
        <f>2400/1.2</f>
        <v>2000</v>
      </c>
      <c r="I246" s="22">
        <f>ROUND(H246*D246,2)</f>
        <v>32000</v>
      </c>
      <c r="J246" s="22">
        <f t="shared" ref="J246" si="333">ROUND(I246*1.2,2)</f>
        <v>38400</v>
      </c>
      <c r="K246" s="23">
        <f t="shared" si="331"/>
        <v>32000</v>
      </c>
      <c r="L246" s="24">
        <f t="shared" si="332"/>
        <v>38400</v>
      </c>
      <c r="M246" s="60" t="s">
        <v>312</v>
      </c>
    </row>
    <row r="247" spans="1:13" ht="23.25" customHeight="1">
      <c r="A247" s="64" t="s">
        <v>299</v>
      </c>
      <c r="B247" s="65" t="s">
        <v>287</v>
      </c>
      <c r="C247" s="64" t="s">
        <v>38</v>
      </c>
      <c r="D247" s="96">
        <v>16</v>
      </c>
      <c r="E247" s="28"/>
      <c r="F247" s="22"/>
      <c r="G247" s="22"/>
      <c r="H247" s="23">
        <f>3322.22/1.2</f>
        <v>2768.5166666666664</v>
      </c>
      <c r="I247" s="22">
        <f t="shared" ref="I247:I258" si="334">ROUND(H247*D247,2)</f>
        <v>44296.27</v>
      </c>
      <c r="J247" s="22">
        <f t="shared" ref="J247:J258" si="335">ROUND(I247*1.2,2)</f>
        <v>53155.519999999997</v>
      </c>
      <c r="K247" s="23">
        <f t="shared" ref="K247:K258" si="336">F247+I247</f>
        <v>44296.27</v>
      </c>
      <c r="L247" s="24">
        <f t="shared" ref="L247:L258" si="337">G247+J247</f>
        <v>53155.519999999997</v>
      </c>
      <c r="M247" s="60" t="s">
        <v>311</v>
      </c>
    </row>
    <row r="248" spans="1:13" ht="23.25" customHeight="1">
      <c r="A248" s="64" t="s">
        <v>300</v>
      </c>
      <c r="B248" s="65" t="s">
        <v>282</v>
      </c>
      <c r="C248" s="64" t="s">
        <v>38</v>
      </c>
      <c r="D248" s="96">
        <v>48</v>
      </c>
      <c r="E248" s="28"/>
      <c r="F248" s="22"/>
      <c r="G248" s="22"/>
      <c r="H248" s="23">
        <f>100/1.2</f>
        <v>83.333333333333343</v>
      </c>
      <c r="I248" s="22">
        <f t="shared" si="334"/>
        <v>4000</v>
      </c>
      <c r="J248" s="22">
        <f t="shared" si="335"/>
        <v>4800</v>
      </c>
      <c r="K248" s="23">
        <f t="shared" si="336"/>
        <v>4000</v>
      </c>
      <c r="L248" s="24">
        <f t="shared" si="337"/>
        <v>4800</v>
      </c>
      <c r="M248" s="60" t="s">
        <v>312</v>
      </c>
    </row>
    <row r="249" spans="1:13" ht="23.25" customHeight="1">
      <c r="A249" s="64" t="s">
        <v>301</v>
      </c>
      <c r="B249" s="65" t="s">
        <v>288</v>
      </c>
      <c r="C249" s="64" t="s">
        <v>38</v>
      </c>
      <c r="D249" s="96">
        <v>2</v>
      </c>
      <c r="E249" s="28"/>
      <c r="F249" s="22"/>
      <c r="G249" s="22"/>
      <c r="H249" s="23">
        <f>3200/1.2</f>
        <v>2666.666666666667</v>
      </c>
      <c r="I249" s="22">
        <f t="shared" si="334"/>
        <v>5333.33</v>
      </c>
      <c r="J249" s="22">
        <f t="shared" si="335"/>
        <v>6400</v>
      </c>
      <c r="K249" s="23">
        <f t="shared" si="336"/>
        <v>5333.33</v>
      </c>
      <c r="L249" s="24">
        <f t="shared" si="337"/>
        <v>6400</v>
      </c>
      <c r="M249" s="60" t="s">
        <v>312</v>
      </c>
    </row>
    <row r="250" spans="1:13" ht="23.25" customHeight="1">
      <c r="A250" s="64" t="s">
        <v>302</v>
      </c>
      <c r="B250" s="65" t="s">
        <v>289</v>
      </c>
      <c r="C250" s="64" t="s">
        <v>38</v>
      </c>
      <c r="D250" s="96">
        <v>8</v>
      </c>
      <c r="E250" s="28"/>
      <c r="F250" s="22"/>
      <c r="G250" s="22"/>
      <c r="H250" s="23">
        <f>3000/1.2</f>
        <v>2500</v>
      </c>
      <c r="I250" s="22">
        <f t="shared" si="334"/>
        <v>20000</v>
      </c>
      <c r="J250" s="22">
        <f t="shared" si="335"/>
        <v>24000</v>
      </c>
      <c r="K250" s="23">
        <f t="shared" si="336"/>
        <v>20000</v>
      </c>
      <c r="L250" s="24">
        <f t="shared" si="337"/>
        <v>24000</v>
      </c>
      <c r="M250" s="60" t="s">
        <v>312</v>
      </c>
    </row>
    <row r="251" spans="1:13" ht="23.25" customHeight="1">
      <c r="A251" s="64" t="s">
        <v>303</v>
      </c>
      <c r="B251" s="65" t="s">
        <v>290</v>
      </c>
      <c r="C251" s="64" t="s">
        <v>38</v>
      </c>
      <c r="D251" s="96">
        <v>2</v>
      </c>
      <c r="E251" s="28"/>
      <c r="F251" s="22"/>
      <c r="G251" s="22"/>
      <c r="H251" s="23">
        <f>3900/1.2</f>
        <v>3250</v>
      </c>
      <c r="I251" s="22">
        <f t="shared" si="334"/>
        <v>6500</v>
      </c>
      <c r="J251" s="22">
        <f t="shared" si="335"/>
        <v>7800</v>
      </c>
      <c r="K251" s="23">
        <f t="shared" si="336"/>
        <v>6500</v>
      </c>
      <c r="L251" s="24">
        <f t="shared" si="337"/>
        <v>7800</v>
      </c>
      <c r="M251" s="60" t="s">
        <v>312</v>
      </c>
    </row>
    <row r="252" spans="1:13" ht="23.25" customHeight="1">
      <c r="A252" s="64" t="s">
        <v>304</v>
      </c>
      <c r="B252" s="65" t="s">
        <v>291</v>
      </c>
      <c r="C252" s="64" t="s">
        <v>38</v>
      </c>
      <c r="D252" s="96">
        <v>2</v>
      </c>
      <c r="E252" s="28"/>
      <c r="F252" s="22"/>
      <c r="G252" s="22"/>
      <c r="H252" s="23">
        <f>2250/1.2</f>
        <v>1875</v>
      </c>
      <c r="I252" s="22">
        <f t="shared" si="334"/>
        <v>3750</v>
      </c>
      <c r="J252" s="22">
        <f t="shared" si="335"/>
        <v>4500</v>
      </c>
      <c r="K252" s="23">
        <f t="shared" si="336"/>
        <v>3750</v>
      </c>
      <c r="L252" s="24">
        <f t="shared" si="337"/>
        <v>4500</v>
      </c>
      <c r="M252" s="60" t="s">
        <v>312</v>
      </c>
    </row>
    <row r="253" spans="1:13" ht="23.25" customHeight="1">
      <c r="A253" s="64" t="s">
        <v>305</v>
      </c>
      <c r="B253" s="65" t="s">
        <v>292</v>
      </c>
      <c r="C253" s="64" t="s">
        <v>38</v>
      </c>
      <c r="D253" s="96">
        <v>2</v>
      </c>
      <c r="E253" s="28"/>
      <c r="F253" s="22"/>
      <c r="G253" s="22"/>
      <c r="H253" s="23">
        <f>2250/1.2</f>
        <v>1875</v>
      </c>
      <c r="I253" s="22">
        <f t="shared" si="334"/>
        <v>3750</v>
      </c>
      <c r="J253" s="22">
        <f t="shared" si="335"/>
        <v>4500</v>
      </c>
      <c r="K253" s="23">
        <f t="shared" si="336"/>
        <v>3750</v>
      </c>
      <c r="L253" s="24">
        <f t="shared" si="337"/>
        <v>4500</v>
      </c>
      <c r="M253" s="60" t="s">
        <v>312</v>
      </c>
    </row>
    <row r="254" spans="1:13" ht="23.25" customHeight="1">
      <c r="A254" s="64" t="s">
        <v>306</v>
      </c>
      <c r="B254" s="65" t="s">
        <v>293</v>
      </c>
      <c r="C254" s="64" t="s">
        <v>38</v>
      </c>
      <c r="D254" s="96">
        <v>2</v>
      </c>
      <c r="E254" s="28"/>
      <c r="F254" s="22"/>
      <c r="G254" s="22"/>
      <c r="H254" s="23">
        <f>2250/1.2</f>
        <v>1875</v>
      </c>
      <c r="I254" s="22">
        <f t="shared" si="334"/>
        <v>3750</v>
      </c>
      <c r="J254" s="22">
        <f t="shared" si="335"/>
        <v>4500</v>
      </c>
      <c r="K254" s="23">
        <f t="shared" si="336"/>
        <v>3750</v>
      </c>
      <c r="L254" s="24">
        <f t="shared" si="337"/>
        <v>4500</v>
      </c>
      <c r="M254" s="60" t="s">
        <v>312</v>
      </c>
    </row>
    <row r="255" spans="1:13" ht="23.25" customHeight="1">
      <c r="A255" s="64" t="s">
        <v>307</v>
      </c>
      <c r="B255" s="65" t="s">
        <v>294</v>
      </c>
      <c r="C255" s="64" t="s">
        <v>38</v>
      </c>
      <c r="D255" s="96">
        <v>2</v>
      </c>
      <c r="E255" s="28"/>
      <c r="F255" s="22"/>
      <c r="G255" s="22"/>
      <c r="H255" s="23">
        <f t="shared" ref="H255:H257" si="338">2250/1.2</f>
        <v>1875</v>
      </c>
      <c r="I255" s="22">
        <f t="shared" si="334"/>
        <v>3750</v>
      </c>
      <c r="J255" s="22">
        <f t="shared" si="335"/>
        <v>4500</v>
      </c>
      <c r="K255" s="23">
        <f t="shared" si="336"/>
        <v>3750</v>
      </c>
      <c r="L255" s="24">
        <f t="shared" si="337"/>
        <v>4500</v>
      </c>
      <c r="M255" s="60" t="s">
        <v>312</v>
      </c>
    </row>
    <row r="256" spans="1:13" ht="23.25" customHeight="1">
      <c r="A256" s="64" t="s">
        <v>308</v>
      </c>
      <c r="B256" s="65" t="s">
        <v>295</v>
      </c>
      <c r="C256" s="64" t="s">
        <v>38</v>
      </c>
      <c r="D256" s="96">
        <v>2</v>
      </c>
      <c r="E256" s="28"/>
      <c r="F256" s="22"/>
      <c r="G256" s="22"/>
      <c r="H256" s="23">
        <f t="shared" si="338"/>
        <v>1875</v>
      </c>
      <c r="I256" s="22">
        <f t="shared" si="334"/>
        <v>3750</v>
      </c>
      <c r="J256" s="22">
        <f t="shared" si="335"/>
        <v>4500</v>
      </c>
      <c r="K256" s="23">
        <f t="shared" si="336"/>
        <v>3750</v>
      </c>
      <c r="L256" s="24">
        <f t="shared" si="337"/>
        <v>4500</v>
      </c>
      <c r="M256" s="60" t="s">
        <v>312</v>
      </c>
    </row>
    <row r="257" spans="1:13" ht="23.25" customHeight="1">
      <c r="A257" s="64" t="s">
        <v>309</v>
      </c>
      <c r="B257" s="65" t="s">
        <v>296</v>
      </c>
      <c r="C257" s="64" t="s">
        <v>38</v>
      </c>
      <c r="D257" s="96">
        <v>2</v>
      </c>
      <c r="E257" s="28"/>
      <c r="F257" s="22"/>
      <c r="G257" s="22"/>
      <c r="H257" s="23">
        <f t="shared" si="338"/>
        <v>1875</v>
      </c>
      <c r="I257" s="22">
        <f t="shared" si="334"/>
        <v>3750</v>
      </c>
      <c r="J257" s="22">
        <f t="shared" si="335"/>
        <v>4500</v>
      </c>
      <c r="K257" s="23">
        <f t="shared" si="336"/>
        <v>3750</v>
      </c>
      <c r="L257" s="24">
        <f t="shared" si="337"/>
        <v>4500</v>
      </c>
      <c r="M257" s="60" t="s">
        <v>312</v>
      </c>
    </row>
    <row r="258" spans="1:13" ht="23.25" customHeight="1">
      <c r="A258" s="64" t="s">
        <v>310</v>
      </c>
      <c r="B258" s="65" t="s">
        <v>297</v>
      </c>
      <c r="C258" s="64" t="s">
        <v>38</v>
      </c>
      <c r="D258" s="96">
        <v>2</v>
      </c>
      <c r="E258" s="28"/>
      <c r="F258" s="22"/>
      <c r="G258" s="22"/>
      <c r="H258" s="23">
        <f>3200/1.2</f>
        <v>2666.666666666667</v>
      </c>
      <c r="I258" s="22">
        <f t="shared" si="334"/>
        <v>5333.33</v>
      </c>
      <c r="J258" s="22">
        <f t="shared" si="335"/>
        <v>6400</v>
      </c>
      <c r="K258" s="23">
        <f t="shared" si="336"/>
        <v>5333.33</v>
      </c>
      <c r="L258" s="24">
        <f t="shared" si="337"/>
        <v>6400</v>
      </c>
      <c r="M258" s="60" t="s">
        <v>312</v>
      </c>
    </row>
    <row r="259" spans="1:13" ht="35.25" customHeight="1">
      <c r="A259" s="36">
        <f>A245+1</f>
        <v>97</v>
      </c>
      <c r="B259" s="35" t="s">
        <v>280</v>
      </c>
      <c r="C259" s="36" t="s">
        <v>15</v>
      </c>
      <c r="D259" s="116">
        <v>6</v>
      </c>
      <c r="E259" s="31">
        <v>150</v>
      </c>
      <c r="F259" s="30">
        <f t="shared" ref="F259" si="339">ROUND(E259*D259,2)</f>
        <v>900</v>
      </c>
      <c r="G259" s="30">
        <f t="shared" ref="G259" si="340">ROUND(F259*1.2,2)</f>
        <v>1080</v>
      </c>
      <c r="H259" s="27"/>
      <c r="I259" s="30"/>
      <c r="J259" s="30"/>
      <c r="K259" s="31">
        <f t="shared" ref="K259:K260" si="341">F259+I259</f>
        <v>900</v>
      </c>
      <c r="L259" s="32">
        <f t="shared" ref="L259:L260" si="342">G259+J259</f>
        <v>1080</v>
      </c>
      <c r="M259" s="37"/>
    </row>
    <row r="260" spans="1:13" ht="24" customHeight="1">
      <c r="A260" s="64" t="s">
        <v>254</v>
      </c>
      <c r="B260" s="177" t="s">
        <v>298</v>
      </c>
      <c r="C260" s="64" t="s">
        <v>61</v>
      </c>
      <c r="D260" s="126">
        <v>0.5</v>
      </c>
      <c r="E260" s="28"/>
      <c r="F260" s="22"/>
      <c r="G260" s="22"/>
      <c r="H260" s="28">
        <v>3400</v>
      </c>
      <c r="I260" s="22">
        <f t="shared" ref="I260" si="343">ROUND(H260*D260,2)</f>
        <v>1700</v>
      </c>
      <c r="J260" s="22">
        <f t="shared" ref="J260" si="344">ROUND(I260*1.2,2)</f>
        <v>2040</v>
      </c>
      <c r="K260" s="23">
        <f t="shared" si="341"/>
        <v>1700</v>
      </c>
      <c r="L260" s="24">
        <f t="shared" si="342"/>
        <v>2040</v>
      </c>
      <c r="M260" s="37"/>
    </row>
    <row r="261" spans="1:13" ht="21.75" customHeight="1">
      <c r="A261" s="201" t="s">
        <v>14</v>
      </c>
      <c r="B261" s="202"/>
      <c r="C261" s="202"/>
      <c r="D261" s="202"/>
      <c r="E261" s="203"/>
      <c r="F261" s="41">
        <f>SUM(F8:F260)</f>
        <v>45420766.119999975</v>
      </c>
      <c r="G261" s="40">
        <f>ROUND(F261*1.2,2)</f>
        <v>54504919.340000004</v>
      </c>
      <c r="H261" s="42"/>
      <c r="I261" s="41">
        <f>SUM(I8:I260)</f>
        <v>25733237.800000004</v>
      </c>
      <c r="J261" s="40">
        <f>ROUND(I261*1.2,2)</f>
        <v>30879885.359999999</v>
      </c>
      <c r="K261" s="41">
        <f>SUM(K8:K260)</f>
        <v>71154003.919999942</v>
      </c>
      <c r="L261" s="40">
        <f>ROUND(K261*1.2,2)</f>
        <v>85384804.700000003</v>
      </c>
    </row>
  </sheetData>
  <mergeCells count="58">
    <mergeCell ref="K207:K208"/>
    <mergeCell ref="L207:L208"/>
    <mergeCell ref="E207:E208"/>
    <mergeCell ref="F207:F208"/>
    <mergeCell ref="G207:G208"/>
    <mergeCell ref="H207:H208"/>
    <mergeCell ref="I207:I208"/>
    <mergeCell ref="J207:J208"/>
    <mergeCell ref="H198:H199"/>
    <mergeCell ref="I198:I199"/>
    <mergeCell ref="J198:J199"/>
    <mergeCell ref="K198:K199"/>
    <mergeCell ref="L198:L199"/>
    <mergeCell ref="I166:I167"/>
    <mergeCell ref="J166:J167"/>
    <mergeCell ref="K166:K167"/>
    <mergeCell ref="L166:L167"/>
    <mergeCell ref="E183:E184"/>
    <mergeCell ref="F183:F184"/>
    <mergeCell ref="G183:G184"/>
    <mergeCell ref="H183:H184"/>
    <mergeCell ref="I183:I184"/>
    <mergeCell ref="J183:J184"/>
    <mergeCell ref="K183:K184"/>
    <mergeCell ref="L183:L184"/>
    <mergeCell ref="J150:J151"/>
    <mergeCell ref="K150:K151"/>
    <mergeCell ref="L150:L151"/>
    <mergeCell ref="I136:I137"/>
    <mergeCell ref="J136:J137"/>
    <mergeCell ref="K136:K137"/>
    <mergeCell ref="L136:L137"/>
    <mergeCell ref="I150:I151"/>
    <mergeCell ref="B6:D6"/>
    <mergeCell ref="A261:E261"/>
    <mergeCell ref="E136:E137"/>
    <mergeCell ref="F136:F137"/>
    <mergeCell ref="G136:G137"/>
    <mergeCell ref="E150:E151"/>
    <mergeCell ref="F150:F151"/>
    <mergeCell ref="G150:G151"/>
    <mergeCell ref="E198:E199"/>
    <mergeCell ref="F198:F199"/>
    <mergeCell ref="G198:G199"/>
    <mergeCell ref="H136:H137"/>
    <mergeCell ref="E166:E167"/>
    <mergeCell ref="F166:F167"/>
    <mergeCell ref="G166:G167"/>
    <mergeCell ref="H166:H167"/>
    <mergeCell ref="H150:H15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D426A-33D7-474D-B137-7673C88BB51C}">
  <sheetPr>
    <tabColor theme="9" tint="0.59999389629810485"/>
  </sheetPr>
  <dimension ref="A1:M60"/>
  <sheetViews>
    <sheetView view="pageBreakPreview" topLeftCell="A37" zoomScale="80" zoomScaleNormal="100" zoomScaleSheetLayoutView="80" workbookViewId="0">
      <selection activeCell="F35" sqref="F35"/>
    </sheetView>
  </sheetViews>
  <sheetFormatPr defaultColWidth="8.875" defaultRowHeight="15"/>
  <cols>
    <col min="2" max="2" width="65.109375" customWidth="1"/>
    <col min="3" max="3" width="9.28125" customWidth="1"/>
    <col min="4" max="4" width="11.02734375" bestFit="1" customWidth="1"/>
    <col min="5" max="5" width="15.19921875" customWidth="1"/>
    <col min="6" max="6" width="16.0078125" customWidth="1"/>
    <col min="7" max="7" width="17.08203125" style="26" customWidth="1"/>
    <col min="8" max="8" width="16.140625" style="26" customWidth="1"/>
    <col min="9" max="12" width="16.140625" customWidth="1"/>
    <col min="13" max="13" width="59.86328125" customWidth="1"/>
  </cols>
  <sheetData>
    <row r="1" spans="1:13" ht="14.45" customHeight="1">
      <c r="A1" s="185" t="s">
        <v>0</v>
      </c>
      <c r="B1" s="188" t="s">
        <v>1</v>
      </c>
      <c r="C1" s="191" t="s">
        <v>2</v>
      </c>
      <c r="D1" s="191" t="s">
        <v>3</v>
      </c>
      <c r="E1" s="192" t="s">
        <v>4</v>
      </c>
      <c r="F1" s="193"/>
      <c r="G1" s="193"/>
      <c r="H1" s="193"/>
      <c r="I1" s="193"/>
      <c r="J1" s="193"/>
      <c r="K1" s="193"/>
      <c r="L1" s="193"/>
    </row>
    <row r="2" spans="1:13" ht="14.45" customHeight="1">
      <c r="A2" s="186"/>
      <c r="B2" s="189"/>
      <c r="C2" s="191"/>
      <c r="D2" s="191"/>
      <c r="E2" s="194"/>
      <c r="F2" s="195"/>
      <c r="G2" s="195"/>
      <c r="H2" s="195"/>
      <c r="I2" s="195"/>
      <c r="J2" s="195"/>
      <c r="K2" s="195"/>
      <c r="L2" s="195"/>
    </row>
    <row r="3" spans="1:13" ht="27.75" customHeight="1">
      <c r="A3" s="186"/>
      <c r="B3" s="189"/>
      <c r="C3" s="191"/>
      <c r="D3" s="191"/>
      <c r="E3" s="191" t="s">
        <v>5</v>
      </c>
      <c r="F3" s="191"/>
      <c r="G3" s="191"/>
      <c r="H3" s="191" t="s">
        <v>6</v>
      </c>
      <c r="I3" s="191"/>
      <c r="J3" s="191"/>
      <c r="K3" s="182" t="s">
        <v>7</v>
      </c>
      <c r="L3" s="182"/>
    </row>
    <row r="4" spans="1:13" ht="56.1" customHeight="1">
      <c r="A4" s="187"/>
      <c r="B4" s="190"/>
      <c r="C4" s="191"/>
      <c r="D4" s="191"/>
      <c r="E4" s="2" t="s">
        <v>8</v>
      </c>
      <c r="F4" s="2" t="s">
        <v>9</v>
      </c>
      <c r="G4" s="1" t="s">
        <v>10</v>
      </c>
      <c r="H4" s="2" t="s">
        <v>8</v>
      </c>
      <c r="I4" s="2" t="s">
        <v>9</v>
      </c>
      <c r="J4" s="1" t="s">
        <v>10</v>
      </c>
      <c r="K4" s="2" t="s">
        <v>11</v>
      </c>
      <c r="L4" s="3" t="s">
        <v>12</v>
      </c>
    </row>
    <row r="5" spans="1:13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>
      <c r="A6" s="6"/>
      <c r="B6" s="199" t="s">
        <v>313</v>
      </c>
      <c r="C6" s="200"/>
      <c r="D6" s="200"/>
      <c r="E6" s="7"/>
      <c r="F6" s="8"/>
      <c r="G6" s="9"/>
      <c r="H6" s="9"/>
      <c r="I6" s="9"/>
      <c r="J6" s="9"/>
      <c r="K6" s="9"/>
      <c r="L6" s="10"/>
    </row>
    <row r="7" spans="1:13" ht="18" customHeight="1">
      <c r="A7" s="67"/>
      <c r="B7" s="74" t="s">
        <v>314</v>
      </c>
      <c r="C7" s="67"/>
      <c r="D7" s="75"/>
      <c r="E7" s="76"/>
      <c r="F7" s="71"/>
      <c r="G7" s="71"/>
      <c r="H7" s="72"/>
      <c r="I7" s="71"/>
      <c r="J7" s="71"/>
      <c r="K7" s="70"/>
      <c r="L7" s="73"/>
      <c r="M7" s="105"/>
    </row>
    <row r="8" spans="1:13" ht="22.5" customHeight="1">
      <c r="A8" s="11">
        <v>1</v>
      </c>
      <c r="B8" s="101" t="s">
        <v>315</v>
      </c>
      <c r="C8" s="47" t="s">
        <v>38</v>
      </c>
      <c r="D8" s="85">
        <v>84</v>
      </c>
      <c r="E8" s="120">
        <v>1055.02</v>
      </c>
      <c r="F8" s="14">
        <f t="shared" ref="F8:F11" si="0">ROUND(E8*D8,2)</f>
        <v>88621.68</v>
      </c>
      <c r="G8" s="14">
        <f t="shared" ref="G8:G11" si="1">ROUND(F8*1.2,2)</f>
        <v>106346.02</v>
      </c>
      <c r="H8" s="15"/>
      <c r="I8" s="16"/>
      <c r="J8" s="16"/>
      <c r="K8" s="13">
        <f t="shared" ref="K8:L11" si="2">F8+I8</f>
        <v>88621.68</v>
      </c>
      <c r="L8" s="14">
        <f t="shared" si="2"/>
        <v>106346.02</v>
      </c>
      <c r="M8" s="63" t="s">
        <v>338</v>
      </c>
    </row>
    <row r="9" spans="1:13" ht="22.5" customHeight="1">
      <c r="A9" s="11">
        <f>A8+1</f>
        <v>2</v>
      </c>
      <c r="B9" s="101" t="s">
        <v>316</v>
      </c>
      <c r="C9" s="84" t="s">
        <v>15</v>
      </c>
      <c r="D9" s="102">
        <v>43.27</v>
      </c>
      <c r="E9" s="120">
        <v>1900</v>
      </c>
      <c r="F9" s="14">
        <f t="shared" si="0"/>
        <v>82213</v>
      </c>
      <c r="G9" s="14">
        <f t="shared" si="1"/>
        <v>98655.6</v>
      </c>
      <c r="H9" s="15"/>
      <c r="I9" s="16"/>
      <c r="J9" s="16"/>
      <c r="K9" s="13">
        <f t="shared" si="2"/>
        <v>82213</v>
      </c>
      <c r="L9" s="14">
        <f t="shared" si="2"/>
        <v>98655.6</v>
      </c>
      <c r="M9" s="63" t="s">
        <v>338</v>
      </c>
    </row>
    <row r="10" spans="1:13" ht="22.5" customHeight="1">
      <c r="A10" s="11">
        <f>A9+1</f>
        <v>3</v>
      </c>
      <c r="B10" s="101" t="s">
        <v>317</v>
      </c>
      <c r="C10" s="114" t="s">
        <v>13</v>
      </c>
      <c r="D10" s="102">
        <v>285.44</v>
      </c>
      <c r="E10" s="87">
        <f>ROUND(65055.24/(297.03*0.05),2)</f>
        <v>4380.38</v>
      </c>
      <c r="F10" s="14">
        <f t="shared" si="0"/>
        <v>1250335.67</v>
      </c>
      <c r="G10" s="14">
        <f t="shared" si="1"/>
        <v>1500402.8</v>
      </c>
      <c r="H10" s="15"/>
      <c r="I10" s="16"/>
      <c r="J10" s="16"/>
      <c r="K10" s="13">
        <f t="shared" si="2"/>
        <v>1250335.67</v>
      </c>
      <c r="L10" s="14">
        <f t="shared" si="2"/>
        <v>1500402.8</v>
      </c>
      <c r="M10" s="63" t="s">
        <v>338</v>
      </c>
    </row>
    <row r="11" spans="1:13" ht="22.5" customHeight="1">
      <c r="A11" s="11">
        <f t="shared" ref="A11" si="3">A10+1</f>
        <v>4</v>
      </c>
      <c r="B11" s="101" t="s">
        <v>318</v>
      </c>
      <c r="C11" s="114" t="s">
        <v>13</v>
      </c>
      <c r="D11" s="102">
        <v>457.95</v>
      </c>
      <c r="E11" s="18">
        <v>1440.5229999999999</v>
      </c>
      <c r="F11" s="14">
        <f t="shared" si="0"/>
        <v>659687.51</v>
      </c>
      <c r="G11" s="14">
        <f t="shared" si="1"/>
        <v>791625.01</v>
      </c>
      <c r="H11" s="16"/>
      <c r="I11" s="16"/>
      <c r="J11" s="16"/>
      <c r="K11" s="13">
        <f t="shared" si="2"/>
        <v>659687.51</v>
      </c>
      <c r="L11" s="16">
        <f t="shared" si="2"/>
        <v>791625.01</v>
      </c>
      <c r="M11" s="63" t="s">
        <v>338</v>
      </c>
    </row>
    <row r="12" spans="1:13" ht="20.25" customHeight="1">
      <c r="A12" s="11"/>
      <c r="B12" s="152" t="s">
        <v>169</v>
      </c>
      <c r="C12" s="84"/>
      <c r="D12" s="102"/>
      <c r="E12" s="153"/>
      <c r="F12" s="16"/>
      <c r="G12" s="16"/>
      <c r="H12" s="16"/>
      <c r="I12" s="16"/>
      <c r="J12" s="16"/>
      <c r="K12" s="13"/>
      <c r="L12" s="16"/>
      <c r="M12" s="63"/>
    </row>
    <row r="13" spans="1:13" ht="24" customHeight="1">
      <c r="A13" s="11">
        <f>A11+1</f>
        <v>5</v>
      </c>
      <c r="B13" s="99" t="s">
        <v>170</v>
      </c>
      <c r="C13" s="114" t="s">
        <v>17</v>
      </c>
      <c r="D13" s="102">
        <v>1158.6500000000001</v>
      </c>
      <c r="E13" s="87">
        <v>544.86</v>
      </c>
      <c r="F13" s="14">
        <f t="shared" ref="F13" si="4">ROUND(E13*D13,2)</f>
        <v>631302.04</v>
      </c>
      <c r="G13" s="14">
        <f t="shared" ref="G13" si="5">ROUND(F13*1.2,2)</f>
        <v>757562.45</v>
      </c>
      <c r="H13" s="15"/>
      <c r="I13" s="16"/>
      <c r="J13" s="16"/>
      <c r="K13" s="13">
        <f t="shared" ref="K13:L13" si="6">F13+I13</f>
        <v>631302.04</v>
      </c>
      <c r="L13" s="16">
        <f t="shared" si="6"/>
        <v>757562.45</v>
      </c>
      <c r="M13" s="63"/>
    </row>
    <row r="14" spans="1:13" ht="20.25" customHeight="1">
      <c r="A14" s="67"/>
      <c r="B14" s="74" t="s">
        <v>320</v>
      </c>
      <c r="C14" s="67"/>
      <c r="D14" s="75"/>
      <c r="E14" s="76"/>
      <c r="F14" s="71"/>
      <c r="G14" s="71"/>
      <c r="H14" s="72"/>
      <c r="I14" s="71"/>
      <c r="J14" s="71"/>
      <c r="K14" s="70"/>
      <c r="L14" s="73"/>
      <c r="M14" s="105"/>
    </row>
    <row r="15" spans="1:13" ht="24" customHeight="1">
      <c r="A15" s="11">
        <f>A13+1</f>
        <v>6</v>
      </c>
      <c r="B15" s="113" t="s">
        <v>164</v>
      </c>
      <c r="C15" s="114" t="s">
        <v>13</v>
      </c>
      <c r="D15" s="115">
        <v>767.05</v>
      </c>
      <c r="E15" s="18">
        <v>308.75</v>
      </c>
      <c r="F15" s="14">
        <f t="shared" ref="F15:F16" si="7">ROUND(E15*D15,2)</f>
        <v>236826.69</v>
      </c>
      <c r="G15" s="14">
        <f t="shared" ref="G15:G16" si="8">ROUND(F15*1.2,2)</f>
        <v>284192.03000000003</v>
      </c>
      <c r="H15" s="103"/>
      <c r="I15" s="104"/>
      <c r="J15" s="104"/>
      <c r="K15" s="18">
        <f t="shared" ref="K15:L16" si="9">F15+I15</f>
        <v>236826.69</v>
      </c>
      <c r="L15" s="87">
        <f t="shared" si="9"/>
        <v>284192.03000000003</v>
      </c>
      <c r="M15" s="105"/>
    </row>
    <row r="16" spans="1:13" ht="24" customHeight="1">
      <c r="A16" s="11">
        <f>A15+1</f>
        <v>7</v>
      </c>
      <c r="B16" s="113" t="s">
        <v>319</v>
      </c>
      <c r="C16" s="114" t="s">
        <v>13</v>
      </c>
      <c r="D16" s="115">
        <v>23.72</v>
      </c>
      <c r="E16" s="18">
        <v>1688.15</v>
      </c>
      <c r="F16" s="14">
        <f t="shared" si="7"/>
        <v>40042.92</v>
      </c>
      <c r="G16" s="14">
        <f t="shared" si="8"/>
        <v>48051.5</v>
      </c>
      <c r="H16" s="103"/>
      <c r="I16" s="104"/>
      <c r="J16" s="104"/>
      <c r="K16" s="18">
        <f t="shared" si="9"/>
        <v>40042.92</v>
      </c>
      <c r="L16" s="87">
        <f t="shared" si="9"/>
        <v>48051.5</v>
      </c>
      <c r="M16" s="105"/>
    </row>
    <row r="17" spans="1:13" ht="24" customHeight="1">
      <c r="A17" s="11"/>
      <c r="B17" s="152" t="s">
        <v>169</v>
      </c>
      <c r="C17" s="114"/>
      <c r="D17" s="102"/>
      <c r="E17" s="87"/>
      <c r="F17" s="14"/>
      <c r="G17" s="14"/>
      <c r="H17" s="15"/>
      <c r="I17" s="16"/>
      <c r="J17" s="16"/>
      <c r="K17" s="13"/>
      <c r="L17" s="154"/>
      <c r="M17" s="63"/>
    </row>
    <row r="18" spans="1:13" ht="18" customHeight="1">
      <c r="A18" s="11">
        <f>A16+1</f>
        <v>8</v>
      </c>
      <c r="B18" s="113" t="s">
        <v>321</v>
      </c>
      <c r="C18" s="114" t="s">
        <v>17</v>
      </c>
      <c r="D18" s="115">
        <v>1502.46</v>
      </c>
      <c r="E18" s="15">
        <v>308.75</v>
      </c>
      <c r="F18" s="14">
        <f t="shared" ref="F18" si="10">ROUND(E18*D18,2)</f>
        <v>463884.53</v>
      </c>
      <c r="G18" s="14">
        <f t="shared" ref="G18" si="11">ROUND(F18*1.2,2)</f>
        <v>556661.43999999994</v>
      </c>
      <c r="H18" s="15"/>
      <c r="I18" s="87"/>
      <c r="J18" s="87"/>
      <c r="K18" s="18">
        <f t="shared" ref="K18:L18" si="12">F18+I18</f>
        <v>463884.53</v>
      </c>
      <c r="L18" s="87">
        <f t="shared" si="12"/>
        <v>556661.43999999994</v>
      </c>
      <c r="M18" s="63"/>
    </row>
    <row r="19" spans="1:13" ht="23.25" customHeight="1">
      <c r="A19" s="67"/>
      <c r="B19" s="74" t="s">
        <v>327</v>
      </c>
      <c r="C19" s="67"/>
      <c r="D19" s="67"/>
      <c r="E19" s="76"/>
      <c r="F19" s="71"/>
      <c r="G19" s="71"/>
      <c r="H19" s="72"/>
      <c r="I19" s="71"/>
      <c r="J19" s="71"/>
      <c r="K19" s="70"/>
      <c r="L19" s="73"/>
    </row>
    <row r="20" spans="1:13" ht="20.25" customHeight="1">
      <c r="A20" s="36">
        <f>A18+1</f>
        <v>9</v>
      </c>
      <c r="B20" s="35" t="s">
        <v>147</v>
      </c>
      <c r="C20" s="36" t="s">
        <v>44</v>
      </c>
      <c r="D20" s="93">
        <v>2274.9</v>
      </c>
      <c r="E20" s="25">
        <v>183.58</v>
      </c>
      <c r="F20" s="30">
        <f>ROUND(E20*D20,2)</f>
        <v>417626.14</v>
      </c>
      <c r="G20" s="30">
        <f>ROUND(F20*1.2,2)</f>
        <v>501151.37</v>
      </c>
      <c r="H20" s="27"/>
      <c r="I20" s="30"/>
      <c r="J20" s="30"/>
      <c r="K20" s="31">
        <f t="shared" ref="K20:K25" si="13">F20+I20</f>
        <v>417626.14</v>
      </c>
      <c r="L20" s="32">
        <f t="shared" ref="L20:L25" si="14">G20+J20</f>
        <v>501151.37</v>
      </c>
    </row>
    <row r="21" spans="1:13" ht="18.75" customHeight="1">
      <c r="A21" s="38" t="s">
        <v>73</v>
      </c>
      <c r="B21" s="19" t="s">
        <v>148</v>
      </c>
      <c r="C21" s="20" t="s">
        <v>44</v>
      </c>
      <c r="D21" s="94">
        <f>D20*1.1</f>
        <v>2502.3900000000003</v>
      </c>
      <c r="E21" s="21"/>
      <c r="F21" s="22"/>
      <c r="G21" s="22"/>
      <c r="H21" s="39">
        <v>153.33000000000001</v>
      </c>
      <c r="I21" s="22">
        <f>ROUND(H21*D21,2)</f>
        <v>383691.46</v>
      </c>
      <c r="J21" s="22">
        <f t="shared" ref="J21" si="15">ROUND(I21*1.2,2)</f>
        <v>460429.75</v>
      </c>
      <c r="K21" s="23">
        <f t="shared" si="13"/>
        <v>383691.46</v>
      </c>
      <c r="L21" s="24">
        <f t="shared" si="14"/>
        <v>460429.75</v>
      </c>
      <c r="M21" s="63"/>
    </row>
    <row r="22" spans="1:13" ht="18.75" customHeight="1">
      <c r="A22" s="36">
        <f>A20+1</f>
        <v>10</v>
      </c>
      <c r="B22" s="35" t="s">
        <v>156</v>
      </c>
      <c r="C22" s="36" t="s">
        <v>13</v>
      </c>
      <c r="D22" s="93">
        <v>682.47</v>
      </c>
      <c r="E22" s="25">
        <v>1055.45</v>
      </c>
      <c r="F22" s="30">
        <f>ROUND(E22*D22,2)</f>
        <v>720312.96</v>
      </c>
      <c r="G22" s="30">
        <f>ROUND(F22*1.2,2)</f>
        <v>864375.55</v>
      </c>
      <c r="H22" s="27"/>
      <c r="I22" s="30"/>
      <c r="J22" s="30"/>
      <c r="K22" s="31">
        <f t="shared" si="13"/>
        <v>720312.96</v>
      </c>
      <c r="L22" s="32">
        <f t="shared" si="14"/>
        <v>864375.55</v>
      </c>
    </row>
    <row r="23" spans="1:13" ht="18.75" customHeight="1">
      <c r="A23" s="38" t="s">
        <v>18</v>
      </c>
      <c r="B23" s="19" t="s">
        <v>49</v>
      </c>
      <c r="C23" s="20" t="s">
        <v>13</v>
      </c>
      <c r="D23" s="94">
        <f>D22*1.1</f>
        <v>750.7170000000001</v>
      </c>
      <c r="E23" s="21"/>
      <c r="F23" s="22"/>
      <c r="G23" s="22"/>
      <c r="H23" s="39">
        <v>1427.76</v>
      </c>
      <c r="I23" s="22">
        <f>ROUND(H23*D23,2)</f>
        <v>1071843.7</v>
      </c>
      <c r="J23" s="22">
        <f t="shared" ref="J23" si="16">ROUND(I23*1.2,2)</f>
        <v>1286212.44</v>
      </c>
      <c r="K23" s="23">
        <f t="shared" si="13"/>
        <v>1071843.7</v>
      </c>
      <c r="L23" s="24">
        <f t="shared" si="14"/>
        <v>1286212.44</v>
      </c>
      <c r="M23" s="37"/>
    </row>
    <row r="24" spans="1:13" ht="18.75" customHeight="1">
      <c r="A24" s="36">
        <f>A22+1</f>
        <v>11</v>
      </c>
      <c r="B24" s="35" t="s">
        <v>323</v>
      </c>
      <c r="C24" s="36" t="s">
        <v>13</v>
      </c>
      <c r="D24" s="93">
        <v>341.23</v>
      </c>
      <c r="E24" s="25">
        <v>1666.3</v>
      </c>
      <c r="F24" s="30">
        <f>ROUND(E24*D24,2)</f>
        <v>568591.55000000005</v>
      </c>
      <c r="G24" s="30">
        <f>ROUND(F24*1.2,2)</f>
        <v>682309.86</v>
      </c>
      <c r="H24" s="27"/>
      <c r="I24" s="30"/>
      <c r="J24" s="30"/>
      <c r="K24" s="31">
        <f t="shared" si="13"/>
        <v>568591.55000000005</v>
      </c>
      <c r="L24" s="32">
        <f t="shared" si="14"/>
        <v>682309.86</v>
      </c>
    </row>
    <row r="25" spans="1:13" ht="18.75" customHeight="1">
      <c r="A25" s="38" t="s">
        <v>74</v>
      </c>
      <c r="B25" s="19" t="s">
        <v>322</v>
      </c>
      <c r="C25" s="20" t="s">
        <v>13</v>
      </c>
      <c r="D25" s="94">
        <f>D24*1.26</f>
        <v>429.94980000000004</v>
      </c>
      <c r="E25" s="21"/>
      <c r="F25" s="22"/>
      <c r="G25" s="22"/>
      <c r="H25" s="62">
        <v>2827.078</v>
      </c>
      <c r="I25" s="22">
        <f>ROUND(H25*D25,2)</f>
        <v>1215501.6200000001</v>
      </c>
      <c r="J25" s="22">
        <f t="shared" ref="J25" si="17">ROUND(I25*1.2,2)</f>
        <v>1458601.94</v>
      </c>
      <c r="K25" s="23">
        <f t="shared" si="13"/>
        <v>1215501.6200000001</v>
      </c>
      <c r="L25" s="24">
        <f t="shared" si="14"/>
        <v>1458601.94</v>
      </c>
      <c r="M25" s="37"/>
    </row>
    <row r="26" spans="1:13" ht="18.75" customHeight="1">
      <c r="A26" s="36">
        <f>A24+1</f>
        <v>12</v>
      </c>
      <c r="B26" s="35" t="s">
        <v>324</v>
      </c>
      <c r="C26" s="36" t="s">
        <v>13</v>
      </c>
      <c r="D26" s="93">
        <v>181.99</v>
      </c>
      <c r="E26" s="25">
        <v>1666.3</v>
      </c>
      <c r="F26" s="30">
        <f>ROUND(E26*D26,2)</f>
        <v>303249.94</v>
      </c>
      <c r="G26" s="30">
        <f>ROUND(F26*1.2,2)</f>
        <v>363899.93</v>
      </c>
      <c r="H26" s="27"/>
      <c r="I26" s="30"/>
      <c r="J26" s="30"/>
      <c r="K26" s="31">
        <f t="shared" ref="K26:K27" si="18">F26+I26</f>
        <v>303249.94</v>
      </c>
      <c r="L26" s="32">
        <f t="shared" ref="L26:L27" si="19">G26+J26</f>
        <v>363899.93</v>
      </c>
    </row>
    <row r="27" spans="1:13" ht="18.75" customHeight="1">
      <c r="A27" s="38" t="s">
        <v>75</v>
      </c>
      <c r="B27" s="19" t="s">
        <v>325</v>
      </c>
      <c r="C27" s="20" t="s">
        <v>13</v>
      </c>
      <c r="D27" s="94">
        <f>D26*1.26</f>
        <v>229.3074</v>
      </c>
      <c r="E27" s="21"/>
      <c r="F27" s="22"/>
      <c r="G27" s="22"/>
      <c r="H27" s="62">
        <v>2827.078</v>
      </c>
      <c r="I27" s="22">
        <f>ROUND(H27*D27,2)</f>
        <v>648269.91</v>
      </c>
      <c r="J27" s="22">
        <f t="shared" ref="J27" si="20">ROUND(I27*1.2,2)</f>
        <v>777923.89</v>
      </c>
      <c r="K27" s="23">
        <f t="shared" si="18"/>
        <v>648269.91</v>
      </c>
      <c r="L27" s="24">
        <f t="shared" si="19"/>
        <v>777923.89</v>
      </c>
      <c r="M27" s="37"/>
    </row>
    <row r="28" spans="1:13" ht="23.25" customHeight="1">
      <c r="A28" s="36">
        <f>A26+1</f>
        <v>13</v>
      </c>
      <c r="B28" s="35" t="s">
        <v>106</v>
      </c>
      <c r="C28" s="36" t="s">
        <v>44</v>
      </c>
      <c r="D28" s="95">
        <v>2458.4</v>
      </c>
      <c r="E28" s="25">
        <v>1083</v>
      </c>
      <c r="F28" s="30">
        <f t="shared" ref="F28" si="21">ROUND(E28*D28,2)</f>
        <v>2662447.2000000002</v>
      </c>
      <c r="G28" s="30">
        <f t="shared" ref="G28" si="22">ROUND(F28*1.2,2)</f>
        <v>3194936.64</v>
      </c>
      <c r="H28" s="27"/>
      <c r="I28" s="30"/>
      <c r="J28" s="30"/>
      <c r="K28" s="31">
        <f t="shared" ref="K28:K33" si="23">F28+I28</f>
        <v>2662447.2000000002</v>
      </c>
      <c r="L28" s="32">
        <f t="shared" ref="L28:L33" si="24">G28+J28</f>
        <v>3194936.64</v>
      </c>
    </row>
    <row r="29" spans="1:13" ht="37.5" customHeight="1">
      <c r="A29" s="38" t="s">
        <v>76</v>
      </c>
      <c r="B29" s="19" t="s">
        <v>47</v>
      </c>
      <c r="C29" s="20" t="s">
        <v>17</v>
      </c>
      <c r="D29" s="109">
        <f>D28*0.05*2.48</f>
        <v>304.84160000000003</v>
      </c>
      <c r="E29" s="21"/>
      <c r="F29" s="22"/>
      <c r="G29" s="22"/>
      <c r="H29" s="62">
        <v>4407.05</v>
      </c>
      <c r="I29" s="22">
        <f>ROUND(H29*D29,2)</f>
        <v>1343452.17</v>
      </c>
      <c r="J29" s="22">
        <f t="shared" ref="J29" si="25">ROUND(I29*1.2,2)</f>
        <v>1612142.6</v>
      </c>
      <c r="K29" s="23">
        <f t="shared" si="23"/>
        <v>1343452.17</v>
      </c>
      <c r="L29" s="24">
        <f t="shared" si="24"/>
        <v>1612142.6</v>
      </c>
      <c r="M29" s="37" t="s">
        <v>149</v>
      </c>
    </row>
    <row r="30" spans="1:13" ht="30.75" customHeight="1">
      <c r="A30" s="36">
        <f>A28+1</f>
        <v>14</v>
      </c>
      <c r="B30" s="35" t="s">
        <v>146</v>
      </c>
      <c r="C30" s="36" t="s">
        <v>44</v>
      </c>
      <c r="D30" s="95">
        <v>2430.73</v>
      </c>
      <c r="E30" s="66">
        <v>1516</v>
      </c>
      <c r="F30" s="30">
        <f>ROUND(E30*D30,2)</f>
        <v>3684986.68</v>
      </c>
      <c r="G30" s="30">
        <f>ROUND(F30*1.2,2)</f>
        <v>4421984.0199999996</v>
      </c>
      <c r="H30" s="27"/>
      <c r="I30" s="30"/>
      <c r="J30" s="30"/>
      <c r="K30" s="31">
        <f t="shared" si="23"/>
        <v>3684986.68</v>
      </c>
      <c r="L30" s="32">
        <f t="shared" si="24"/>
        <v>4421984.0199999996</v>
      </c>
      <c r="M30" s="37" t="s">
        <v>157</v>
      </c>
    </row>
    <row r="31" spans="1:13" ht="31.5" customHeight="1">
      <c r="A31" s="38" t="s">
        <v>77</v>
      </c>
      <c r="B31" s="19" t="s">
        <v>46</v>
      </c>
      <c r="C31" s="20" t="s">
        <v>17</v>
      </c>
      <c r="D31" s="109">
        <f>D30*0.07*2.48</f>
        <v>421.97472800000003</v>
      </c>
      <c r="E31" s="21"/>
      <c r="F31" s="22"/>
      <c r="G31" s="22"/>
      <c r="H31" s="62">
        <v>4407.05</v>
      </c>
      <c r="I31" s="22">
        <f>ROUND(H31*D31,2)</f>
        <v>1859663.73</v>
      </c>
      <c r="J31" s="22">
        <f t="shared" ref="J31" si="26">ROUND(I31*1.2,2)</f>
        <v>2231596.48</v>
      </c>
      <c r="K31" s="23">
        <f t="shared" si="23"/>
        <v>1859663.73</v>
      </c>
      <c r="L31" s="24">
        <f t="shared" si="24"/>
        <v>2231596.48</v>
      </c>
      <c r="M31" s="37" t="s">
        <v>149</v>
      </c>
    </row>
    <row r="32" spans="1:13" ht="18.75" customHeight="1">
      <c r="A32" s="36">
        <f>A30+1</f>
        <v>15</v>
      </c>
      <c r="B32" s="35" t="s">
        <v>48</v>
      </c>
      <c r="C32" s="36" t="s">
        <v>38</v>
      </c>
      <c r="D32" s="93">
        <v>59</v>
      </c>
      <c r="E32" s="25">
        <v>1555.15</v>
      </c>
      <c r="F32" s="30">
        <f>ROUND(E32*D32,2)</f>
        <v>91753.85</v>
      </c>
      <c r="G32" s="30">
        <f>ROUND(F32*1.2,2)</f>
        <v>110104.62</v>
      </c>
      <c r="H32" s="27"/>
      <c r="I32" s="30"/>
      <c r="J32" s="30"/>
      <c r="K32" s="31">
        <f t="shared" si="23"/>
        <v>91753.85</v>
      </c>
      <c r="L32" s="32">
        <f t="shared" si="24"/>
        <v>110104.62</v>
      </c>
    </row>
    <row r="33" spans="1:13" ht="18.75" customHeight="1">
      <c r="A33" s="38" t="s">
        <v>78</v>
      </c>
      <c r="B33" s="19" t="s">
        <v>50</v>
      </c>
      <c r="C33" s="20" t="s">
        <v>38</v>
      </c>
      <c r="D33" s="111">
        <v>59</v>
      </c>
      <c r="E33" s="21"/>
      <c r="F33" s="22"/>
      <c r="G33" s="22"/>
      <c r="H33" s="39">
        <v>247</v>
      </c>
      <c r="I33" s="22">
        <f>ROUND(H33*D33,2)</f>
        <v>14573</v>
      </c>
      <c r="J33" s="22">
        <f t="shared" ref="J33" si="27">ROUND(I33*1.2,2)</f>
        <v>17487.599999999999</v>
      </c>
      <c r="K33" s="23">
        <f t="shared" si="23"/>
        <v>14573</v>
      </c>
      <c r="L33" s="24">
        <f t="shared" si="24"/>
        <v>17487.599999999999</v>
      </c>
      <c r="M33" s="37"/>
    </row>
    <row r="34" spans="1:13" ht="27.75" customHeight="1">
      <c r="A34" s="67"/>
      <c r="B34" s="74" t="s">
        <v>326</v>
      </c>
      <c r="C34" s="67"/>
      <c r="D34" s="67"/>
      <c r="E34" s="76"/>
      <c r="F34" s="71"/>
      <c r="G34" s="71"/>
      <c r="H34" s="72"/>
      <c r="I34" s="71"/>
      <c r="J34" s="71"/>
      <c r="K34" s="70"/>
      <c r="L34" s="73"/>
    </row>
    <row r="35" spans="1:13" ht="18.75" customHeight="1">
      <c r="A35" s="36">
        <f>A32+1</f>
        <v>16</v>
      </c>
      <c r="B35" s="35" t="s">
        <v>323</v>
      </c>
      <c r="C35" s="36" t="s">
        <v>13</v>
      </c>
      <c r="D35" s="93">
        <v>18.399999999999999</v>
      </c>
      <c r="E35" s="25">
        <v>1666.3</v>
      </c>
      <c r="F35" s="30">
        <f>ROUND(E35*D35,2)</f>
        <v>30659.919999999998</v>
      </c>
      <c r="G35" s="30">
        <f>ROUND(F35*1.2,2)</f>
        <v>36791.9</v>
      </c>
      <c r="H35" s="27"/>
      <c r="I35" s="30"/>
      <c r="J35" s="30"/>
      <c r="K35" s="31">
        <f t="shared" ref="K35:K38" si="28">F35+I35</f>
        <v>30659.919999999998</v>
      </c>
      <c r="L35" s="32">
        <f t="shared" ref="L35:L38" si="29">G35+J35</f>
        <v>36791.9</v>
      </c>
    </row>
    <row r="36" spans="1:13" ht="18.75" customHeight="1">
      <c r="A36" s="38" t="s">
        <v>79</v>
      </c>
      <c r="B36" s="19" t="s">
        <v>322</v>
      </c>
      <c r="C36" s="20" t="s">
        <v>13</v>
      </c>
      <c r="D36" s="94">
        <f>D35*1.26</f>
        <v>23.183999999999997</v>
      </c>
      <c r="E36" s="21"/>
      <c r="F36" s="22"/>
      <c r="G36" s="22"/>
      <c r="H36" s="62">
        <v>2827.078</v>
      </c>
      <c r="I36" s="22">
        <f>ROUND(H36*D36,2)</f>
        <v>65542.98</v>
      </c>
      <c r="J36" s="22">
        <f t="shared" ref="J36" si="30">ROUND(I36*1.2,2)</f>
        <v>78651.58</v>
      </c>
      <c r="K36" s="23">
        <f t="shared" si="28"/>
        <v>65542.98</v>
      </c>
      <c r="L36" s="24">
        <f t="shared" si="29"/>
        <v>78651.58</v>
      </c>
      <c r="M36" s="37"/>
    </row>
    <row r="37" spans="1:13" ht="18.75" customHeight="1">
      <c r="A37" s="36">
        <f>A35+1</f>
        <v>17</v>
      </c>
      <c r="B37" s="35" t="s">
        <v>324</v>
      </c>
      <c r="C37" s="36" t="s">
        <v>13</v>
      </c>
      <c r="D37" s="93">
        <v>36.78</v>
      </c>
      <c r="E37" s="25">
        <v>1666.3</v>
      </c>
      <c r="F37" s="30">
        <f>ROUND(E37*D37,2)</f>
        <v>61286.51</v>
      </c>
      <c r="G37" s="30">
        <f>ROUND(F37*1.2,2)</f>
        <v>73543.81</v>
      </c>
      <c r="H37" s="27"/>
      <c r="I37" s="30"/>
      <c r="J37" s="30"/>
      <c r="K37" s="31">
        <f t="shared" si="28"/>
        <v>61286.51</v>
      </c>
      <c r="L37" s="32">
        <f t="shared" si="29"/>
        <v>73543.81</v>
      </c>
    </row>
    <row r="38" spans="1:13" ht="18.75" customHeight="1">
      <c r="A38" s="38" t="s">
        <v>80</v>
      </c>
      <c r="B38" s="19" t="s">
        <v>325</v>
      </c>
      <c r="C38" s="20" t="s">
        <v>13</v>
      </c>
      <c r="D38" s="94">
        <f>D37*1.26</f>
        <v>46.342800000000004</v>
      </c>
      <c r="E38" s="21"/>
      <c r="F38" s="22"/>
      <c r="G38" s="22"/>
      <c r="H38" s="62">
        <v>2827.078</v>
      </c>
      <c r="I38" s="22">
        <f>ROUND(H38*D38,2)</f>
        <v>131014.71</v>
      </c>
      <c r="J38" s="22">
        <f t="shared" ref="J38" si="31">ROUND(I38*1.2,2)</f>
        <v>157217.65</v>
      </c>
      <c r="K38" s="23">
        <f t="shared" si="28"/>
        <v>131014.71</v>
      </c>
      <c r="L38" s="24">
        <f t="shared" si="29"/>
        <v>157217.65</v>
      </c>
      <c r="M38" s="37"/>
    </row>
    <row r="39" spans="1:13" ht="23.25" customHeight="1">
      <c r="A39" s="67"/>
      <c r="B39" s="77" t="s">
        <v>328</v>
      </c>
      <c r="C39" s="67"/>
      <c r="D39" s="78"/>
      <c r="E39" s="76"/>
      <c r="F39" s="71"/>
      <c r="G39" s="71"/>
      <c r="H39" s="72"/>
      <c r="I39" s="71"/>
      <c r="J39" s="71"/>
      <c r="K39" s="70"/>
      <c r="L39" s="73"/>
    </row>
    <row r="40" spans="1:13" ht="27.75" customHeight="1">
      <c r="A40" s="36">
        <f>A37+1</f>
        <v>18</v>
      </c>
      <c r="B40" s="35" t="s">
        <v>329</v>
      </c>
      <c r="C40" s="36" t="s">
        <v>13</v>
      </c>
      <c r="D40" s="95">
        <f>801.35*0.8</f>
        <v>641.08000000000004</v>
      </c>
      <c r="E40" s="25">
        <v>419.9</v>
      </c>
      <c r="F40" s="30">
        <f t="shared" ref="F40" si="32">ROUND(E40*D40,2)</f>
        <v>269189.49</v>
      </c>
      <c r="G40" s="30">
        <f t="shared" ref="G40" si="33">ROUND(F40*1.2,2)</f>
        <v>323027.39</v>
      </c>
      <c r="H40" s="27"/>
      <c r="I40" s="30"/>
      <c r="J40" s="30"/>
      <c r="K40" s="31">
        <f t="shared" ref="K40:K47" si="34">F40+I40</f>
        <v>269189.49</v>
      </c>
      <c r="L40" s="32">
        <f t="shared" ref="L40:L47" si="35">G40+J40</f>
        <v>323027.39</v>
      </c>
      <c r="M40" s="61"/>
    </row>
    <row r="41" spans="1:13" ht="18.75" customHeight="1">
      <c r="A41" s="38" t="s">
        <v>81</v>
      </c>
      <c r="B41" s="65" t="s">
        <v>109</v>
      </c>
      <c r="C41" s="64" t="s">
        <v>13</v>
      </c>
      <c r="D41" s="125">
        <f>D40</f>
        <v>641.08000000000004</v>
      </c>
      <c r="E41" s="28"/>
      <c r="F41" s="22"/>
      <c r="G41" s="22"/>
      <c r="H41" s="62">
        <v>1262.44</v>
      </c>
      <c r="I41" s="22">
        <f>ROUND(H41*D41,2)</f>
        <v>809325.04</v>
      </c>
      <c r="J41" s="22">
        <f t="shared" ref="J41" si="36">ROUND(I41*1.2,2)</f>
        <v>971190.05</v>
      </c>
      <c r="K41" s="23">
        <f t="shared" si="34"/>
        <v>809325.04</v>
      </c>
      <c r="L41" s="24">
        <f t="shared" si="35"/>
        <v>971190.05</v>
      </c>
      <c r="M41" s="37" t="s">
        <v>110</v>
      </c>
    </row>
    <row r="42" spans="1:13" ht="29.25" customHeight="1">
      <c r="A42" s="36">
        <f>A40+1</f>
        <v>19</v>
      </c>
      <c r="B42" s="35" t="s">
        <v>330</v>
      </c>
      <c r="C42" s="36" t="s">
        <v>13</v>
      </c>
      <c r="D42" s="95">
        <f>801.35*0.2</f>
        <v>160.27000000000001</v>
      </c>
      <c r="E42" s="66">
        <v>304.06</v>
      </c>
      <c r="F42" s="30">
        <f t="shared" ref="F42" si="37">ROUND(E42*D42,2)</f>
        <v>48731.7</v>
      </c>
      <c r="G42" s="30">
        <f t="shared" ref="G42" si="38">ROUND(F42*1.2,2)</f>
        <v>58478.04</v>
      </c>
      <c r="H42" s="27"/>
      <c r="I42" s="30"/>
      <c r="J42" s="30"/>
      <c r="K42" s="31">
        <f t="shared" si="34"/>
        <v>48731.7</v>
      </c>
      <c r="L42" s="32">
        <f t="shared" si="35"/>
        <v>58478.04</v>
      </c>
      <c r="M42" s="37" t="s">
        <v>110</v>
      </c>
    </row>
    <row r="43" spans="1:13" ht="18.75" customHeight="1">
      <c r="A43" s="38" t="s">
        <v>82</v>
      </c>
      <c r="B43" s="65" t="s">
        <v>109</v>
      </c>
      <c r="C43" s="64" t="s">
        <v>13</v>
      </c>
      <c r="D43" s="125">
        <f>D42</f>
        <v>160.27000000000001</v>
      </c>
      <c r="E43" s="28"/>
      <c r="F43" s="22"/>
      <c r="G43" s="22"/>
      <c r="H43" s="62">
        <v>1262.44</v>
      </c>
      <c r="I43" s="22">
        <f>ROUND(H43*D43,2)</f>
        <v>202331.26</v>
      </c>
      <c r="J43" s="22">
        <f t="shared" ref="J43" si="39">ROUND(I43*1.2,2)</f>
        <v>242797.51</v>
      </c>
      <c r="K43" s="23">
        <f t="shared" si="34"/>
        <v>202331.26</v>
      </c>
      <c r="L43" s="24">
        <f t="shared" si="35"/>
        <v>242797.51</v>
      </c>
      <c r="M43" s="37" t="s">
        <v>110</v>
      </c>
    </row>
    <row r="44" spans="1:13" ht="18.75" customHeight="1">
      <c r="A44" s="36">
        <f>A42+1</f>
        <v>20</v>
      </c>
      <c r="B44" s="35" t="s">
        <v>56</v>
      </c>
      <c r="C44" s="36" t="s">
        <v>44</v>
      </c>
      <c r="D44" s="116">
        <v>801.35</v>
      </c>
      <c r="E44" s="66">
        <v>118.81</v>
      </c>
      <c r="F44" s="30">
        <f t="shared" ref="F44" si="40">ROUND(E44*D44,2)</f>
        <v>95208.39</v>
      </c>
      <c r="G44" s="30">
        <f t="shared" ref="G44" si="41">ROUND(F44*1.2,2)</f>
        <v>114250.07</v>
      </c>
      <c r="H44" s="27"/>
      <c r="I44" s="30"/>
      <c r="J44" s="30"/>
      <c r="K44" s="31">
        <f t="shared" si="34"/>
        <v>95208.39</v>
      </c>
      <c r="L44" s="32">
        <f t="shared" si="35"/>
        <v>114250.07</v>
      </c>
      <c r="M44" s="37" t="s">
        <v>110</v>
      </c>
    </row>
    <row r="45" spans="1:13" ht="18.75" customHeight="1">
      <c r="A45" s="38" t="s">
        <v>144</v>
      </c>
      <c r="B45" s="65" t="s">
        <v>57</v>
      </c>
      <c r="C45" s="64" t="s">
        <v>61</v>
      </c>
      <c r="D45" s="126">
        <v>2.2400000000000002</v>
      </c>
      <c r="E45" s="28"/>
      <c r="F45" s="22"/>
      <c r="G45" s="22"/>
      <c r="H45" s="39">
        <v>461.7</v>
      </c>
      <c r="I45" s="22">
        <f>ROUND(H45*D45,2)</f>
        <v>1034.21</v>
      </c>
      <c r="J45" s="22">
        <f t="shared" ref="J45:J47" si="42">ROUND(I45*1.2,2)</f>
        <v>1241.05</v>
      </c>
      <c r="K45" s="23">
        <f t="shared" si="34"/>
        <v>1034.21</v>
      </c>
      <c r="L45" s="24">
        <f t="shared" si="35"/>
        <v>1241.05</v>
      </c>
      <c r="M45" s="61"/>
    </row>
    <row r="46" spans="1:13" ht="18.75" customHeight="1">
      <c r="A46" s="38" t="s">
        <v>199</v>
      </c>
      <c r="B46" s="65" t="s">
        <v>58</v>
      </c>
      <c r="C46" s="64" t="s">
        <v>61</v>
      </c>
      <c r="D46" s="126">
        <v>1.76</v>
      </c>
      <c r="E46" s="28"/>
      <c r="F46" s="22"/>
      <c r="G46" s="22"/>
      <c r="H46" s="39">
        <v>615.6</v>
      </c>
      <c r="I46" s="22">
        <f>ROUND(H46*D46,2)</f>
        <v>1083.46</v>
      </c>
      <c r="J46" s="22">
        <f t="shared" si="42"/>
        <v>1300.1500000000001</v>
      </c>
      <c r="K46" s="23">
        <f t="shared" si="34"/>
        <v>1083.46</v>
      </c>
      <c r="L46" s="24">
        <f t="shared" si="35"/>
        <v>1300.1500000000001</v>
      </c>
      <c r="M46" s="61"/>
    </row>
    <row r="47" spans="1:13" ht="18.75" customHeight="1">
      <c r="A47" s="38" t="s">
        <v>200</v>
      </c>
      <c r="B47" s="65" t="s">
        <v>59</v>
      </c>
      <c r="C47" s="64" t="s">
        <v>61</v>
      </c>
      <c r="D47" s="126">
        <v>1.6</v>
      </c>
      <c r="E47" s="28"/>
      <c r="F47" s="22"/>
      <c r="G47" s="22"/>
      <c r="H47" s="39">
        <v>1201.75</v>
      </c>
      <c r="I47" s="22">
        <f>ROUND(H47*D47,2)</f>
        <v>1922.8</v>
      </c>
      <c r="J47" s="22">
        <f t="shared" si="42"/>
        <v>2307.36</v>
      </c>
      <c r="K47" s="23">
        <f t="shared" si="34"/>
        <v>1922.8</v>
      </c>
      <c r="L47" s="24">
        <f t="shared" si="35"/>
        <v>2307.36</v>
      </c>
      <c r="M47" s="61"/>
    </row>
    <row r="48" spans="1:13" ht="57.75" customHeight="1">
      <c r="A48" s="155"/>
      <c r="B48" s="156" t="s">
        <v>26</v>
      </c>
      <c r="C48" s="157"/>
      <c r="D48" s="157"/>
      <c r="E48" s="158"/>
      <c r="F48" s="159"/>
      <c r="G48" s="159"/>
      <c r="H48" s="160"/>
      <c r="I48" s="159"/>
      <c r="J48" s="159"/>
      <c r="K48" s="158"/>
      <c r="L48" s="161"/>
      <c r="M48" s="79" t="s">
        <v>337</v>
      </c>
    </row>
    <row r="49" spans="1:13" ht="18.75" customHeight="1">
      <c r="A49" s="162">
        <f>A44+1</f>
        <v>21</v>
      </c>
      <c r="B49" s="163" t="s">
        <v>27</v>
      </c>
      <c r="C49" s="162" t="s">
        <v>13</v>
      </c>
      <c r="D49" s="164">
        <v>2783.7</v>
      </c>
      <c r="E49" s="153">
        <v>308.75</v>
      </c>
      <c r="F49" s="121">
        <f t="shared" ref="F49:F51" si="43">ROUND(E49*D49,2)</f>
        <v>859467.38</v>
      </c>
      <c r="G49" s="121">
        <f t="shared" ref="G49:G51" si="44">ROUND(F49*1.2,2)</f>
        <v>1031360.86</v>
      </c>
      <c r="H49" s="165"/>
      <c r="I49" s="166"/>
      <c r="J49" s="166"/>
      <c r="K49" s="153">
        <f t="shared" ref="K49:L51" si="45">F49+I49</f>
        <v>859467.38</v>
      </c>
      <c r="L49" s="167">
        <f t="shared" si="45"/>
        <v>1031360.86</v>
      </c>
    </row>
    <row r="50" spans="1:13" ht="18.75" customHeight="1">
      <c r="A50" s="162">
        <f>A49+1</f>
        <v>22</v>
      </c>
      <c r="B50" s="163" t="s">
        <v>29</v>
      </c>
      <c r="C50" s="162" t="s">
        <v>13</v>
      </c>
      <c r="D50" s="164">
        <v>270.7</v>
      </c>
      <c r="E50" s="153">
        <v>308.75</v>
      </c>
      <c r="F50" s="121">
        <f t="shared" si="43"/>
        <v>83578.63</v>
      </c>
      <c r="G50" s="121">
        <f t="shared" si="44"/>
        <v>100294.36</v>
      </c>
      <c r="H50" s="165"/>
      <c r="I50" s="166"/>
      <c r="J50" s="166"/>
      <c r="K50" s="153">
        <f t="shared" si="45"/>
        <v>83578.63</v>
      </c>
      <c r="L50" s="167">
        <f t="shared" si="45"/>
        <v>100294.36</v>
      </c>
    </row>
    <row r="51" spans="1:13" ht="28.5" customHeight="1">
      <c r="A51" s="162">
        <f t="shared" ref="A51" si="46">A50+1</f>
        <v>23</v>
      </c>
      <c r="B51" s="163" t="s">
        <v>114</v>
      </c>
      <c r="C51" s="162" t="s">
        <v>13</v>
      </c>
      <c r="D51" s="164">
        <v>270.7</v>
      </c>
      <c r="E51" s="153">
        <v>188.1</v>
      </c>
      <c r="F51" s="121">
        <f t="shared" si="43"/>
        <v>50918.67</v>
      </c>
      <c r="G51" s="121">
        <f t="shared" si="44"/>
        <v>61102.400000000001</v>
      </c>
      <c r="H51" s="165"/>
      <c r="I51" s="166"/>
      <c r="J51" s="166"/>
      <c r="K51" s="153">
        <f t="shared" si="45"/>
        <v>50918.67</v>
      </c>
      <c r="L51" s="167">
        <f t="shared" si="45"/>
        <v>61102.400000000001</v>
      </c>
      <c r="M51" s="61"/>
    </row>
    <row r="52" spans="1:13" ht="24" customHeight="1">
      <c r="A52" s="162"/>
      <c r="B52" s="168" t="s">
        <v>169</v>
      </c>
      <c r="C52" s="169"/>
      <c r="D52" s="170"/>
      <c r="E52" s="166"/>
      <c r="F52" s="121"/>
      <c r="G52" s="121"/>
      <c r="H52" s="165"/>
      <c r="I52" s="166"/>
      <c r="J52" s="166"/>
      <c r="K52" s="153"/>
      <c r="L52" s="171"/>
      <c r="M52" s="63"/>
    </row>
    <row r="53" spans="1:13" ht="18" customHeight="1">
      <c r="A53" s="162">
        <f>A51+1</f>
        <v>24</v>
      </c>
      <c r="B53" s="142" t="s">
        <v>321</v>
      </c>
      <c r="C53" s="169" t="s">
        <v>17</v>
      </c>
      <c r="D53" s="172">
        <v>4774.7</v>
      </c>
      <c r="E53" s="165">
        <v>308.75</v>
      </c>
      <c r="F53" s="121">
        <f t="shared" ref="F53" si="47">ROUND(E53*D53,2)</f>
        <v>1474188.63</v>
      </c>
      <c r="G53" s="121">
        <f t="shared" ref="G53" si="48">ROUND(F53*1.2,2)</f>
        <v>1769026.36</v>
      </c>
      <c r="H53" s="165"/>
      <c r="I53" s="166"/>
      <c r="J53" s="166"/>
      <c r="K53" s="153">
        <f t="shared" ref="K53" si="49">F53+I53</f>
        <v>1474188.63</v>
      </c>
      <c r="L53" s="166">
        <f t="shared" ref="L53" si="50">G53+J53</f>
        <v>1769026.36</v>
      </c>
      <c r="M53" s="63"/>
    </row>
    <row r="54" spans="1:13" ht="18" customHeight="1">
      <c r="A54" s="155"/>
      <c r="B54" s="156" t="s">
        <v>331</v>
      </c>
      <c r="C54" s="157"/>
      <c r="D54" s="157"/>
      <c r="E54" s="158"/>
      <c r="F54" s="159"/>
      <c r="G54" s="159"/>
      <c r="H54" s="160"/>
      <c r="I54" s="159"/>
      <c r="J54" s="159"/>
      <c r="K54" s="158"/>
      <c r="L54" s="161"/>
    </row>
    <row r="55" spans="1:13" ht="30.75" customHeight="1">
      <c r="A55" s="162">
        <f>A53+1</f>
        <v>25</v>
      </c>
      <c r="B55" s="142" t="s">
        <v>198</v>
      </c>
      <c r="C55" s="162" t="s">
        <v>13</v>
      </c>
      <c r="D55" s="170">
        <f>0.18+0.51+0.152</f>
        <v>0.84199999999999997</v>
      </c>
      <c r="E55" s="66">
        <v>17265.68</v>
      </c>
      <c r="F55" s="166">
        <f t="shared" ref="F55" si="51">ROUND(E55*D55,2)</f>
        <v>14537.7</v>
      </c>
      <c r="G55" s="166">
        <f t="shared" ref="G55" si="52">ROUND(F55*1.2,2)</f>
        <v>17445.240000000002</v>
      </c>
      <c r="H55" s="173"/>
      <c r="I55" s="166"/>
      <c r="J55" s="166"/>
      <c r="K55" s="153">
        <f t="shared" ref="K55:K59" si="53">F55+I55</f>
        <v>14537.7</v>
      </c>
      <c r="L55" s="166">
        <f t="shared" ref="L55:L59" si="54">G55+J55</f>
        <v>17445.240000000002</v>
      </c>
      <c r="M55" s="105"/>
    </row>
    <row r="56" spans="1:13" ht="18.75" customHeight="1">
      <c r="A56" s="174" t="s">
        <v>154</v>
      </c>
      <c r="B56" s="140" t="s">
        <v>238</v>
      </c>
      <c r="C56" s="175" t="s">
        <v>38</v>
      </c>
      <c r="D56" s="176">
        <v>1</v>
      </c>
      <c r="E56" s="82"/>
      <c r="F56" s="62"/>
      <c r="G56" s="62"/>
      <c r="H56" s="143">
        <v>4025</v>
      </c>
      <c r="I56" s="62">
        <f t="shared" ref="I56:I59" si="55">ROUND(H56*D56,2)</f>
        <v>4025</v>
      </c>
      <c r="J56" s="62">
        <f t="shared" ref="J56:J59" si="56">ROUND(I56*1.2,2)</f>
        <v>4830</v>
      </c>
      <c r="K56" s="82">
        <f t="shared" si="53"/>
        <v>4025</v>
      </c>
      <c r="L56" s="62">
        <f t="shared" si="54"/>
        <v>4830</v>
      </c>
      <c r="M56" s="37"/>
    </row>
    <row r="57" spans="1:13" ht="18.75" customHeight="1">
      <c r="A57" s="174" t="s">
        <v>334</v>
      </c>
      <c r="B57" s="140" t="s">
        <v>332</v>
      </c>
      <c r="C57" s="175" t="s">
        <v>38</v>
      </c>
      <c r="D57" s="176">
        <v>1</v>
      </c>
      <c r="E57" s="82"/>
      <c r="F57" s="62"/>
      <c r="G57" s="62"/>
      <c r="H57" s="143">
        <v>11691.67</v>
      </c>
      <c r="I57" s="62">
        <f t="shared" ref="I57" si="57">ROUND(H57*D57,2)</f>
        <v>11691.67</v>
      </c>
      <c r="J57" s="62">
        <f t="shared" ref="J57" si="58">ROUND(I57*1.2,2)</f>
        <v>14030</v>
      </c>
      <c r="K57" s="82">
        <f t="shared" ref="K57" si="59">F57+I57</f>
        <v>11691.67</v>
      </c>
      <c r="L57" s="62">
        <f t="shared" ref="L57" si="60">G57+J57</f>
        <v>14030</v>
      </c>
      <c r="M57" s="37"/>
    </row>
    <row r="58" spans="1:13" ht="18.75" customHeight="1">
      <c r="A58" s="174" t="s">
        <v>335</v>
      </c>
      <c r="B58" s="140" t="s">
        <v>333</v>
      </c>
      <c r="C58" s="175" t="s">
        <v>38</v>
      </c>
      <c r="D58" s="176">
        <v>1</v>
      </c>
      <c r="E58" s="82"/>
      <c r="F58" s="62"/>
      <c r="G58" s="62"/>
      <c r="H58" s="143"/>
      <c r="I58" s="62">
        <f t="shared" si="55"/>
        <v>0</v>
      </c>
      <c r="J58" s="62">
        <f t="shared" si="56"/>
        <v>0</v>
      </c>
      <c r="K58" s="82">
        <f t="shared" si="53"/>
        <v>0</v>
      </c>
      <c r="L58" s="62">
        <f t="shared" si="54"/>
        <v>0</v>
      </c>
      <c r="M58" s="37"/>
    </row>
    <row r="59" spans="1:13" ht="18.75" customHeight="1">
      <c r="A59" s="174" t="s">
        <v>336</v>
      </c>
      <c r="B59" s="140" t="s">
        <v>215</v>
      </c>
      <c r="C59" s="175" t="s">
        <v>38</v>
      </c>
      <c r="D59" s="176">
        <v>1</v>
      </c>
      <c r="E59" s="82"/>
      <c r="F59" s="62"/>
      <c r="G59" s="62"/>
      <c r="H59" s="143">
        <v>14421</v>
      </c>
      <c r="I59" s="62">
        <f t="shared" si="55"/>
        <v>14421</v>
      </c>
      <c r="J59" s="62">
        <f t="shared" si="56"/>
        <v>17305.2</v>
      </c>
      <c r="K59" s="82">
        <f t="shared" si="53"/>
        <v>14421</v>
      </c>
      <c r="L59" s="62">
        <f t="shared" si="54"/>
        <v>17305.2</v>
      </c>
      <c r="M59" s="37"/>
    </row>
    <row r="60" spans="1:13" ht="21.75" customHeight="1">
      <c r="A60" s="201" t="s">
        <v>14</v>
      </c>
      <c r="B60" s="202"/>
      <c r="C60" s="202"/>
      <c r="D60" s="202"/>
      <c r="E60" s="203"/>
      <c r="F60" s="41">
        <f>SUM(F8:F59)</f>
        <v>14889649.380000003</v>
      </c>
      <c r="G60" s="40">
        <f>ROUND(F60*1.2,2)</f>
        <v>17867579.260000002</v>
      </c>
      <c r="H60" s="42"/>
      <c r="I60" s="41">
        <f>SUM(I8:I59)</f>
        <v>7779387.7199999997</v>
      </c>
      <c r="J60" s="40">
        <f>ROUND(I60*1.2,2)</f>
        <v>9335265.2599999998</v>
      </c>
      <c r="K60" s="41">
        <f>SUM(K8:K59)</f>
        <v>22669037.100000005</v>
      </c>
      <c r="L60" s="40">
        <f>ROUND(K60*1.2,2)</f>
        <v>27202844.52</v>
      </c>
    </row>
  </sheetData>
  <mergeCells count="10">
    <mergeCell ref="A60:E60"/>
    <mergeCell ref="B6:D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Свод</vt:lpstr>
      <vt:lpstr>ГП2 </vt:lpstr>
      <vt:lpstr>ГП1</vt:lpstr>
      <vt:lpstr>ГП1!Область_печати</vt:lpstr>
      <vt:lpstr>ГП2 !Область_печати</vt:lpstr>
      <vt:lpstr>Свод!Область_печати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2024-02-26T16:38:11Z</dcterms:created>
  <dcterms:modified xsi:type="dcterms:W3CDTF">2024-06-16T06:55:47Z</dcterms:modified>
</cp:coreProperties>
</file>