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7D39666E-E73D-43D1-80C0-546A8D1D62D7}" xr6:coauthVersionLast="47" xr6:coauthVersionMax="47" xr10:uidLastSave="{00000000-0000-0000-0000-000000000000}"/>
  <bookViews>
    <workbookView xWindow="-120" yWindow="-120" windowWidth="51840" windowHeight="21240" activeTab="6" xr2:uid="{D475925F-4D86-4D8A-9BB7-FC40D61966BD}"/>
  </bookViews>
  <sheets>
    <sheet name="Свод АС1" sheetId="1" r:id="rId1"/>
    <sheet name="ФМ1" sheetId="12" r:id="rId2"/>
    <sheet name="ФМ2" sheetId="13" r:id="rId3"/>
    <sheet name="Опоры ОП1" sheetId="14" r:id="rId4"/>
    <sheet name="Фермы Ф1, Ф2" sheetId="15" r:id="rId5"/>
    <sheet name="Смещение закладных" sheetId="16" r:id="rId6"/>
    <sheet name="Площадка" sheetId="17" r:id="rId7"/>
    <sheet name="Водосток" sheetId="11" r:id="rId8"/>
  </sheets>
  <definedNames>
    <definedName name="_xlnm.Print_Area" localSheetId="7">Водосток!$A$1:$L$47</definedName>
    <definedName name="_xlnm.Print_Area" localSheetId="3">'Опоры ОП1'!$A$1:$L$24</definedName>
    <definedName name="_xlnm.Print_Area" localSheetId="6">Площадка!$A$1:$L$44</definedName>
    <definedName name="_xlnm.Print_Area" localSheetId="0">'Свод АС1'!$A$1:$H$10</definedName>
    <definedName name="_xlnm.Print_Area" localSheetId="5">'Смещение закладных'!$A$1:$L$23</definedName>
    <definedName name="_xlnm.Print_Area" localSheetId="4">'Фермы Ф1, Ф2'!$A$1:$L$41</definedName>
    <definedName name="_xlnm.Print_Area" localSheetId="1">ФМ1!$A$1:$L$50</definedName>
    <definedName name="_xlnm.Print_Area" localSheetId="2">ФМ2!$A$1:$L$33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7" l="1"/>
  <c r="J24" i="17" s="1"/>
  <c r="L24" i="17" s="1"/>
  <c r="K24" i="17" l="1"/>
  <c r="I37" i="17"/>
  <c r="J37" i="17" s="1"/>
  <c r="L37" i="17" s="1"/>
  <c r="I28" i="17"/>
  <c r="J28" i="17" s="1"/>
  <c r="L28" i="17" s="1"/>
  <c r="I27" i="17"/>
  <c r="J27" i="17" s="1"/>
  <c r="L27" i="17" s="1"/>
  <c r="K37" i="17" l="1"/>
  <c r="K27" i="17"/>
  <c r="K28" i="17"/>
  <c r="D43" i="17" l="1"/>
  <c r="I43" i="17" s="1"/>
  <c r="K43" i="17" s="1"/>
  <c r="D42" i="17"/>
  <c r="F42" i="17" s="1"/>
  <c r="G42" i="17" s="1"/>
  <c r="L42" i="17" s="1"/>
  <c r="D41" i="17"/>
  <c r="I41" i="17" s="1"/>
  <c r="K41" i="17" s="1"/>
  <c r="F40" i="17"/>
  <c r="G40" i="17" s="1"/>
  <c r="L40" i="17" s="1"/>
  <c r="I39" i="17"/>
  <c r="K39" i="17" s="1"/>
  <c r="F38" i="17"/>
  <c r="G38" i="17" s="1"/>
  <c r="L38" i="17" s="1"/>
  <c r="I36" i="17"/>
  <c r="K36" i="17" s="1"/>
  <c r="I35" i="17"/>
  <c r="J35" i="17" s="1"/>
  <c r="L35" i="17" s="1"/>
  <c r="I34" i="17"/>
  <c r="K34" i="17" s="1"/>
  <c r="I33" i="17"/>
  <c r="K33" i="17" s="1"/>
  <c r="I32" i="17"/>
  <c r="J32" i="17" s="1"/>
  <c r="L32" i="17" s="1"/>
  <c r="I31" i="17"/>
  <c r="J31" i="17" s="1"/>
  <c r="L31" i="17" s="1"/>
  <c r="K42" i="17" l="1"/>
  <c r="J43" i="17"/>
  <c r="L43" i="17" s="1"/>
  <c r="K40" i="17"/>
  <c r="J41" i="17"/>
  <c r="L41" i="17" s="1"/>
  <c r="K32" i="17"/>
  <c r="K35" i="17"/>
  <c r="K38" i="17"/>
  <c r="J39" i="17"/>
  <c r="L39" i="17" s="1"/>
  <c r="K31" i="17"/>
  <c r="J33" i="17"/>
  <c r="L33" i="17" s="1"/>
  <c r="J36" i="17"/>
  <c r="L36" i="17" s="1"/>
  <c r="J34" i="17"/>
  <c r="L34" i="17" s="1"/>
  <c r="I30" i="17" l="1"/>
  <c r="J30" i="17" s="1"/>
  <c r="L30" i="17" s="1"/>
  <c r="I29" i="17"/>
  <c r="J29" i="17" s="1"/>
  <c r="L29" i="17" s="1"/>
  <c r="I26" i="17"/>
  <c r="K26" i="17" s="1"/>
  <c r="I25" i="17"/>
  <c r="J25" i="17" s="1"/>
  <c r="L25" i="17" s="1"/>
  <c r="I23" i="17"/>
  <c r="K23" i="17" s="1"/>
  <c r="I22" i="17"/>
  <c r="J22" i="17" s="1"/>
  <c r="L22" i="17" s="1"/>
  <c r="F21" i="17"/>
  <c r="K21" i="17" s="1"/>
  <c r="F19" i="17"/>
  <c r="K19" i="17" s="1"/>
  <c r="D18" i="17"/>
  <c r="I18" i="17" s="1"/>
  <c r="F17" i="17"/>
  <c r="K17" i="17" s="1"/>
  <c r="I16" i="17"/>
  <c r="K16" i="17" s="1"/>
  <c r="F15" i="17"/>
  <c r="G15" i="17" s="1"/>
  <c r="L15" i="17" s="1"/>
  <c r="D14" i="17"/>
  <c r="I14" i="17" s="1"/>
  <c r="K14" i="17" s="1"/>
  <c r="F13" i="17"/>
  <c r="G13" i="17" s="1"/>
  <c r="L13" i="17" s="1"/>
  <c r="D12" i="17"/>
  <c r="I12" i="17" s="1"/>
  <c r="K12" i="17" s="1"/>
  <c r="D11" i="17"/>
  <c r="F11" i="17" s="1"/>
  <c r="K11" i="17" s="1"/>
  <c r="K22" i="17" l="1"/>
  <c r="K30" i="17"/>
  <c r="K29" i="17"/>
  <c r="K25" i="17"/>
  <c r="J23" i="17"/>
  <c r="L23" i="17" s="1"/>
  <c r="J26" i="17"/>
  <c r="L26" i="17" s="1"/>
  <c r="G21" i="17"/>
  <c r="L21" i="17" s="1"/>
  <c r="G19" i="17"/>
  <c r="L19" i="17" s="1"/>
  <c r="K18" i="17"/>
  <c r="J18" i="17"/>
  <c r="L18" i="17" s="1"/>
  <c r="G17" i="17"/>
  <c r="L17" i="17" s="1"/>
  <c r="K15" i="17"/>
  <c r="J16" i="17"/>
  <c r="L16" i="17" s="1"/>
  <c r="K13" i="17"/>
  <c r="J14" i="17"/>
  <c r="L14" i="17" s="1"/>
  <c r="G11" i="17"/>
  <c r="L11" i="17" s="1"/>
  <c r="J12" i="17"/>
  <c r="L12" i="17" s="1"/>
  <c r="F10" i="17"/>
  <c r="K10" i="17" s="1"/>
  <c r="A10" i="17"/>
  <c r="A11" i="17" s="1"/>
  <c r="F9" i="17"/>
  <c r="K9" i="17" s="1"/>
  <c r="F18" i="16"/>
  <c r="K18" i="16" s="1"/>
  <c r="F17" i="16"/>
  <c r="K17" i="16" s="1"/>
  <c r="F16" i="16"/>
  <c r="K16" i="16" s="1"/>
  <c r="F15" i="16"/>
  <c r="K15" i="16" s="1"/>
  <c r="F10" i="16"/>
  <c r="K10" i="16" s="1"/>
  <c r="D22" i="16"/>
  <c r="I22" i="16" s="1"/>
  <c r="E21" i="16"/>
  <c r="F21" i="16" s="1"/>
  <c r="D20" i="16"/>
  <c r="I20" i="16" s="1"/>
  <c r="E19" i="16"/>
  <c r="F19" i="16" s="1"/>
  <c r="D13" i="16"/>
  <c r="F13" i="16" s="1"/>
  <c r="I14" i="16"/>
  <c r="K14" i="16" s="1"/>
  <c r="A9" i="16"/>
  <c r="A10" i="16" s="1"/>
  <c r="A13" i="16" s="1"/>
  <c r="A15" i="16" s="1"/>
  <c r="A16" i="16" s="1"/>
  <c r="A17" i="16" s="1"/>
  <c r="A18" i="16" s="1"/>
  <c r="A19" i="16" s="1"/>
  <c r="A21" i="16" s="1"/>
  <c r="I12" i="16"/>
  <c r="I11" i="16"/>
  <c r="F9" i="16"/>
  <c r="K9" i="16" s="1"/>
  <c r="F8" i="16"/>
  <c r="K8" i="16" s="1"/>
  <c r="D36" i="15"/>
  <c r="I36" i="15" s="1"/>
  <c r="D35" i="15"/>
  <c r="I35" i="15" s="1"/>
  <c r="D34" i="15"/>
  <c r="D40" i="15"/>
  <c r="I40" i="15" s="1"/>
  <c r="E39" i="15"/>
  <c r="F39" i="15" s="1"/>
  <c r="D38" i="15"/>
  <c r="I38" i="15" s="1"/>
  <c r="E37" i="15"/>
  <c r="F37" i="15" s="1"/>
  <c r="I34" i="15"/>
  <c r="K34" i="15" s="1"/>
  <c r="F33" i="15"/>
  <c r="K33" i="15" s="1"/>
  <c r="D27" i="15"/>
  <c r="I27" i="15" s="1"/>
  <c r="D26" i="15"/>
  <c r="I26" i="15" s="1"/>
  <c r="D25" i="15"/>
  <c r="I25" i="15" s="1"/>
  <c r="K25" i="15" s="1"/>
  <c r="D31" i="15"/>
  <c r="I31" i="15" s="1"/>
  <c r="E30" i="15"/>
  <c r="F30" i="15" s="1"/>
  <c r="D29" i="15"/>
  <c r="I29" i="15" s="1"/>
  <c r="E28" i="15"/>
  <c r="F28" i="15" s="1"/>
  <c r="F24" i="15"/>
  <c r="K24" i="15" s="1"/>
  <c r="D22" i="15"/>
  <c r="D20" i="15"/>
  <c r="D21" i="14"/>
  <c r="I21" i="14" s="1"/>
  <c r="K21" i="14" s="1"/>
  <c r="D23" i="14"/>
  <c r="E21" i="15"/>
  <c r="F21" i="15" s="1"/>
  <c r="G21" i="15" s="1"/>
  <c r="L21" i="15" s="1"/>
  <c r="E19" i="15"/>
  <c r="F19" i="15" s="1"/>
  <c r="K19" i="15" s="1"/>
  <c r="I22" i="15"/>
  <c r="K22" i="15" s="1"/>
  <c r="I20" i="15"/>
  <c r="K20" i="15" s="1"/>
  <c r="D18" i="15"/>
  <c r="I18" i="15" s="1"/>
  <c r="K18" i="15" s="1"/>
  <c r="D17" i="15"/>
  <c r="I17" i="15" s="1"/>
  <c r="K17" i="15" s="1"/>
  <c r="D16" i="15"/>
  <c r="I16" i="15" s="1"/>
  <c r="K16" i="15" s="1"/>
  <c r="A11" i="15"/>
  <c r="A12" i="15" s="1"/>
  <c r="A13" i="15" s="1"/>
  <c r="A15" i="15" s="1"/>
  <c r="A19" i="15" s="1"/>
  <c r="A21" i="15" s="1"/>
  <c r="A24" i="15" s="1"/>
  <c r="A28" i="15" s="1"/>
  <c r="A30" i="15" s="1"/>
  <c r="A33" i="15" s="1"/>
  <c r="A37" i="15" s="1"/>
  <c r="A39" i="15" s="1"/>
  <c r="E13" i="15"/>
  <c r="F13" i="15" s="1"/>
  <c r="F12" i="15"/>
  <c r="K12" i="15" s="1"/>
  <c r="E11" i="15"/>
  <c r="F11" i="15" s="1"/>
  <c r="E9" i="15"/>
  <c r="F9" i="15" s="1"/>
  <c r="K9" i="15" s="1"/>
  <c r="F15" i="15"/>
  <c r="G15" i="15" s="1"/>
  <c r="L15" i="15" s="1"/>
  <c r="D19" i="14"/>
  <c r="I19" i="14" s="1"/>
  <c r="K19" i="14" s="1"/>
  <c r="A18" i="14"/>
  <c r="A20" i="14" s="1"/>
  <c r="A22" i="14" s="1"/>
  <c r="F18" i="14"/>
  <c r="G18" i="14" s="1"/>
  <c r="L18" i="14" s="1"/>
  <c r="I17" i="14"/>
  <c r="K17" i="14" s="1"/>
  <c r="I16" i="14"/>
  <c r="J16" i="14" s="1"/>
  <c r="L16" i="14" s="1"/>
  <c r="I11" i="14"/>
  <c r="K11" i="14" s="1"/>
  <c r="D19" i="13"/>
  <c r="I23" i="14"/>
  <c r="J23" i="14" s="1"/>
  <c r="L23" i="14" s="1"/>
  <c r="F22" i="14"/>
  <c r="K22" i="14" s="1"/>
  <c r="F20" i="14"/>
  <c r="K20" i="14" s="1"/>
  <c r="I15" i="14"/>
  <c r="K15" i="14" s="1"/>
  <c r="I14" i="14"/>
  <c r="K14" i="14" s="1"/>
  <c r="I13" i="14"/>
  <c r="J13" i="14" s="1"/>
  <c r="L13" i="14" s="1"/>
  <c r="I12" i="14"/>
  <c r="K12" i="14" s="1"/>
  <c r="F10" i="14"/>
  <c r="K10" i="14" s="1"/>
  <c r="D28" i="13"/>
  <c r="I28" i="13" s="1"/>
  <c r="E27" i="13"/>
  <c r="F27" i="13" s="1"/>
  <c r="D26" i="13"/>
  <c r="I26" i="13" s="1"/>
  <c r="F25" i="13"/>
  <c r="G25" i="13" s="1"/>
  <c r="L25" i="13" s="1"/>
  <c r="F41" i="15" l="1"/>
  <c r="C6" i="1" s="1"/>
  <c r="G16" i="16"/>
  <c r="L16" i="16" s="1"/>
  <c r="A13" i="17"/>
  <c r="I44" i="17"/>
  <c r="F44" i="17"/>
  <c r="G10" i="17"/>
  <c r="L10" i="17" s="1"/>
  <c r="G9" i="17"/>
  <c r="L9" i="17" s="1"/>
  <c r="G18" i="16"/>
  <c r="L18" i="16" s="1"/>
  <c r="G17" i="16"/>
  <c r="L17" i="16" s="1"/>
  <c r="G15" i="16"/>
  <c r="L15" i="16" s="1"/>
  <c r="G10" i="16"/>
  <c r="L10" i="16" s="1"/>
  <c r="G19" i="16"/>
  <c r="L19" i="16" s="1"/>
  <c r="K19" i="16"/>
  <c r="K20" i="16"/>
  <c r="J20" i="16"/>
  <c r="L20" i="16" s="1"/>
  <c r="K21" i="16"/>
  <c r="G21" i="16"/>
  <c r="L21" i="16" s="1"/>
  <c r="K22" i="16"/>
  <c r="J22" i="16"/>
  <c r="L22" i="16" s="1"/>
  <c r="G13" i="16"/>
  <c r="L13" i="16" s="1"/>
  <c r="K13" i="16"/>
  <c r="J14" i="16"/>
  <c r="L14" i="16" s="1"/>
  <c r="K11" i="16"/>
  <c r="J11" i="16"/>
  <c r="L11" i="16" s="1"/>
  <c r="K12" i="16"/>
  <c r="J12" i="16"/>
  <c r="L12" i="16" s="1"/>
  <c r="G9" i="16"/>
  <c r="L9" i="16" s="1"/>
  <c r="G8" i="16"/>
  <c r="L8" i="16" s="1"/>
  <c r="F23" i="16"/>
  <c r="I23" i="16"/>
  <c r="K38" i="15"/>
  <c r="J38" i="15"/>
  <c r="L38" i="15" s="1"/>
  <c r="J35" i="15"/>
  <c r="L35" i="15" s="1"/>
  <c r="K35" i="15"/>
  <c r="G37" i="15"/>
  <c r="L37" i="15" s="1"/>
  <c r="K37" i="15"/>
  <c r="K39" i="15"/>
  <c r="G39" i="15"/>
  <c r="L39" i="15" s="1"/>
  <c r="J36" i="15"/>
  <c r="L36" i="15" s="1"/>
  <c r="K36" i="15"/>
  <c r="K40" i="15"/>
  <c r="J40" i="15"/>
  <c r="L40" i="15" s="1"/>
  <c r="J34" i="15"/>
  <c r="L34" i="15" s="1"/>
  <c r="G33" i="15"/>
  <c r="L33" i="15" s="1"/>
  <c r="J26" i="15"/>
  <c r="L26" i="15" s="1"/>
  <c r="K26" i="15"/>
  <c r="K29" i="15"/>
  <c r="J29" i="15"/>
  <c r="L29" i="15" s="1"/>
  <c r="G28" i="15"/>
  <c r="L28" i="15" s="1"/>
  <c r="K28" i="15"/>
  <c r="K30" i="15"/>
  <c r="G30" i="15"/>
  <c r="L30" i="15" s="1"/>
  <c r="J27" i="15"/>
  <c r="L27" i="15" s="1"/>
  <c r="K27" i="15"/>
  <c r="K31" i="15"/>
  <c r="J31" i="15"/>
  <c r="L31" i="15" s="1"/>
  <c r="J25" i="15"/>
  <c r="L25" i="15" s="1"/>
  <c r="G24" i="15"/>
  <c r="L24" i="15" s="1"/>
  <c r="J20" i="15"/>
  <c r="L20" i="15" s="1"/>
  <c r="K21" i="15"/>
  <c r="G19" i="15"/>
  <c r="L19" i="15" s="1"/>
  <c r="J22" i="15"/>
  <c r="L22" i="15" s="1"/>
  <c r="J18" i="15"/>
  <c r="L18" i="15" s="1"/>
  <c r="J17" i="15"/>
  <c r="L17" i="15" s="1"/>
  <c r="J16" i="15"/>
  <c r="L16" i="15" s="1"/>
  <c r="G41" i="15"/>
  <c r="F6" i="1" s="1"/>
  <c r="K13" i="15"/>
  <c r="G13" i="15"/>
  <c r="L13" i="15" s="1"/>
  <c r="G12" i="15"/>
  <c r="L12" i="15" s="1"/>
  <c r="K11" i="15"/>
  <c r="G11" i="15"/>
  <c r="L11" i="15" s="1"/>
  <c r="G9" i="15"/>
  <c r="L9" i="15" s="1"/>
  <c r="K15" i="15"/>
  <c r="I41" i="15"/>
  <c r="K23" i="14"/>
  <c r="K18" i="14"/>
  <c r="J19" i="14"/>
  <c r="L19" i="14" s="1"/>
  <c r="K13" i="14"/>
  <c r="K16" i="14"/>
  <c r="J17" i="14"/>
  <c r="L17" i="14" s="1"/>
  <c r="J15" i="14"/>
  <c r="L15" i="14" s="1"/>
  <c r="J14" i="14"/>
  <c r="L14" i="14" s="1"/>
  <c r="J11" i="14"/>
  <c r="L11" i="14" s="1"/>
  <c r="G10" i="14"/>
  <c r="L10" i="14" s="1"/>
  <c r="I24" i="14"/>
  <c r="J12" i="14"/>
  <c r="L12" i="14" s="1"/>
  <c r="G22" i="14"/>
  <c r="L22" i="14" s="1"/>
  <c r="F24" i="14"/>
  <c r="J21" i="14"/>
  <c r="L21" i="14" s="1"/>
  <c r="G20" i="14"/>
  <c r="L20" i="14" s="1"/>
  <c r="K26" i="13"/>
  <c r="J26" i="13"/>
  <c r="L26" i="13" s="1"/>
  <c r="K27" i="13"/>
  <c r="G27" i="13"/>
  <c r="L27" i="13" s="1"/>
  <c r="K28" i="13"/>
  <c r="J28" i="13"/>
  <c r="L28" i="13" s="1"/>
  <c r="K25" i="13"/>
  <c r="G23" i="16" l="1"/>
  <c r="F7" i="1" s="1"/>
  <c r="C7" i="1"/>
  <c r="G44" i="17"/>
  <c r="F8" i="1" s="1"/>
  <c r="C8" i="1"/>
  <c r="J41" i="15"/>
  <c r="G6" i="1" s="1"/>
  <c r="H6" i="1" s="1"/>
  <c r="D6" i="1"/>
  <c r="E6" i="1" s="1"/>
  <c r="J23" i="16"/>
  <c r="G7" i="1" s="1"/>
  <c r="D7" i="1"/>
  <c r="J44" i="17"/>
  <c r="G8" i="1" s="1"/>
  <c r="D8" i="1"/>
  <c r="E8" i="1" s="1"/>
  <c r="A15" i="17"/>
  <c r="A17" i="17" s="1"/>
  <c r="A19" i="17" s="1"/>
  <c r="A21" i="17" s="1"/>
  <c r="A38" i="17" s="1"/>
  <c r="A40" i="17" s="1"/>
  <c r="A42" i="17" s="1"/>
  <c r="K44" i="17"/>
  <c r="L44" i="17" s="1"/>
  <c r="K23" i="16"/>
  <c r="L23" i="16" s="1"/>
  <c r="J24" i="14"/>
  <c r="G5" i="1" s="1"/>
  <c r="D5" i="1"/>
  <c r="G24" i="14"/>
  <c r="F5" i="1" s="1"/>
  <c r="C5" i="1"/>
  <c r="K41" i="15"/>
  <c r="L41" i="15" s="1"/>
  <c r="K24" i="14"/>
  <c r="L24" i="14" s="1"/>
  <c r="H7" i="1" l="1"/>
  <c r="E5" i="1"/>
  <c r="H8" i="1"/>
  <c r="E7" i="1"/>
  <c r="H5" i="1"/>
  <c r="D32" i="13" l="1"/>
  <c r="I32" i="13" s="1"/>
  <c r="F31" i="13"/>
  <c r="K31" i="13" s="1"/>
  <c r="D30" i="13"/>
  <c r="I30" i="13" s="1"/>
  <c r="F29" i="13"/>
  <c r="K29" i="13" s="1"/>
  <c r="I24" i="13"/>
  <c r="K24" i="13" s="1"/>
  <c r="I23" i="13"/>
  <c r="J23" i="13" s="1"/>
  <c r="L23" i="13" s="1"/>
  <c r="I22" i="13"/>
  <c r="K22" i="13" s="1"/>
  <c r="I21" i="13"/>
  <c r="J21" i="13" s="1"/>
  <c r="L21" i="13" s="1"/>
  <c r="I20" i="13"/>
  <c r="K20" i="13" s="1"/>
  <c r="D18" i="13"/>
  <c r="I18" i="13" s="1"/>
  <c r="K18" i="13" s="1"/>
  <c r="D17" i="13"/>
  <c r="I17" i="13" s="1"/>
  <c r="J17" i="13" s="1"/>
  <c r="L17" i="13" s="1"/>
  <c r="D16" i="13"/>
  <c r="I16" i="13" s="1"/>
  <c r="K16" i="13" s="1"/>
  <c r="D14" i="13"/>
  <c r="I14" i="13" s="1"/>
  <c r="J14" i="13" s="1"/>
  <c r="L14" i="13" s="1"/>
  <c r="A13" i="13"/>
  <c r="A15" i="13" s="1"/>
  <c r="A19" i="13" s="1"/>
  <c r="A25" i="13" s="1"/>
  <c r="A27" i="13" s="1"/>
  <c r="A29" i="13" s="1"/>
  <c r="A31" i="13" s="1"/>
  <c r="D10" i="13"/>
  <c r="I10" i="13" s="1"/>
  <c r="J10" i="13" s="1"/>
  <c r="L10" i="13" s="1"/>
  <c r="F19" i="13"/>
  <c r="F15" i="13"/>
  <c r="K15" i="13" s="1"/>
  <c r="F13" i="13"/>
  <c r="G13" i="13" s="1"/>
  <c r="L13" i="13" s="1"/>
  <c r="F9" i="13"/>
  <c r="K9" i="13" s="1"/>
  <c r="D49" i="12"/>
  <c r="I49" i="12" s="1"/>
  <c r="F48" i="12"/>
  <c r="K48" i="12" s="1"/>
  <c r="D47" i="12"/>
  <c r="I47" i="12" s="1"/>
  <c r="F46" i="12"/>
  <c r="K46" i="12" s="1"/>
  <c r="D45" i="12"/>
  <c r="D42" i="12"/>
  <c r="D40" i="12"/>
  <c r="I40" i="12" s="1"/>
  <c r="J40" i="12" s="1"/>
  <c r="L40" i="12" s="1"/>
  <c r="D39" i="12"/>
  <c r="I39" i="12" s="1"/>
  <c r="K39" i="12" s="1"/>
  <c r="D37" i="12"/>
  <c r="I37" i="12" s="1"/>
  <c r="K37" i="12" s="1"/>
  <c r="D24" i="12"/>
  <c r="D22" i="12"/>
  <c r="D38" i="12"/>
  <c r="F38" i="12" s="1"/>
  <c r="K38" i="12" s="1"/>
  <c r="D34" i="12"/>
  <c r="I34" i="12" s="1"/>
  <c r="F33" i="12"/>
  <c r="K33" i="12" s="1"/>
  <c r="D32" i="12"/>
  <c r="I32" i="12" s="1"/>
  <c r="F31" i="12"/>
  <c r="K31" i="12" s="1"/>
  <c r="D30" i="12"/>
  <c r="D27" i="12"/>
  <c r="D25" i="12"/>
  <c r="D23" i="12"/>
  <c r="I45" i="12"/>
  <c r="K45" i="12" s="1"/>
  <c r="I44" i="12"/>
  <c r="K44" i="12" s="1"/>
  <c r="F43" i="12"/>
  <c r="K43" i="12" s="1"/>
  <c r="I42" i="12"/>
  <c r="K42" i="12" s="1"/>
  <c r="I41" i="12"/>
  <c r="K41" i="12" s="1"/>
  <c r="F36" i="12"/>
  <c r="K36" i="12" s="1"/>
  <c r="F18" i="12"/>
  <c r="K18" i="12" s="1"/>
  <c r="F17" i="12"/>
  <c r="K17" i="12" s="1"/>
  <c r="F16" i="12"/>
  <c r="K16" i="12" s="1"/>
  <c r="F15" i="12"/>
  <c r="K15" i="12" s="1"/>
  <c r="F14" i="12"/>
  <c r="G14" i="12" s="1"/>
  <c r="L14" i="12" s="1"/>
  <c r="G19" i="13" l="1"/>
  <c r="L19" i="13" s="1"/>
  <c r="F33" i="13"/>
  <c r="C4" i="1" s="1"/>
  <c r="G29" i="13"/>
  <c r="L29" i="13" s="1"/>
  <c r="J30" i="13"/>
  <c r="L30" i="13" s="1"/>
  <c r="K30" i="13"/>
  <c r="K32" i="13"/>
  <c r="J32" i="13"/>
  <c r="L32" i="13" s="1"/>
  <c r="G31" i="13"/>
  <c r="L31" i="13" s="1"/>
  <c r="K21" i="13"/>
  <c r="K23" i="13"/>
  <c r="J22" i="13"/>
  <c r="L22" i="13" s="1"/>
  <c r="J24" i="13"/>
  <c r="L24" i="13" s="1"/>
  <c r="J20" i="13"/>
  <c r="L20" i="13" s="1"/>
  <c r="J16" i="13"/>
  <c r="L16" i="13" s="1"/>
  <c r="K14" i="13"/>
  <c r="K10" i="13"/>
  <c r="G15" i="13"/>
  <c r="L15" i="13" s="1"/>
  <c r="K17" i="13"/>
  <c r="J18" i="13"/>
  <c r="L18" i="13" s="1"/>
  <c r="K13" i="13"/>
  <c r="K19" i="13"/>
  <c r="G33" i="13"/>
  <c r="F4" i="1" s="1"/>
  <c r="G9" i="13"/>
  <c r="L9" i="13" s="1"/>
  <c r="I33" i="13"/>
  <c r="G46" i="12"/>
  <c r="L46" i="12" s="1"/>
  <c r="J47" i="12"/>
  <c r="L47" i="12" s="1"/>
  <c r="K47" i="12"/>
  <c r="K49" i="12"/>
  <c r="J49" i="12"/>
  <c r="L49" i="12" s="1"/>
  <c r="G48" i="12"/>
  <c r="L48" i="12" s="1"/>
  <c r="G31" i="12"/>
  <c r="L31" i="12" s="1"/>
  <c r="J32" i="12"/>
  <c r="L32" i="12" s="1"/>
  <c r="K32" i="12"/>
  <c r="K34" i="12"/>
  <c r="J34" i="12"/>
  <c r="L34" i="12" s="1"/>
  <c r="G33" i="12"/>
  <c r="L33" i="12" s="1"/>
  <c r="G36" i="12"/>
  <c r="L36" i="12" s="1"/>
  <c r="J44" i="12"/>
  <c r="L44" i="12" s="1"/>
  <c r="K40" i="12"/>
  <c r="J45" i="12"/>
  <c r="L45" i="12" s="1"/>
  <c r="J39" i="12"/>
  <c r="L39" i="12" s="1"/>
  <c r="J42" i="12"/>
  <c r="L42" i="12" s="1"/>
  <c r="G38" i="12"/>
  <c r="L38" i="12" s="1"/>
  <c r="J41" i="12"/>
  <c r="L41" i="12" s="1"/>
  <c r="J37" i="12"/>
  <c r="L37" i="12" s="1"/>
  <c r="G43" i="12"/>
  <c r="L43" i="12" s="1"/>
  <c r="G18" i="12"/>
  <c r="L18" i="12" s="1"/>
  <c r="K14" i="12"/>
  <c r="G15" i="12"/>
  <c r="L15" i="12" s="1"/>
  <c r="G17" i="12"/>
  <c r="L17" i="12" s="1"/>
  <c r="G16" i="12"/>
  <c r="L16" i="12" s="1"/>
  <c r="J33" i="13" l="1"/>
  <c r="G4" i="1" s="1"/>
  <c r="D4" i="1"/>
  <c r="K33" i="13"/>
  <c r="L33" i="13" s="1"/>
  <c r="F12" i="12" l="1"/>
  <c r="K12" i="12" s="1"/>
  <c r="F10" i="12"/>
  <c r="K10" i="12" s="1"/>
  <c r="E9" i="12"/>
  <c r="F9" i="12" s="1"/>
  <c r="A10" i="12"/>
  <c r="A12" i="12" s="1"/>
  <c r="A14" i="12" s="1"/>
  <c r="A15" i="12" s="1"/>
  <c r="A16" i="12" s="1"/>
  <c r="A17" i="12" s="1"/>
  <c r="A18" i="12" s="1"/>
  <c r="A21" i="12" s="1"/>
  <c r="K9" i="12" l="1"/>
  <c r="G10" i="12"/>
  <c r="L10" i="12" s="1"/>
  <c r="G12" i="12"/>
  <c r="L12" i="12" s="1"/>
  <c r="G9" i="12"/>
  <c r="L9" i="12" s="1"/>
  <c r="I30" i="12" l="1"/>
  <c r="J30" i="12" s="1"/>
  <c r="L30" i="12" s="1"/>
  <c r="I29" i="12"/>
  <c r="J29" i="12" s="1"/>
  <c r="L29" i="12" s="1"/>
  <c r="F28" i="12"/>
  <c r="K28" i="12" s="1"/>
  <c r="I27" i="12"/>
  <c r="K27" i="12" s="1"/>
  <c r="I26" i="12"/>
  <c r="K26" i="12" s="1"/>
  <c r="I25" i="12"/>
  <c r="I24" i="12"/>
  <c r="K24" i="12" s="1"/>
  <c r="F23" i="12"/>
  <c r="K23" i="12" s="1"/>
  <c r="I22" i="12"/>
  <c r="F21" i="12"/>
  <c r="A23" i="12"/>
  <c r="A28" i="12" s="1"/>
  <c r="A31" i="12" s="1"/>
  <c r="A33" i="12" s="1"/>
  <c r="A36" i="12" s="1"/>
  <c r="A38" i="12" s="1"/>
  <c r="A43" i="12" s="1"/>
  <c r="A46" i="12" s="1"/>
  <c r="A48" i="12" s="1"/>
  <c r="I38" i="11"/>
  <c r="K38" i="11" s="1"/>
  <c r="I37" i="11"/>
  <c r="J37" i="11" s="1"/>
  <c r="L37" i="11" s="1"/>
  <c r="I36" i="11"/>
  <c r="J36" i="11" s="1"/>
  <c r="L36" i="11" s="1"/>
  <c r="I35" i="11"/>
  <c r="K35" i="11" s="1"/>
  <c r="I42" i="11"/>
  <c r="K42" i="11" s="1"/>
  <c r="I33" i="11"/>
  <c r="K33" i="11" s="1"/>
  <c r="I32" i="11"/>
  <c r="J32" i="11" s="1"/>
  <c r="L32" i="11" s="1"/>
  <c r="I31" i="11"/>
  <c r="K31" i="11" s="1"/>
  <c r="I30" i="11"/>
  <c r="K30" i="11" s="1"/>
  <c r="I29" i="11"/>
  <c r="J29" i="11" s="1"/>
  <c r="L29" i="11" s="1"/>
  <c r="I28" i="11"/>
  <c r="K28" i="11" s="1"/>
  <c r="I27" i="11"/>
  <c r="K27" i="11" s="1"/>
  <c r="I26" i="11"/>
  <c r="J26" i="11" s="1"/>
  <c r="L26" i="11" s="1"/>
  <c r="I25" i="11"/>
  <c r="K25" i="11" s="1"/>
  <c r="I24" i="11"/>
  <c r="K24" i="11" s="1"/>
  <c r="I23" i="11"/>
  <c r="J23" i="11" s="1"/>
  <c r="L23" i="11" s="1"/>
  <c r="I22" i="11"/>
  <c r="K22" i="11" s="1"/>
  <c r="I21" i="11"/>
  <c r="K21" i="11" s="1"/>
  <c r="I46" i="11"/>
  <c r="K46" i="11" s="1"/>
  <c r="I44" i="11"/>
  <c r="K44" i="11" s="1"/>
  <c r="I16" i="11"/>
  <c r="K16" i="11" s="1"/>
  <c r="I15" i="11"/>
  <c r="J15" i="11" s="1"/>
  <c r="L15" i="11" s="1"/>
  <c r="I14" i="11"/>
  <c r="K14" i="11" s="1"/>
  <c r="I13" i="11"/>
  <c r="I18" i="11"/>
  <c r="K18" i="11" s="1"/>
  <c r="I11" i="11"/>
  <c r="K11" i="11" s="1"/>
  <c r="F45" i="11"/>
  <c r="K45" i="11" s="1"/>
  <c r="F43" i="11"/>
  <c r="G43" i="11" s="1"/>
  <c r="L43" i="11" s="1"/>
  <c r="F41" i="11"/>
  <c r="K41" i="11" s="1"/>
  <c r="F40" i="11"/>
  <c r="K40" i="11" s="1"/>
  <c r="F39" i="11"/>
  <c r="G39" i="11" s="1"/>
  <c r="L39" i="11" s="1"/>
  <c r="F34" i="11"/>
  <c r="K34" i="11" s="1"/>
  <c r="F20" i="11"/>
  <c r="K20" i="11" s="1"/>
  <c r="F17" i="11"/>
  <c r="K17" i="11" s="1"/>
  <c r="F12" i="11"/>
  <c r="K12" i="11" s="1"/>
  <c r="F10" i="11"/>
  <c r="G10" i="11" l="1"/>
  <c r="L10" i="11" s="1"/>
  <c r="F47" i="11"/>
  <c r="F50" i="12"/>
  <c r="C3" i="1" s="1"/>
  <c r="K13" i="11"/>
  <c r="I47" i="11"/>
  <c r="D9" i="1" s="1"/>
  <c r="G21" i="12"/>
  <c r="L21" i="12" s="1"/>
  <c r="K22" i="12"/>
  <c r="I50" i="12"/>
  <c r="J27" i="12"/>
  <c r="L27" i="12" s="1"/>
  <c r="K21" i="12"/>
  <c r="J26" i="12"/>
  <c r="L26" i="12" s="1"/>
  <c r="G23" i="12"/>
  <c r="L23" i="12" s="1"/>
  <c r="K29" i="12"/>
  <c r="J24" i="12"/>
  <c r="L24" i="12" s="1"/>
  <c r="K30" i="12"/>
  <c r="J22" i="12"/>
  <c r="L22" i="12" s="1"/>
  <c r="G28" i="12"/>
  <c r="L28" i="12" s="1"/>
  <c r="K25" i="12"/>
  <c r="J25" i="12"/>
  <c r="L25" i="12" s="1"/>
  <c r="K37" i="11"/>
  <c r="K36" i="11"/>
  <c r="J38" i="11"/>
  <c r="L38" i="11" s="1"/>
  <c r="J35" i="11"/>
  <c r="L35" i="11" s="1"/>
  <c r="K23" i="11"/>
  <c r="K29" i="11"/>
  <c r="J42" i="11"/>
  <c r="L42" i="11" s="1"/>
  <c r="K26" i="11"/>
  <c r="K32" i="11"/>
  <c r="J22" i="11"/>
  <c r="L22" i="11" s="1"/>
  <c r="J25" i="11"/>
  <c r="L25" i="11" s="1"/>
  <c r="J28" i="11"/>
  <c r="L28" i="11" s="1"/>
  <c r="J31" i="11"/>
  <c r="L31" i="11" s="1"/>
  <c r="J24" i="11"/>
  <c r="L24" i="11" s="1"/>
  <c r="J27" i="11"/>
  <c r="L27" i="11" s="1"/>
  <c r="J30" i="11"/>
  <c r="L30" i="11" s="1"/>
  <c r="J33" i="11"/>
  <c r="L33" i="11" s="1"/>
  <c r="J21" i="11"/>
  <c r="L21" i="11" s="1"/>
  <c r="J46" i="11"/>
  <c r="L46" i="11" s="1"/>
  <c r="J44" i="11"/>
  <c r="L44" i="11" s="1"/>
  <c r="J13" i="11"/>
  <c r="L13" i="11" s="1"/>
  <c r="K15" i="11"/>
  <c r="J16" i="11"/>
  <c r="L16" i="11" s="1"/>
  <c r="J14" i="11"/>
  <c r="L14" i="11" s="1"/>
  <c r="J18" i="11"/>
  <c r="L18" i="11" s="1"/>
  <c r="J11" i="11"/>
  <c r="L11" i="11" s="1"/>
  <c r="K39" i="11"/>
  <c r="K10" i="11"/>
  <c r="K43" i="11"/>
  <c r="G17" i="11"/>
  <c r="L17" i="11" s="1"/>
  <c r="G34" i="11"/>
  <c r="L34" i="11" s="1"/>
  <c r="G41" i="11"/>
  <c r="L41" i="11" s="1"/>
  <c r="G12" i="11"/>
  <c r="L12" i="11" s="1"/>
  <c r="G20" i="11"/>
  <c r="L20" i="11" s="1"/>
  <c r="G40" i="11"/>
  <c r="L40" i="11" s="1"/>
  <c r="G45" i="11"/>
  <c r="L45" i="11" s="1"/>
  <c r="C9" i="1" l="1"/>
  <c r="G47" i="11"/>
  <c r="G50" i="12"/>
  <c r="F3" i="1" s="1"/>
  <c r="K47" i="11"/>
  <c r="E9" i="1"/>
  <c r="J50" i="12"/>
  <c r="G3" i="1" s="1"/>
  <c r="D3" i="1"/>
  <c r="K50" i="12"/>
  <c r="L50" i="12" s="1"/>
  <c r="J47" i="11"/>
  <c r="G9" i="1" s="1"/>
  <c r="F9" i="1"/>
  <c r="H9" i="1" l="1"/>
  <c r="L47" i="11"/>
  <c r="A12" i="11" l="1"/>
  <c r="A17" i="11" s="1"/>
  <c r="A20" i="11" l="1"/>
  <c r="A34" i="11" s="1"/>
  <c r="A39" i="11" s="1"/>
  <c r="A40" i="11" s="1"/>
  <c r="A41" i="11" s="1"/>
  <c r="A43" i="11" s="1"/>
  <c r="A45" i="11" s="1"/>
  <c r="A4" i="1" l="1"/>
  <c r="A5" i="1" s="1"/>
  <c r="A6" i="1" s="1"/>
  <c r="A7" i="1" s="1"/>
  <c r="A8" i="1" s="1"/>
  <c r="A9" i="1" s="1"/>
  <c r="E4" i="1" l="1"/>
  <c r="H4" i="1" l="1"/>
  <c r="H3" i="1" l="1"/>
  <c r="D10" i="1"/>
  <c r="C10" i="1"/>
  <c r="F10" i="1"/>
  <c r="G10" i="1" l="1"/>
  <c r="E3" i="1"/>
  <c r="E10" i="1" s="1"/>
  <c r="H10" i="1"/>
</calcChain>
</file>

<file path=xl/sharedStrings.xml><?xml version="1.0" encoding="utf-8"?>
<sst xmlns="http://schemas.openxmlformats.org/spreadsheetml/2006/main" count="666" uniqueCount="257">
  <si>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</si>
  <si>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</si>
  <si>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</si>
  <si>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</si>
  <si>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</si>
  <si>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</si>
  <si>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</si>
  <si>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</si>
  <si>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</si>
  <si>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</si>
  <si>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9.1</t>
  </si>
  <si>
    <t>шт.</t>
  </si>
  <si>
    <t>8.1</t>
  </si>
  <si>
    <t>7.1</t>
  </si>
  <si>
    <t>6.1</t>
  </si>
  <si>
    <t>т</t>
  </si>
  <si>
    <t>м3</t>
  </si>
  <si>
    <t>Песок природный  средний</t>
  </si>
  <si>
    <t>3.1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</si>
  <si>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</si>
  <si>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</si>
  <si>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</si>
  <si>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</si>
  <si>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</si>
  <si>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</si>
  <si>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</si>
  <si>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</si>
  <si>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</si>
  <si>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</si>
  <si>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</si>
  <si>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</si>
  <si>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</si>
  <si>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</si>
  <si>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м2</t>
  </si>
  <si>
    <t>Доработка грунта вручную</t>
  </si>
  <si>
    <t>Устройство бетонной подготовки</t>
  </si>
  <si>
    <t>кг</t>
  </si>
  <si>
    <t>8.2</t>
  </si>
  <si>
    <t>Бетон B7,5</t>
  </si>
  <si>
    <t>Бетон B25, W8, F100</t>
  </si>
  <si>
    <t>Прочие работы</t>
  </si>
  <si>
    <t>5.1</t>
  </si>
  <si>
    <t>8.3</t>
  </si>
  <si>
    <t>8.4</t>
  </si>
  <si>
    <t>Обмазка праймером Технониколь колодца в один слой</t>
  </si>
  <si>
    <t>стоимость из ТС1</t>
  </si>
  <si>
    <t>Битумная грунтовка ТЕХНОНИКОЛЬ № 01  (20л=16кг)</t>
  </si>
  <si>
    <t>л</t>
  </si>
  <si>
    <t>Обмазка битумной мастикой колодца в два слоя</t>
  </si>
  <si>
    <t>Битумная мастика Технониколь №24</t>
  </si>
  <si>
    <t>131-23-АС1 Архитектурно-строительные решения. Трасбордер</t>
  </si>
  <si>
    <t>Земляное полотно железнодорожного пути</t>
  </si>
  <si>
    <t>Разработка сухого грунта механизированным способом с погрузкой</t>
  </si>
  <si>
    <t>Устройство оснований  из песка</t>
  </si>
  <si>
    <t>Устройство подушки из песчано-гравийной смеси (толщина слоя 200мм)</t>
  </si>
  <si>
    <t>Устройство балластной подушки из гранитного щебня</t>
  </si>
  <si>
    <t>Установка бортовых камней</t>
  </si>
  <si>
    <t>Укладка пути отдельными элементами на железобетонных шпалах тип рельсов: Р50</t>
  </si>
  <si>
    <t>Устройство фундаментов</t>
  </si>
  <si>
    <t>Устройство железобетонных фундаментов</t>
  </si>
  <si>
    <t>Установка анкерной группы</t>
  </si>
  <si>
    <t>ФМ2  Фундамент аппарели - 4шт</t>
  </si>
  <si>
    <t>Установка закладных деталей</t>
  </si>
  <si>
    <t>Опоры троллей (ОП1 - 4 шт.)</t>
  </si>
  <si>
    <t>М/конструкции опор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</si>
  <si>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</si>
  <si>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</si>
  <si>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</si>
  <si>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</si>
  <si>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Фермы Ф1 - 2 шт., Ф2 - 1шт.</t>
  </si>
  <si>
    <t>Устройство водостока</t>
  </si>
  <si>
    <t>Песколовка ПЛ1</t>
  </si>
  <si>
    <t>Устройство песколовки</t>
  </si>
  <si>
    <t>Установка сальника набивного Ду250 L=150 (1 шт.)</t>
  </si>
  <si>
    <t>Водоотводной лоток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</si>
  <si>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</si>
  <si>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</si>
  <si>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</si>
  <si>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</si>
  <si>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</si>
  <si>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</si>
  <si>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</si>
  <si>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</si>
  <si>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</si>
  <si>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</si>
  <si>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</si>
  <si>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Камни бортовые БР 100.30.15</t>
  </si>
  <si>
    <t>10.1</t>
  </si>
  <si>
    <t>11.1</t>
  </si>
  <si>
    <t>12.1</t>
  </si>
  <si>
    <t>14.1</t>
  </si>
  <si>
    <t>15.1</t>
  </si>
  <si>
    <t>15.2</t>
  </si>
  <si>
    <t>16.1</t>
  </si>
  <si>
    <t>16.2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</si>
  <si>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</si>
  <si>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</si>
  <si>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</si>
  <si>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</si>
  <si>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</si>
  <si>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17.1</t>
  </si>
  <si>
    <t>18.1</t>
  </si>
  <si>
    <t>Грунтовка ГФ-021</t>
  </si>
  <si>
    <t>Эмаль ПФ-115, серая</t>
  </si>
  <si>
    <t>Подливочный раствор на цементной основе</t>
  </si>
  <si>
    <t>Уг. 75х5 (3,6м)</t>
  </si>
  <si>
    <t>Тр. пр. 250х8</t>
  </si>
  <si>
    <t>Уг. 50х4 (242,4м)</t>
  </si>
  <si>
    <t>Сальник набивной Ду250 L=150 (1 шт.)</t>
  </si>
  <si>
    <t>Арматура d8 А500С ГОСТ 34028-2016 L=150 (10 шт.)</t>
  </si>
  <si>
    <t>Уголок L30х3 ГОСТ 8509-93 L=1000 (2 шт.)</t>
  </si>
  <si>
    <t>Сетка 5Вр500-100х100-3000х2000 (1 шт.)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</si>
  <si>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</si>
  <si>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</si>
  <si>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</si>
  <si>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</si>
  <si>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</si>
  <si>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</si>
  <si>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</si>
  <si>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</si>
  <si>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</si>
  <si>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</si>
  <si>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</si>
  <si>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</si>
  <si>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</si>
  <si>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</si>
  <si>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</si>
  <si>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Уайт-спирит (1л=0,8кг)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</si>
  <si>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</si>
  <si>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</si>
  <si>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</si>
  <si>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</si>
  <si>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 xml:space="preserve">Фундаменты ФМ1 </t>
  </si>
  <si>
    <t>Разборка дорожных покрытий</t>
  </si>
  <si>
    <t>стоимость из ГП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</si>
  <si>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</si>
  <si>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</si>
  <si>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Демонтажные работы</t>
  </si>
  <si>
    <t>Погрузка строительного мусора в автосамосвалы</t>
  </si>
  <si>
    <t>стоимость из 217 пути</t>
  </si>
  <si>
    <t xml:space="preserve">Разработка сухого грунта механизированным способом </t>
  </si>
  <si>
    <t>Доработка грунта в траншее вручную</t>
  </si>
  <si>
    <t>Погрузка лишнего грунта в автосамосвалы</t>
  </si>
  <si>
    <t>Фундамент под опору троллей ФМ1 №1, №2, №3 (3 шт.)</t>
  </si>
  <si>
    <t>Фундамент под опору троллей ФМ1 №4 (1 шт.)</t>
  </si>
  <si>
    <t xml:space="preserve">Арматура d12 А500С </t>
  </si>
  <si>
    <t xml:space="preserve">Арматура d16 А500С </t>
  </si>
  <si>
    <t xml:space="preserve">Арматура d8 А500С </t>
  </si>
  <si>
    <t xml:space="preserve">Болт 1.1 М30х1000 </t>
  </si>
  <si>
    <t xml:space="preserve">Уголок L50х5 </t>
  </si>
  <si>
    <t>10.2</t>
  </si>
  <si>
    <t>10.3</t>
  </si>
  <si>
    <t>10.4</t>
  </si>
  <si>
    <t>11.2</t>
  </si>
  <si>
    <t>13.1</t>
  </si>
  <si>
    <t>15.3</t>
  </si>
  <si>
    <t>15.4</t>
  </si>
  <si>
    <t>Фундаменты ФМ2</t>
  </si>
  <si>
    <t>Обратная засыпка фундаментов песком с последующим уплотнением</t>
  </si>
  <si>
    <t>1.1</t>
  </si>
  <si>
    <t>2.1</t>
  </si>
  <si>
    <t>Арматура d8 А500С</t>
  </si>
  <si>
    <t>3.2</t>
  </si>
  <si>
    <t>3.3</t>
  </si>
  <si>
    <t xml:space="preserve">Труба электросварная d159х10 </t>
  </si>
  <si>
    <t xml:space="preserve">Лист стальной 300х16 </t>
  </si>
  <si>
    <t>Лист стальной 210х16</t>
  </si>
  <si>
    <t xml:space="preserve">Лист стальной 50х16 </t>
  </si>
  <si>
    <t>4.1</t>
  </si>
  <si>
    <t>4.2</t>
  </si>
  <si>
    <t>4.3</t>
  </si>
  <si>
    <t>4.4</t>
  </si>
  <si>
    <t>4.5</t>
  </si>
  <si>
    <t>цена из  трансбордер</t>
  </si>
  <si>
    <t>Опора ОП-1</t>
  </si>
  <si>
    <t>Лист стальной t=30 мм</t>
  </si>
  <si>
    <t>Лист стальной t=12 мм</t>
  </si>
  <si>
    <t>Лист стальной t=4 мм</t>
  </si>
  <si>
    <t>Шайба М12*80*80</t>
  </si>
  <si>
    <t>Гайка М30</t>
  </si>
  <si>
    <t>1.2</t>
  </si>
  <si>
    <t>1.3</t>
  </si>
  <si>
    <t>1.4</t>
  </si>
  <si>
    <t>1.5</t>
  </si>
  <si>
    <t>1.6</t>
  </si>
  <si>
    <t>1.7</t>
  </si>
  <si>
    <t>Демонтаж сущ. металлической опоры ОП1 №1</t>
  </si>
  <si>
    <t xml:space="preserve">Перенос опоры ОП1 №2 </t>
  </si>
  <si>
    <t>Демонтаж сущ. металлической опоры ОП1 №2</t>
  </si>
  <si>
    <t xml:space="preserve">Монтаж опорных стоек </t>
  </si>
  <si>
    <t xml:space="preserve">Уг. 75х5 </t>
  </si>
  <si>
    <t xml:space="preserve">Лист стальной t=5 мм </t>
  </si>
  <si>
    <t>5.2</t>
  </si>
  <si>
    <t>5.3</t>
  </si>
  <si>
    <t>Фермы Ф1 -4,7м</t>
  </si>
  <si>
    <t>Фермы Ф1 - 19м</t>
  </si>
  <si>
    <t>Монтаж  фермы Ф1</t>
  </si>
  <si>
    <t xml:space="preserve">Монтаж  фермы Ф1 </t>
  </si>
  <si>
    <t>Фермы Ф2 - 14,2м</t>
  </si>
  <si>
    <t>Смещение закладных М1 на фундаментах ФМ-2</t>
  </si>
  <si>
    <t>Срезка металлической трубы Ду 159*10мм L=292мм</t>
  </si>
  <si>
    <t>м реза</t>
  </si>
  <si>
    <t>Сверление отверстий Ду20мм L=200мм в жб фундаментах ФМ2</t>
  </si>
  <si>
    <t>Установка металлического анкера на клеевом составе в фундамент ФМ2</t>
  </si>
  <si>
    <t>Арматура Ду 16мм А500С L=210мм</t>
  </si>
  <si>
    <t>Химический анкер EAF410WC</t>
  </si>
  <si>
    <t>туба</t>
  </si>
  <si>
    <t>Металлическая пластина 210*210*10мм</t>
  </si>
  <si>
    <t>Высверливание в металлической пластине 210*210*10мм отверстий Ду 16мм</t>
  </si>
  <si>
    <t>Установка металлической пластины на подготовленные анкера</t>
  </si>
  <si>
    <t>Приваривание к пластине анкеров Ду 16мм</t>
  </si>
  <si>
    <t>Приваривание к пластине ранее срезанной трубы Ду 159*10мм L=292мм</t>
  </si>
  <si>
    <t>Площадка трансбордера. АС1</t>
  </si>
  <si>
    <t>нет согласованного ВОР!</t>
  </si>
  <si>
    <t xml:space="preserve">Обсыпка бордюрного камня песком с последующим уплотнением  </t>
  </si>
  <si>
    <t>8.5</t>
  </si>
  <si>
    <t xml:space="preserve">Накладки РС2  </t>
  </si>
  <si>
    <t>к-т</t>
  </si>
  <si>
    <t>Болт стыковой 24х150 в комлекте с гайкой и шайбой</t>
  </si>
  <si>
    <t>Закладной болт М22х75</t>
  </si>
  <si>
    <t xml:space="preserve">Клемма ПК </t>
  </si>
  <si>
    <t>Клеммный прижимной болт М22х7</t>
  </si>
  <si>
    <t>Изолирующая втулка ОП142 (ЦП142)</t>
  </si>
  <si>
    <t>Шайба плоская М22</t>
  </si>
  <si>
    <t>Шайба пружинная двухвитковая М22</t>
  </si>
  <si>
    <t>Гайка М22х22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</si>
  <si>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</si>
  <si>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</si>
  <si>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</si>
  <si>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</si>
  <si>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</si>
  <si>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</si>
  <si>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</si>
  <si>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</si>
  <si>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</si>
  <si>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 xml:space="preserve">Устройство площадки трансбордера </t>
  </si>
  <si>
    <t xml:space="preserve">Устройство подушки из щебня  </t>
  </si>
  <si>
    <t xml:space="preserve">Устройство асфальтобетонного покрытия вручную h=5см </t>
  </si>
  <si>
    <t>Водосток</t>
  </si>
  <si>
    <t>2.2</t>
  </si>
  <si>
    <t>2.3</t>
  </si>
  <si>
    <t>2.4</t>
  </si>
  <si>
    <t>4.6</t>
  </si>
  <si>
    <t>4.7</t>
  </si>
  <si>
    <t>4.8</t>
  </si>
  <si>
    <t>4.9</t>
  </si>
  <si>
    <t>4.10</t>
  </si>
  <si>
    <t>4.11</t>
  </si>
  <si>
    <t>4.12</t>
  </si>
  <si>
    <t>4.13</t>
  </si>
  <si>
    <t>5.4</t>
  </si>
  <si>
    <t>ИД и ВОР не готовили, в замечаниях к АС1 писали, что работы упущены. Объемы из проекта</t>
  </si>
  <si>
    <t>Прокладка резиновая СП-487</t>
  </si>
  <si>
    <t>Прокладка резиновая ЦП-143</t>
  </si>
  <si>
    <t>8.15</t>
  </si>
  <si>
    <t>8.16</t>
  </si>
  <si>
    <t>Закупка Шеллрокк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</si>
</sst>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rgb="FFFFFF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49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0" fontId="5" fillId="4" borderId="1" xfId="2" applyFont="1" applyFill="1" applyBorder="1" applyAlignment="1">
      <alignment horizontal="left" vertical="center" wrapText="1"/>
    </xf>
    <xf numFmtId="43" fontId="5" fillId="5" borderId="1" xfId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43" fontId="15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168" fontId="5" fillId="5" borderId="1" xfId="0" applyNumberFormat="1" applyFont="1" applyFill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0" fontId="12" fillId="4" borderId="0" xfId="0" applyFont="1" applyFill="1"/>
    <xf numFmtId="43" fontId="3" fillId="5" borderId="1" xfId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3" fontId="16" fillId="4" borderId="1" xfId="1" applyFont="1" applyFill="1" applyBorder="1" applyAlignment="1">
      <alignment horizontal="left" vertical="center" wrapText="1"/>
    </xf>
    <xf numFmtId="169" fontId="5" fillId="0" borderId="1" xfId="0" applyNumberFormat="1" applyFont="1" applyBorder="1" applyAlignment="1">
      <alignment vertical="center" wrapText="1"/>
    </xf>
    <xf numFmtId="170" fontId="5" fillId="0" borderId="1" xfId="0" applyNumberFormat="1" applyFont="1" applyBorder="1" applyAlignment="1">
      <alignment vertical="center" wrapText="1"/>
    </xf>
    <xf numFmtId="168" fontId="5" fillId="0" borderId="1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43" fontId="15" fillId="5" borderId="1" xfId="1" applyFont="1" applyFill="1" applyBorder="1" applyAlignment="1">
      <alignment horizontal="center" vertical="center"/>
    </xf>
    <xf numFmtId="43" fontId="15" fillId="4" borderId="1" xfId="1" applyFont="1" applyFill="1" applyBorder="1" applyAlignment="1">
      <alignment horizontal="center" vertical="center"/>
    </xf>
    <xf numFmtId="169" fontId="5" fillId="5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4" borderId="4" xfId="2" applyFont="1" applyFill="1" applyBorder="1" applyAlignment="1">
      <alignment horizontal="left" vertical="center" wrapText="1"/>
    </xf>
    <xf numFmtId="0" fontId="17" fillId="4" borderId="4" xfId="2" applyFont="1" applyFill="1" applyBorder="1" applyAlignment="1">
      <alignment horizontal="left" vertical="center" wrapText="1"/>
    </xf>
    <xf numFmtId="43" fontId="18" fillId="4" borderId="1" xfId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vertical="center" wrapText="1"/>
    </xf>
    <xf numFmtId="43" fontId="5" fillId="4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67" fontId="5" fillId="5" borderId="1" xfId="0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6" fontId="5" fillId="4" borderId="1" xfId="0" applyNumberFormat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/>
    </xf>
    <xf numFmtId="43" fontId="5" fillId="0" borderId="1" xfId="1" applyFont="1" applyBorder="1" applyAlignment="1">
      <alignment vertical="center"/>
    </xf>
    <xf numFmtId="0" fontId="12" fillId="4" borderId="0" xfId="0" applyFont="1" applyFill="1" applyAlignment="1">
      <alignment vertical="center"/>
    </xf>
    <xf numFmtId="43" fontId="10" fillId="5" borderId="1" xfId="1" applyFont="1" applyFill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9" fillId="0" borderId="1" xfId="1" applyFont="1" applyBorder="1"/>
    <xf numFmtId="165" fontId="20" fillId="0" borderId="0" xfId="1" applyNumberFormat="1" applyFont="1"/>
    <xf numFmtId="0" fontId="20" fillId="0" borderId="0" xfId="0" applyFont="1"/>
    <xf numFmtId="165" fontId="12" fillId="0" borderId="0" xfId="1" applyNumberFormat="1" applyFont="1"/>
    <xf numFmtId="43" fontId="5" fillId="0" borderId="1" xfId="1" applyFont="1" applyFill="1" applyBorder="1" applyAlignment="1">
      <alignment horizontal="right" vertical="center"/>
    </xf>
    <xf numFmtId="49" fontId="14" fillId="7" borderId="1" xfId="0" applyNumberFormat="1" applyFont="1" applyFill="1" applyBorder="1" applyAlignment="1">
      <alignment horizontal="center" vertical="center" wrapText="1"/>
    </xf>
    <xf numFmtId="0" fontId="14" fillId="7" borderId="1" xfId="2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1" fontId="14" fillId="7" borderId="1" xfId="0" applyNumberFormat="1" applyFont="1" applyFill="1" applyBorder="1" applyAlignment="1">
      <alignment vertical="center" wrapText="1"/>
    </xf>
    <xf numFmtId="43" fontId="18" fillId="7" borderId="1" xfId="1" applyFont="1" applyFill="1" applyBorder="1" applyAlignment="1">
      <alignment horizontal="center" vertical="center" wrapText="1"/>
    </xf>
    <xf numFmtId="43" fontId="14" fillId="7" borderId="1" xfId="1" applyFont="1" applyFill="1" applyBorder="1" applyAlignment="1">
      <alignment vertical="center"/>
    </xf>
    <xf numFmtId="43" fontId="18" fillId="7" borderId="1" xfId="1" applyFont="1" applyFill="1" applyBorder="1" applyAlignment="1">
      <alignment horizontal="center" vertical="center"/>
    </xf>
    <xf numFmtId="43" fontId="14" fillId="7" borderId="1" xfId="1" applyFont="1" applyFill="1" applyBorder="1" applyAlignment="1">
      <alignment horizontal="center" vertical="center" wrapText="1"/>
    </xf>
    <xf numFmtId="0" fontId="2" fillId="7" borderId="0" xfId="0" applyFont="1" applyFill="1"/>
    <xf numFmtId="0" fontId="21" fillId="7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8"/>
  <sheetViews>
    <sheetView view="pageBreakPreview" zoomScaleNormal="100" zoomScaleSheetLayoutView="100" workbookViewId="0">
      <selection activeCell="H8" sqref="H8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9" t="s">
        <v>7</v>
      </c>
      <c r="B1" s="129" t="s">
        <v>6</v>
      </c>
      <c r="C1" s="130" t="s">
        <v>5</v>
      </c>
      <c r="D1" s="130"/>
      <c r="E1" s="130"/>
      <c r="F1" s="131" t="s">
        <v>4</v>
      </c>
      <c r="G1" s="131"/>
      <c r="H1" s="131"/>
    </row>
    <row r="2" spans="1:9" ht="28.5" x14ac:dyDescent="0.25">
      <c r="A2" s="129"/>
      <c r="B2" s="129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x14ac:dyDescent="0.25">
      <c r="A3" s="15">
        <v>1</v>
      </c>
      <c r="B3" s="14" t="s">
        <v>132</v>
      </c>
      <c r="C3" s="13">
        <f>ФМ1!F50</f>
        <v>139588.21000000002</v>
      </c>
      <c r="D3" s="12">
        <f>ФМ1!I50</f>
        <v>112306.13</v>
      </c>
      <c r="E3" s="11">
        <f>C3+D3</f>
        <v>251894.34000000003</v>
      </c>
      <c r="F3" s="10">
        <f>ФМ1!G50</f>
        <v>167505.85</v>
      </c>
      <c r="G3" s="9">
        <f>ФМ1!J50</f>
        <v>134767.35999999999</v>
      </c>
      <c r="H3" s="8">
        <f>F3+G3</f>
        <v>302273.20999999996</v>
      </c>
      <c r="I3" s="7"/>
    </row>
    <row r="4" spans="1:9" x14ac:dyDescent="0.25">
      <c r="A4" s="15">
        <f>A3+1</f>
        <v>2</v>
      </c>
      <c r="B4" s="14" t="s">
        <v>157</v>
      </c>
      <c r="C4" s="13">
        <f>ФМ2!F33</f>
        <v>70246.290000000008</v>
      </c>
      <c r="D4" s="12">
        <f>ФМ2!I33</f>
        <v>93613.760000000009</v>
      </c>
      <c r="E4" s="11">
        <f>C4+D4</f>
        <v>163860.05000000002</v>
      </c>
      <c r="F4" s="10">
        <f>ФМ2!G33</f>
        <v>84295.55</v>
      </c>
      <c r="G4" s="9">
        <f>ФМ2!J33</f>
        <v>112336.51</v>
      </c>
      <c r="H4" s="8">
        <f>F4+G4</f>
        <v>196632.06</v>
      </c>
      <c r="I4" s="7"/>
    </row>
    <row r="5" spans="1:9" x14ac:dyDescent="0.25">
      <c r="A5" s="15">
        <f>A4+1</f>
        <v>3</v>
      </c>
      <c r="B5" s="14" t="s">
        <v>174</v>
      </c>
      <c r="C5" s="13">
        <f>'Опоры ОП1'!F24</f>
        <v>313932.43</v>
      </c>
      <c r="D5" s="12">
        <f>'Опоры ОП1'!I24</f>
        <v>236357.12000000002</v>
      </c>
      <c r="E5" s="11">
        <f>C5+D5</f>
        <v>550289.55000000005</v>
      </c>
      <c r="F5" s="10">
        <f>'Опоры ОП1'!G24</f>
        <v>376718.92</v>
      </c>
      <c r="G5" s="9">
        <f>'Опоры ОП1'!J24</f>
        <v>283628.53999999998</v>
      </c>
      <c r="H5" s="8">
        <f>F5+G5</f>
        <v>660347.46</v>
      </c>
      <c r="I5" s="7"/>
    </row>
    <row r="6" spans="1:9" x14ac:dyDescent="0.25">
      <c r="A6" s="15">
        <f>A5+1</f>
        <v>4</v>
      </c>
      <c r="B6" s="14" t="s">
        <v>69</v>
      </c>
      <c r="C6" s="13">
        <f>'Фермы Ф1, Ф2'!F41</f>
        <v>354117.30999999994</v>
      </c>
      <c r="D6" s="12">
        <f>'Фермы Ф1, Ф2'!I41</f>
        <v>147458.82</v>
      </c>
      <c r="E6" s="11">
        <f>C6+D6</f>
        <v>501576.12999999995</v>
      </c>
      <c r="F6" s="10">
        <f>'Фермы Ф1, Ф2'!G41</f>
        <v>424940.77</v>
      </c>
      <c r="G6" s="9">
        <f>'Фермы Ф1, Ф2'!J41</f>
        <v>176950.58</v>
      </c>
      <c r="H6" s="8">
        <f>F6+G6</f>
        <v>601891.35</v>
      </c>
      <c r="I6" s="7"/>
    </row>
    <row r="7" spans="1:9" x14ac:dyDescent="0.25">
      <c r="A7" s="15">
        <f t="shared" ref="A7:A9" si="0">A6+1</f>
        <v>5</v>
      </c>
      <c r="B7" s="14" t="s">
        <v>199</v>
      </c>
      <c r="C7" s="13">
        <f>'Смещение закладных'!F23</f>
        <v>73698.87999999999</v>
      </c>
      <c r="D7" s="12">
        <f>'Смещение закладных'!I23</f>
        <v>17564.78</v>
      </c>
      <c r="E7" s="11">
        <f>C7+D7</f>
        <v>91263.659999999989</v>
      </c>
      <c r="F7" s="10">
        <f>'Смещение закладных'!G23</f>
        <v>88438.66</v>
      </c>
      <c r="G7" s="9">
        <f>'Смещение закладных'!J23</f>
        <v>21077.74</v>
      </c>
      <c r="H7" s="8">
        <f>F7+G7</f>
        <v>109516.40000000001</v>
      </c>
      <c r="I7" s="7"/>
    </row>
    <row r="8" spans="1:9" x14ac:dyDescent="0.25">
      <c r="A8" s="15">
        <f t="shared" si="0"/>
        <v>6</v>
      </c>
      <c r="B8" s="102" t="s">
        <v>212</v>
      </c>
      <c r="C8" s="13">
        <f>Площадка!F44</f>
        <v>3056514.4</v>
      </c>
      <c r="D8" s="12">
        <f>Площадка!I44</f>
        <v>5781951.4899999993</v>
      </c>
      <c r="E8" s="11">
        <f t="shared" ref="E8:E9" si="1">C8+D8</f>
        <v>8838465.8899999987</v>
      </c>
      <c r="F8" s="10">
        <f>Площадка!G44</f>
        <v>3667817.28</v>
      </c>
      <c r="G8" s="9">
        <f>Площадка!J44</f>
        <v>6938341.79</v>
      </c>
      <c r="H8" s="8">
        <f t="shared" ref="H8:H9" si="2">F8+G8</f>
        <v>10606159.07</v>
      </c>
      <c r="I8" s="7" t="s">
        <v>213</v>
      </c>
    </row>
    <row r="9" spans="1:9" x14ac:dyDescent="0.25">
      <c r="A9" s="15">
        <f t="shared" si="0"/>
        <v>7</v>
      </c>
      <c r="B9" s="102" t="s">
        <v>238</v>
      </c>
      <c r="C9" s="13">
        <f>Водосток!F47</f>
        <v>73055.139999999985</v>
      </c>
      <c r="D9" s="12">
        <f>Водосток!I47</f>
        <v>719311.62000000011</v>
      </c>
      <c r="E9" s="11">
        <f t="shared" si="1"/>
        <v>792366.76000000013</v>
      </c>
      <c r="F9" s="10">
        <f>Водосток!G47</f>
        <v>87666.17</v>
      </c>
      <c r="G9" s="9">
        <f>Водосток!J47</f>
        <v>863173.94</v>
      </c>
      <c r="H9" s="8">
        <f t="shared" si="2"/>
        <v>950840.11</v>
      </c>
      <c r="I9" s="7" t="s">
        <v>251</v>
      </c>
    </row>
    <row r="10" spans="1:9" x14ac:dyDescent="0.25">
      <c r="A10" s="6"/>
      <c r="B10" s="5" t="s">
        <v>0</v>
      </c>
      <c r="C10" s="4">
        <f t="shared" ref="C10:H10" si="3">SUM(C3:C9)</f>
        <v>4081152.66</v>
      </c>
      <c r="D10" s="4">
        <f t="shared" si="3"/>
        <v>7108563.7199999997</v>
      </c>
      <c r="E10" s="4">
        <f t="shared" si="3"/>
        <v>11189716.379999999</v>
      </c>
      <c r="F10" s="3">
        <f t="shared" si="3"/>
        <v>4897383.1999999993</v>
      </c>
      <c r="G10" s="3">
        <f t="shared" si="3"/>
        <v>8530276.459999999</v>
      </c>
      <c r="H10" s="3">
        <f t="shared" si="3"/>
        <v>13427659.66</v>
      </c>
      <c r="I10" s="2"/>
    </row>
    <row r="11" spans="1:9" x14ac:dyDescent="0.25">
      <c r="A11" s="1"/>
      <c r="B11" s="1"/>
      <c r="C11" s="1"/>
      <c r="D11" s="1"/>
      <c r="E11" s="1"/>
      <c r="I11" s="2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476E-3115-4192-AE34-D807EBB438F9}">
  <sheetPr>
    <tabColor theme="9" tint="0.79998168889431442"/>
  </sheetPr>
  <dimension ref="A1:M50"/>
  <sheetViews>
    <sheetView view="pageBreakPreview" zoomScale="80" zoomScaleNormal="100" zoomScaleSheetLayoutView="80" workbookViewId="0">
      <selection activeCell="E35" sqref="E35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37" t="s">
        <v>7</v>
      </c>
      <c r="B1" s="140" t="s">
        <v>30</v>
      </c>
      <c r="C1" s="143" t="s">
        <v>29</v>
      </c>
      <c r="D1" s="143" t="s">
        <v>28</v>
      </c>
      <c r="E1" s="144" t="s">
        <v>27</v>
      </c>
      <c r="F1" s="145"/>
      <c r="G1" s="145"/>
      <c r="H1" s="145"/>
      <c r="I1" s="145"/>
      <c r="J1" s="145"/>
      <c r="K1" s="145"/>
      <c r="L1" s="145"/>
    </row>
    <row r="2" spans="1:13" ht="14.45" customHeight="1" x14ac:dyDescent="0.25">
      <c r="A2" s="138"/>
      <c r="B2" s="141"/>
      <c r="C2" s="143"/>
      <c r="D2" s="143"/>
      <c r="E2" s="146"/>
      <c r="F2" s="147"/>
      <c r="G2" s="147"/>
      <c r="H2" s="147"/>
      <c r="I2" s="147"/>
      <c r="J2" s="147"/>
      <c r="K2" s="147"/>
      <c r="L2" s="147"/>
    </row>
    <row r="3" spans="1:13" ht="27.75" customHeight="1" x14ac:dyDescent="0.25">
      <c r="A3" s="138"/>
      <c r="B3" s="141"/>
      <c r="C3" s="143"/>
      <c r="D3" s="143"/>
      <c r="E3" s="143" t="s">
        <v>26</v>
      </c>
      <c r="F3" s="143"/>
      <c r="G3" s="143"/>
      <c r="H3" s="143" t="s">
        <v>25</v>
      </c>
      <c r="I3" s="143"/>
      <c r="J3" s="143"/>
      <c r="K3" s="129" t="s">
        <v>24</v>
      </c>
      <c r="L3" s="129"/>
    </row>
    <row r="4" spans="1:13" ht="56.1" customHeight="1" x14ac:dyDescent="0.25">
      <c r="A4" s="139"/>
      <c r="B4" s="142"/>
      <c r="C4" s="143"/>
      <c r="D4" s="143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32" t="s">
        <v>50</v>
      </c>
      <c r="C6" s="133"/>
      <c r="D6" s="133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132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" customHeight="1" x14ac:dyDescent="0.25">
      <c r="A8" s="28"/>
      <c r="B8" s="95" t="s">
        <v>133</v>
      </c>
      <c r="C8" s="6"/>
      <c r="D8" s="6"/>
      <c r="E8" s="70"/>
      <c r="F8" s="39"/>
      <c r="G8" s="39"/>
      <c r="H8" s="44"/>
      <c r="I8" s="26"/>
      <c r="J8" s="26"/>
      <c r="K8" s="70"/>
      <c r="L8" s="39"/>
      <c r="M8" s="40"/>
    </row>
    <row r="9" spans="1:13" ht="22.5" customHeight="1" x14ac:dyDescent="0.25">
      <c r="A9" s="28">
        <v>1</v>
      </c>
      <c r="B9" s="67" t="s">
        <v>135</v>
      </c>
      <c r="C9" s="46" t="s">
        <v>16</v>
      </c>
      <c r="D9" s="69">
        <v>0.31</v>
      </c>
      <c r="E9" s="24">
        <f>ROUND(65055.24/(297.03*0.05),2)</f>
        <v>4380.38</v>
      </c>
      <c r="F9" s="39">
        <f t="shared" ref="F9:F10" si="0">ROUND(E9*D9,2)</f>
        <v>1357.92</v>
      </c>
      <c r="G9" s="39">
        <f t="shared" ref="G9:G10" si="1">ROUND(F9*1.2,2)</f>
        <v>1629.5</v>
      </c>
      <c r="H9" s="44"/>
      <c r="I9" s="26"/>
      <c r="J9" s="26"/>
      <c r="K9" s="70">
        <f t="shared" ref="K9:L10" si="2">F9+I9</f>
        <v>1357.92</v>
      </c>
      <c r="L9" s="39">
        <f t="shared" si="2"/>
        <v>1629.5</v>
      </c>
      <c r="M9" s="40" t="s">
        <v>134</v>
      </c>
    </row>
    <row r="10" spans="1:13" ht="22.5" customHeight="1" x14ac:dyDescent="0.25">
      <c r="A10" s="28">
        <f t="shared" ref="A10" si="3">A9+1</f>
        <v>2</v>
      </c>
      <c r="B10" s="67" t="s">
        <v>136</v>
      </c>
      <c r="C10" s="46" t="s">
        <v>16</v>
      </c>
      <c r="D10" s="69">
        <v>1.88</v>
      </c>
      <c r="E10" s="44">
        <v>304</v>
      </c>
      <c r="F10" s="39">
        <f t="shared" si="0"/>
        <v>571.52</v>
      </c>
      <c r="G10" s="39">
        <f t="shared" si="1"/>
        <v>685.82</v>
      </c>
      <c r="H10" s="26"/>
      <c r="I10" s="26"/>
      <c r="J10" s="26"/>
      <c r="K10" s="70">
        <f t="shared" si="2"/>
        <v>571.52</v>
      </c>
      <c r="L10" s="26">
        <f t="shared" si="2"/>
        <v>685.82</v>
      </c>
      <c r="M10" s="40" t="s">
        <v>134</v>
      </c>
    </row>
    <row r="11" spans="1:13" ht="20.25" customHeight="1" x14ac:dyDescent="0.25">
      <c r="A11" s="28"/>
      <c r="B11" s="97" t="s">
        <v>40</v>
      </c>
      <c r="C11" s="55"/>
      <c r="D11" s="69"/>
      <c r="E11" s="98"/>
      <c r="F11" s="26"/>
      <c r="G11" s="26"/>
      <c r="H11" s="26"/>
      <c r="I11" s="26"/>
      <c r="J11" s="26"/>
      <c r="K11" s="70"/>
      <c r="L11" s="26"/>
      <c r="M11" s="43"/>
    </row>
    <row r="12" spans="1:13" ht="24" customHeight="1" x14ac:dyDescent="0.25">
      <c r="A12" s="28">
        <f>A10+1</f>
        <v>3</v>
      </c>
      <c r="B12" s="96" t="s">
        <v>138</v>
      </c>
      <c r="C12" s="46" t="s">
        <v>16</v>
      </c>
      <c r="D12" s="69">
        <v>2.19</v>
      </c>
      <c r="E12" s="24">
        <v>544.86</v>
      </c>
      <c r="F12" s="39">
        <f t="shared" ref="F12" si="4">ROUND(E12*D12,2)</f>
        <v>1193.24</v>
      </c>
      <c r="G12" s="39">
        <f t="shared" ref="G12" si="5">ROUND(F12*1.2,2)</f>
        <v>1431.89</v>
      </c>
      <c r="H12" s="44"/>
      <c r="I12" s="26"/>
      <c r="J12" s="26"/>
      <c r="K12" s="70">
        <f t="shared" ref="K12:L12" si="6">F12+I12</f>
        <v>1193.24</v>
      </c>
      <c r="L12" s="26">
        <f t="shared" si="6"/>
        <v>1431.89</v>
      </c>
      <c r="M12" s="43" t="s">
        <v>139</v>
      </c>
    </row>
    <row r="13" spans="1:13" ht="20.25" customHeight="1" x14ac:dyDescent="0.25">
      <c r="A13" s="57"/>
      <c r="B13" s="56" t="s">
        <v>19</v>
      </c>
      <c r="C13" s="55"/>
      <c r="D13" s="54"/>
      <c r="E13" s="53"/>
      <c r="F13" s="52"/>
      <c r="G13" s="51"/>
      <c r="H13" s="38"/>
      <c r="I13" s="37"/>
      <c r="J13" s="37"/>
      <c r="K13" s="50"/>
      <c r="L13" s="37"/>
      <c r="M13" s="40"/>
    </row>
    <row r="14" spans="1:13" ht="24" customHeight="1" x14ac:dyDescent="0.25">
      <c r="A14" s="28">
        <f>A12+1</f>
        <v>4</v>
      </c>
      <c r="B14" s="47" t="s">
        <v>140</v>
      </c>
      <c r="C14" s="46" t="s">
        <v>16</v>
      </c>
      <c r="D14" s="48">
        <v>26.87</v>
      </c>
      <c r="E14" s="44">
        <v>308.75</v>
      </c>
      <c r="F14" s="39">
        <f t="shared" ref="F14:F17" si="7">ROUND(E14*D14,2)</f>
        <v>8296.11</v>
      </c>
      <c r="G14" s="39">
        <f t="shared" ref="G14:G18" si="8">ROUND(F14*1.2,2)</f>
        <v>9955.33</v>
      </c>
      <c r="H14" s="38"/>
      <c r="I14" s="37"/>
      <c r="J14" s="37"/>
      <c r="K14" s="25">
        <f t="shared" ref="K14:L18" si="9">F14+I14</f>
        <v>8296.11</v>
      </c>
      <c r="L14" s="24">
        <f t="shared" si="9"/>
        <v>9955.33</v>
      </c>
      <c r="M14" s="40"/>
    </row>
    <row r="15" spans="1:13" ht="24" customHeight="1" x14ac:dyDescent="0.25">
      <c r="A15" s="28">
        <f>A14+1</f>
        <v>5</v>
      </c>
      <c r="B15" s="47" t="s">
        <v>141</v>
      </c>
      <c r="C15" s="46" t="s">
        <v>16</v>
      </c>
      <c r="D15" s="48">
        <v>0.82</v>
      </c>
      <c r="E15" s="44">
        <v>1688.15</v>
      </c>
      <c r="F15" s="39">
        <f t="shared" si="7"/>
        <v>1384.28</v>
      </c>
      <c r="G15" s="39">
        <f t="shared" si="8"/>
        <v>1661.14</v>
      </c>
      <c r="H15" s="38"/>
      <c r="I15" s="37"/>
      <c r="J15" s="37"/>
      <c r="K15" s="25">
        <f t="shared" si="9"/>
        <v>1384.28</v>
      </c>
      <c r="L15" s="24">
        <f t="shared" si="9"/>
        <v>1661.14</v>
      </c>
      <c r="M15" s="40"/>
    </row>
    <row r="16" spans="1:13" s="36" customFormat="1" ht="22.5" customHeight="1" x14ac:dyDescent="0.25">
      <c r="A16" s="28">
        <f t="shared" ref="A16:A18" si="10">A15+1</f>
        <v>6</v>
      </c>
      <c r="B16" s="47" t="s">
        <v>32</v>
      </c>
      <c r="C16" s="46" t="s">
        <v>16</v>
      </c>
      <c r="D16" s="48">
        <v>19.78</v>
      </c>
      <c r="E16" s="44">
        <v>118.75</v>
      </c>
      <c r="F16" s="39">
        <f t="shared" si="7"/>
        <v>2348.88</v>
      </c>
      <c r="G16" s="39">
        <f t="shared" si="8"/>
        <v>2818.66</v>
      </c>
      <c r="H16" s="38"/>
      <c r="I16" s="37"/>
      <c r="J16" s="37"/>
      <c r="K16" s="25">
        <f t="shared" si="9"/>
        <v>2348.88</v>
      </c>
      <c r="L16" s="24">
        <f t="shared" si="9"/>
        <v>2818.66</v>
      </c>
      <c r="M16" s="80"/>
    </row>
    <row r="17" spans="1:13" ht="22.5" customHeight="1" x14ac:dyDescent="0.25">
      <c r="A17" s="28">
        <f t="shared" si="10"/>
        <v>7</v>
      </c>
      <c r="B17" s="47" t="s">
        <v>31</v>
      </c>
      <c r="C17" s="46" t="s">
        <v>16</v>
      </c>
      <c r="D17" s="48">
        <v>19.78</v>
      </c>
      <c r="E17" s="44">
        <v>188.1</v>
      </c>
      <c r="F17" s="39">
        <f t="shared" si="7"/>
        <v>3720.62</v>
      </c>
      <c r="G17" s="39">
        <f t="shared" si="8"/>
        <v>4464.74</v>
      </c>
      <c r="H17" s="25"/>
      <c r="I17" s="26"/>
      <c r="J17" s="26"/>
      <c r="K17" s="25">
        <f t="shared" si="9"/>
        <v>3720.62</v>
      </c>
      <c r="L17" s="24">
        <f t="shared" si="9"/>
        <v>4464.74</v>
      </c>
      <c r="M17" s="40"/>
    </row>
    <row r="18" spans="1:13" ht="18.75" customHeight="1" x14ac:dyDescent="0.25">
      <c r="A18" s="28">
        <f t="shared" si="10"/>
        <v>8</v>
      </c>
      <c r="B18" s="67" t="s">
        <v>142</v>
      </c>
      <c r="C18" s="55" t="s">
        <v>15</v>
      </c>
      <c r="D18" s="69">
        <v>52.61</v>
      </c>
      <c r="E18" s="44">
        <v>308.75</v>
      </c>
      <c r="F18" s="26">
        <f>ROUND(E18*D18,2)</f>
        <v>16243.34</v>
      </c>
      <c r="G18" s="26">
        <f t="shared" si="8"/>
        <v>19492.009999999998</v>
      </c>
      <c r="H18" s="25"/>
      <c r="I18" s="26"/>
      <c r="J18" s="26"/>
      <c r="K18" s="25">
        <f t="shared" si="9"/>
        <v>16243.34</v>
      </c>
      <c r="L18" s="24">
        <f t="shared" si="9"/>
        <v>19492.009999999998</v>
      </c>
      <c r="M18" s="40"/>
    </row>
    <row r="19" spans="1:13" ht="18.75" customHeight="1" x14ac:dyDescent="0.25">
      <c r="A19" s="55"/>
      <c r="B19" s="49" t="s">
        <v>58</v>
      </c>
      <c r="C19" s="85"/>
      <c r="D19" s="85"/>
      <c r="E19" s="87"/>
      <c r="F19" s="39"/>
      <c r="G19" s="39"/>
      <c r="H19" s="38"/>
      <c r="I19" s="37"/>
      <c r="J19" s="37"/>
      <c r="K19" s="25"/>
      <c r="L19" s="24"/>
      <c r="M19" s="71"/>
    </row>
    <row r="20" spans="1:13" ht="18.75" customHeight="1" x14ac:dyDescent="0.25">
      <c r="A20" s="55"/>
      <c r="B20" s="74" t="s">
        <v>143</v>
      </c>
      <c r="C20" s="75"/>
      <c r="D20" s="77"/>
      <c r="E20" s="76"/>
      <c r="F20" s="39"/>
      <c r="G20" s="39"/>
      <c r="H20" s="38"/>
      <c r="I20" s="37"/>
      <c r="J20" s="37"/>
      <c r="K20" s="25"/>
      <c r="L20" s="24"/>
      <c r="M20" s="71"/>
    </row>
    <row r="21" spans="1:13" ht="18.75" customHeight="1" x14ac:dyDescent="0.25">
      <c r="A21" s="55">
        <f>A18+1</f>
        <v>9</v>
      </c>
      <c r="B21" s="47" t="s">
        <v>35</v>
      </c>
      <c r="C21" s="46" t="s">
        <v>16</v>
      </c>
      <c r="D21" s="48">
        <v>1.45</v>
      </c>
      <c r="E21" s="27">
        <v>3780.0499999999997</v>
      </c>
      <c r="F21" s="39">
        <f t="shared" ref="F21:F28" si="11">ROUND(E21*D21,2)</f>
        <v>5481.07</v>
      </c>
      <c r="G21" s="39">
        <f t="shared" ref="G21:G28" si="12">ROUND(F21*1.2,2)</f>
        <v>6577.28</v>
      </c>
      <c r="H21" s="38"/>
      <c r="I21" s="37"/>
      <c r="J21" s="37"/>
      <c r="K21" s="25">
        <f t="shared" ref="K21:L34" si="13">F21+I21</f>
        <v>5481.07</v>
      </c>
      <c r="L21" s="24">
        <f t="shared" si="13"/>
        <v>6577.28</v>
      </c>
      <c r="M21" s="71"/>
    </row>
    <row r="22" spans="1:13" ht="18.75" customHeight="1" x14ac:dyDescent="0.25">
      <c r="A22" s="35" t="s">
        <v>10</v>
      </c>
      <c r="B22" s="34" t="s">
        <v>38</v>
      </c>
      <c r="C22" s="33" t="s">
        <v>16</v>
      </c>
      <c r="D22" s="32">
        <f>1.45*1.02</f>
        <v>1.4789999999999999</v>
      </c>
      <c r="E22" s="31"/>
      <c r="F22" s="29"/>
      <c r="G22" s="29"/>
      <c r="H22" s="29">
        <v>4807</v>
      </c>
      <c r="I22" s="29">
        <f>ROUND(H22*D22,2)</f>
        <v>7109.55</v>
      </c>
      <c r="J22" s="29">
        <f>ROUND(I22*1.2,2)</f>
        <v>8531.4599999999991</v>
      </c>
      <c r="K22" s="30">
        <f t="shared" si="13"/>
        <v>7109.55</v>
      </c>
      <c r="L22" s="29">
        <f t="shared" si="13"/>
        <v>8531.4599999999991</v>
      </c>
      <c r="M22" s="58"/>
    </row>
    <row r="23" spans="1:13" ht="18.75" customHeight="1" x14ac:dyDescent="0.25">
      <c r="A23" s="55">
        <f>A21+1</f>
        <v>10</v>
      </c>
      <c r="B23" s="47" t="s">
        <v>59</v>
      </c>
      <c r="C23" s="46" t="s">
        <v>16</v>
      </c>
      <c r="D23" s="48">
        <f>3.6+1.92</f>
        <v>5.52</v>
      </c>
      <c r="E23" s="27">
        <v>8001.8499999999995</v>
      </c>
      <c r="F23" s="39">
        <f t="shared" si="11"/>
        <v>44170.21</v>
      </c>
      <c r="G23" s="39">
        <f t="shared" si="12"/>
        <v>53004.25</v>
      </c>
      <c r="H23" s="38"/>
      <c r="I23" s="37"/>
      <c r="J23" s="37"/>
      <c r="K23" s="25">
        <f t="shared" si="13"/>
        <v>44170.21</v>
      </c>
      <c r="L23" s="24">
        <f t="shared" si="13"/>
        <v>53004.25</v>
      </c>
      <c r="M23" s="71"/>
    </row>
    <row r="24" spans="1:13" ht="18.75" customHeight="1" x14ac:dyDescent="0.25">
      <c r="A24" s="35" t="s">
        <v>87</v>
      </c>
      <c r="B24" s="34" t="s">
        <v>39</v>
      </c>
      <c r="C24" s="33" t="s">
        <v>16</v>
      </c>
      <c r="D24" s="78">
        <f>(3.6+1.92)*1.02</f>
        <v>5.6303999999999998</v>
      </c>
      <c r="E24" s="31"/>
      <c r="F24" s="29"/>
      <c r="G24" s="29"/>
      <c r="H24" s="31">
        <v>5808.3</v>
      </c>
      <c r="I24" s="29">
        <f>ROUND(H24*D24,2)</f>
        <v>32703.05</v>
      </c>
      <c r="J24" s="29">
        <f>ROUND(I24*1.2,2)</f>
        <v>39243.660000000003</v>
      </c>
      <c r="K24" s="30">
        <f t="shared" si="13"/>
        <v>32703.05</v>
      </c>
      <c r="L24" s="29">
        <f t="shared" si="13"/>
        <v>39243.660000000003</v>
      </c>
      <c r="M24" s="58"/>
    </row>
    <row r="25" spans="1:13" ht="18.75" customHeight="1" x14ac:dyDescent="0.25">
      <c r="A25" s="35" t="s">
        <v>150</v>
      </c>
      <c r="B25" s="34" t="s">
        <v>145</v>
      </c>
      <c r="C25" s="33" t="s">
        <v>36</v>
      </c>
      <c r="D25" s="32">
        <f>51.9+51.9</f>
        <v>103.8</v>
      </c>
      <c r="E25" s="31"/>
      <c r="F25" s="29"/>
      <c r="G25" s="29"/>
      <c r="H25" s="92">
        <v>74.599999999999994</v>
      </c>
      <c r="I25" s="29">
        <f t="shared" ref="I25:I27" si="14">ROUND(H25*D25,2)</f>
        <v>7743.48</v>
      </c>
      <c r="J25" s="29">
        <f t="shared" ref="J25:J27" si="15">ROUND(I25*1.2,2)</f>
        <v>9292.18</v>
      </c>
      <c r="K25" s="30">
        <f t="shared" si="13"/>
        <v>7743.48</v>
      </c>
      <c r="L25" s="29">
        <f t="shared" si="13"/>
        <v>9292.18</v>
      </c>
      <c r="M25" s="58"/>
    </row>
    <row r="26" spans="1:13" ht="18.75" customHeight="1" x14ac:dyDescent="0.25">
      <c r="A26" s="35" t="s">
        <v>151</v>
      </c>
      <c r="B26" s="34" t="s">
        <v>146</v>
      </c>
      <c r="C26" s="33" t="s">
        <v>36</v>
      </c>
      <c r="D26" s="32">
        <v>60.58</v>
      </c>
      <c r="E26" s="31"/>
      <c r="F26" s="29"/>
      <c r="G26" s="29"/>
      <c r="H26" s="92">
        <v>74.599999999999994</v>
      </c>
      <c r="I26" s="29">
        <f t="shared" si="14"/>
        <v>4519.2700000000004</v>
      </c>
      <c r="J26" s="29">
        <f t="shared" si="15"/>
        <v>5423.12</v>
      </c>
      <c r="K26" s="30">
        <f t="shared" si="13"/>
        <v>4519.2700000000004</v>
      </c>
      <c r="L26" s="29">
        <f t="shared" si="13"/>
        <v>5423.12</v>
      </c>
      <c r="M26" s="58"/>
    </row>
    <row r="27" spans="1:13" ht="18.75" customHeight="1" x14ac:dyDescent="0.25">
      <c r="A27" s="35" t="s">
        <v>152</v>
      </c>
      <c r="B27" s="34" t="s">
        <v>147</v>
      </c>
      <c r="C27" s="33" t="s">
        <v>36</v>
      </c>
      <c r="D27" s="32">
        <f>14.29+10.32</f>
        <v>24.61</v>
      </c>
      <c r="E27" s="31"/>
      <c r="F27" s="29"/>
      <c r="G27" s="29"/>
      <c r="H27" s="92">
        <v>74.599999999999994</v>
      </c>
      <c r="I27" s="29">
        <f t="shared" si="14"/>
        <v>1835.91</v>
      </c>
      <c r="J27" s="29">
        <f t="shared" si="15"/>
        <v>2203.09</v>
      </c>
      <c r="K27" s="30">
        <f t="shared" si="13"/>
        <v>1835.91</v>
      </c>
      <c r="L27" s="29">
        <f t="shared" si="13"/>
        <v>2203.09</v>
      </c>
      <c r="M27" s="58"/>
    </row>
    <row r="28" spans="1:13" ht="18.75" customHeight="1" x14ac:dyDescent="0.25">
      <c r="A28" s="55">
        <f>A23+1</f>
        <v>11</v>
      </c>
      <c r="B28" s="47" t="s">
        <v>60</v>
      </c>
      <c r="C28" s="46" t="s">
        <v>15</v>
      </c>
      <c r="D28" s="89">
        <v>0.11748</v>
      </c>
      <c r="E28" s="27">
        <v>142776.44999999998</v>
      </c>
      <c r="F28" s="39">
        <f t="shared" si="11"/>
        <v>16773.38</v>
      </c>
      <c r="G28" s="39">
        <f t="shared" si="12"/>
        <v>20128.060000000001</v>
      </c>
      <c r="H28" s="38"/>
      <c r="I28" s="37"/>
      <c r="J28" s="37"/>
      <c r="K28" s="25">
        <f t="shared" si="13"/>
        <v>16773.38</v>
      </c>
      <c r="L28" s="24">
        <f t="shared" si="13"/>
        <v>20128.060000000001</v>
      </c>
      <c r="M28" s="71"/>
    </row>
    <row r="29" spans="1:13" ht="18.75" customHeight="1" x14ac:dyDescent="0.25">
      <c r="A29" s="35" t="s">
        <v>88</v>
      </c>
      <c r="B29" s="34" t="s">
        <v>148</v>
      </c>
      <c r="C29" s="33" t="s">
        <v>36</v>
      </c>
      <c r="D29" s="32">
        <v>81.239999999999995</v>
      </c>
      <c r="E29" s="31"/>
      <c r="F29" s="29"/>
      <c r="G29" s="29"/>
      <c r="H29" s="31">
        <v>174.79999999999998</v>
      </c>
      <c r="I29" s="29">
        <f>ROUND(H29*D29,2)</f>
        <v>14200.75</v>
      </c>
      <c r="J29" s="29">
        <f>ROUND(I29*1.2,2)</f>
        <v>17040.900000000001</v>
      </c>
      <c r="K29" s="30">
        <f t="shared" si="13"/>
        <v>14200.75</v>
      </c>
      <c r="L29" s="29">
        <f t="shared" si="13"/>
        <v>17040.900000000001</v>
      </c>
      <c r="M29" s="58"/>
    </row>
    <row r="30" spans="1:13" ht="18.75" customHeight="1" x14ac:dyDescent="0.25">
      <c r="A30" s="35" t="s">
        <v>153</v>
      </c>
      <c r="B30" s="34" t="s">
        <v>149</v>
      </c>
      <c r="C30" s="33" t="s">
        <v>36</v>
      </c>
      <c r="D30" s="32">
        <f>18.12+18.12</f>
        <v>36.24</v>
      </c>
      <c r="E30" s="31"/>
      <c r="F30" s="29"/>
      <c r="G30" s="29"/>
      <c r="H30" s="92">
        <v>71.25</v>
      </c>
      <c r="I30" s="29">
        <f t="shared" ref="I30" si="16">ROUND(H30*D30,2)</f>
        <v>2582.1</v>
      </c>
      <c r="J30" s="29">
        <f t="shared" ref="J30" si="17">ROUND(I30*1.2,2)</f>
        <v>3098.52</v>
      </c>
      <c r="K30" s="30">
        <f t="shared" si="13"/>
        <v>2582.1</v>
      </c>
      <c r="L30" s="29">
        <f t="shared" si="13"/>
        <v>3098.52</v>
      </c>
      <c r="M30" s="58"/>
    </row>
    <row r="31" spans="1:13" ht="19.5" customHeight="1" x14ac:dyDescent="0.25">
      <c r="A31" s="55">
        <f>A28+1</f>
        <v>12</v>
      </c>
      <c r="B31" s="67" t="s">
        <v>44</v>
      </c>
      <c r="C31" s="55" t="s">
        <v>33</v>
      </c>
      <c r="D31" s="82">
        <v>26.88</v>
      </c>
      <c r="E31" s="44">
        <v>144.4</v>
      </c>
      <c r="F31" s="26">
        <f>ROUND(E31*D31,2)</f>
        <v>3881.47</v>
      </c>
      <c r="G31" s="26">
        <f t="shared" ref="G31" si="18">ROUND(F31*1.2,2)</f>
        <v>4657.76</v>
      </c>
      <c r="H31" s="25"/>
      <c r="I31" s="26"/>
      <c r="J31" s="26"/>
      <c r="K31" s="25">
        <f t="shared" si="13"/>
        <v>3881.47</v>
      </c>
      <c r="L31" s="24">
        <f t="shared" si="13"/>
        <v>4657.76</v>
      </c>
      <c r="M31" s="43" t="s">
        <v>45</v>
      </c>
    </row>
    <row r="32" spans="1:13" ht="17.25" customHeight="1" x14ac:dyDescent="0.25">
      <c r="A32" s="35" t="s">
        <v>89</v>
      </c>
      <c r="B32" s="42" t="s">
        <v>46</v>
      </c>
      <c r="C32" s="33" t="s">
        <v>47</v>
      </c>
      <c r="D32" s="83">
        <f>D31*0.3*20/16</f>
        <v>10.08</v>
      </c>
      <c r="E32" s="31"/>
      <c r="F32" s="29"/>
      <c r="G32" s="29"/>
      <c r="H32" s="81">
        <v>237.5</v>
      </c>
      <c r="I32" s="29">
        <f>ROUND(H32*D32,2)</f>
        <v>2394</v>
      </c>
      <c r="J32" s="29">
        <f t="shared" ref="J32" si="19">ROUND(I32*1.2,2)</f>
        <v>2872.8</v>
      </c>
      <c r="K32" s="30">
        <f t="shared" si="13"/>
        <v>2394</v>
      </c>
      <c r="L32" s="29">
        <f t="shared" si="13"/>
        <v>2872.8</v>
      </c>
      <c r="M32" s="43"/>
    </row>
    <row r="33" spans="1:13" ht="21.75" customHeight="1" x14ac:dyDescent="0.25">
      <c r="A33" s="55">
        <f>A31+1</f>
        <v>13</v>
      </c>
      <c r="B33" s="67" t="s">
        <v>48</v>
      </c>
      <c r="C33" s="55" t="s">
        <v>33</v>
      </c>
      <c r="D33" s="82">
        <v>26.88</v>
      </c>
      <c r="E33" s="44">
        <v>299.76</v>
      </c>
      <c r="F33" s="26">
        <f>ROUND(E33*D33,2)</f>
        <v>8057.55</v>
      </c>
      <c r="G33" s="26">
        <f t="shared" ref="G33" si="20">ROUND(F33*1.2,2)</f>
        <v>9669.06</v>
      </c>
      <c r="H33" s="25"/>
      <c r="I33" s="26"/>
      <c r="J33" s="26"/>
      <c r="K33" s="25">
        <f t="shared" si="13"/>
        <v>8057.55</v>
      </c>
      <c r="L33" s="24">
        <f t="shared" si="13"/>
        <v>9669.06</v>
      </c>
      <c r="M33" s="43" t="s">
        <v>45</v>
      </c>
    </row>
    <row r="34" spans="1:13" ht="15.75" x14ac:dyDescent="0.25">
      <c r="A34" s="35" t="s">
        <v>154</v>
      </c>
      <c r="B34" s="42" t="s">
        <v>49</v>
      </c>
      <c r="C34" s="33" t="s">
        <v>36</v>
      </c>
      <c r="D34" s="32">
        <f>D33*0.7*2</f>
        <v>37.631999999999998</v>
      </c>
      <c r="E34" s="31"/>
      <c r="F34" s="29"/>
      <c r="G34" s="29"/>
      <c r="H34" s="81">
        <v>296.39999999999998</v>
      </c>
      <c r="I34" s="29">
        <f t="shared" ref="I34" si="21">ROUND(H34*D34,2)</f>
        <v>11154.12</v>
      </c>
      <c r="J34" s="29">
        <f t="shared" ref="J34" si="22">ROUND(I34*1.2,2)</f>
        <v>13384.94</v>
      </c>
      <c r="K34" s="84">
        <f t="shared" si="13"/>
        <v>11154.12</v>
      </c>
      <c r="L34" s="68">
        <f t="shared" si="13"/>
        <v>13384.94</v>
      </c>
      <c r="M34" s="43"/>
    </row>
    <row r="35" spans="1:13" ht="18.75" customHeight="1" x14ac:dyDescent="0.25">
      <c r="A35" s="55"/>
      <c r="B35" s="74" t="s">
        <v>144</v>
      </c>
      <c r="C35" s="75"/>
      <c r="D35" s="77"/>
      <c r="E35" s="76"/>
      <c r="F35" s="39"/>
      <c r="G35" s="39"/>
      <c r="H35" s="38"/>
      <c r="I35" s="37"/>
      <c r="J35" s="37"/>
      <c r="K35" s="25"/>
      <c r="L35" s="24"/>
      <c r="M35" s="71"/>
    </row>
    <row r="36" spans="1:13" ht="18.75" customHeight="1" x14ac:dyDescent="0.25">
      <c r="A36" s="55">
        <f>A33+1</f>
        <v>14</v>
      </c>
      <c r="B36" s="47" t="s">
        <v>35</v>
      </c>
      <c r="C36" s="46" t="s">
        <v>16</v>
      </c>
      <c r="D36" s="48">
        <v>0.48</v>
      </c>
      <c r="E36" s="27">
        <v>3780.0499999999997</v>
      </c>
      <c r="F36" s="39">
        <f t="shared" ref="F36" si="23">ROUND(E36*D36,2)</f>
        <v>1814.42</v>
      </c>
      <c r="G36" s="39">
        <f t="shared" ref="G36:G43" si="24">ROUND(F36*1.2,2)</f>
        <v>2177.3000000000002</v>
      </c>
      <c r="H36" s="38"/>
      <c r="I36" s="37"/>
      <c r="J36" s="37"/>
      <c r="K36" s="25">
        <f t="shared" ref="K36:K49" si="25">F36+I36</f>
        <v>1814.42</v>
      </c>
      <c r="L36" s="24">
        <f t="shared" ref="L36:L49" si="26">G36+J36</f>
        <v>2177.3000000000002</v>
      </c>
      <c r="M36" s="71"/>
    </row>
    <row r="37" spans="1:13" ht="18.75" customHeight="1" x14ac:dyDescent="0.25">
      <c r="A37" s="35" t="s">
        <v>90</v>
      </c>
      <c r="B37" s="34" t="s">
        <v>38</v>
      </c>
      <c r="C37" s="33" t="s">
        <v>16</v>
      </c>
      <c r="D37" s="32">
        <f>0.48*1.02</f>
        <v>0.48959999999999998</v>
      </c>
      <c r="E37" s="31"/>
      <c r="F37" s="29"/>
      <c r="G37" s="29"/>
      <c r="H37" s="29">
        <v>4807</v>
      </c>
      <c r="I37" s="29">
        <f>ROUND(H37*D37,2)</f>
        <v>2353.5100000000002</v>
      </c>
      <c r="J37" s="29">
        <f>ROUND(I37*1.2,2)</f>
        <v>2824.21</v>
      </c>
      <c r="K37" s="30">
        <f t="shared" si="25"/>
        <v>2353.5100000000002</v>
      </c>
      <c r="L37" s="29">
        <f t="shared" si="26"/>
        <v>2824.21</v>
      </c>
      <c r="M37" s="58"/>
    </row>
    <row r="38" spans="1:13" ht="18.75" customHeight="1" x14ac:dyDescent="0.25">
      <c r="A38" s="55">
        <f>A36+1</f>
        <v>15</v>
      </c>
      <c r="B38" s="47" t="s">
        <v>59</v>
      </c>
      <c r="C38" s="46" t="s">
        <v>16</v>
      </c>
      <c r="D38" s="48">
        <f>1.2+0.64</f>
        <v>1.8399999999999999</v>
      </c>
      <c r="E38" s="27">
        <v>8001.8499999999995</v>
      </c>
      <c r="F38" s="39">
        <f t="shared" ref="F38" si="27">ROUND(E38*D38,2)</f>
        <v>14723.4</v>
      </c>
      <c r="G38" s="39">
        <f t="shared" si="24"/>
        <v>17668.080000000002</v>
      </c>
      <c r="H38" s="38"/>
      <c r="I38" s="37"/>
      <c r="J38" s="37"/>
      <c r="K38" s="25">
        <f t="shared" si="25"/>
        <v>14723.4</v>
      </c>
      <c r="L38" s="24">
        <f t="shared" si="26"/>
        <v>17668.080000000002</v>
      </c>
      <c r="M38" s="71"/>
    </row>
    <row r="39" spans="1:13" ht="18.75" customHeight="1" x14ac:dyDescent="0.25">
      <c r="A39" s="35" t="s">
        <v>91</v>
      </c>
      <c r="B39" s="34" t="s">
        <v>39</v>
      </c>
      <c r="C39" s="33" t="s">
        <v>16</v>
      </c>
      <c r="D39" s="78">
        <f>(1.2+0.64)*1.02</f>
        <v>1.8767999999999998</v>
      </c>
      <c r="E39" s="31"/>
      <c r="F39" s="29"/>
      <c r="G39" s="29"/>
      <c r="H39" s="31">
        <v>5808.3</v>
      </c>
      <c r="I39" s="29">
        <f>ROUND(H39*D39,2)</f>
        <v>10901.02</v>
      </c>
      <c r="J39" s="29">
        <f>ROUND(I39*1.2,2)</f>
        <v>13081.22</v>
      </c>
      <c r="K39" s="30">
        <f t="shared" si="25"/>
        <v>10901.02</v>
      </c>
      <c r="L39" s="29">
        <f t="shared" si="26"/>
        <v>13081.22</v>
      </c>
      <c r="M39" s="58"/>
    </row>
    <row r="40" spans="1:13" ht="18.75" customHeight="1" x14ac:dyDescent="0.25">
      <c r="A40" s="35" t="s">
        <v>92</v>
      </c>
      <c r="B40" s="34" t="s">
        <v>145</v>
      </c>
      <c r="C40" s="33" t="s">
        <v>36</v>
      </c>
      <c r="D40" s="32">
        <f>17.3+17.3</f>
        <v>34.6</v>
      </c>
      <c r="E40" s="31"/>
      <c r="F40" s="29"/>
      <c r="G40" s="29"/>
      <c r="H40" s="92">
        <v>74.599999999999994</v>
      </c>
      <c r="I40" s="29">
        <f t="shared" ref="I40:I42" si="28">ROUND(H40*D40,2)</f>
        <v>2581.16</v>
      </c>
      <c r="J40" s="29">
        <f t="shared" ref="J40:J42" si="29">ROUND(I40*1.2,2)</f>
        <v>3097.39</v>
      </c>
      <c r="K40" s="30">
        <f t="shared" si="25"/>
        <v>2581.16</v>
      </c>
      <c r="L40" s="29">
        <f t="shared" si="26"/>
        <v>3097.39</v>
      </c>
      <c r="M40" s="58"/>
    </row>
    <row r="41" spans="1:13" ht="18.75" customHeight="1" x14ac:dyDescent="0.25">
      <c r="A41" s="35" t="s">
        <v>155</v>
      </c>
      <c r="B41" s="34" t="s">
        <v>146</v>
      </c>
      <c r="C41" s="33" t="s">
        <v>36</v>
      </c>
      <c r="D41" s="32">
        <v>20.190000000000001</v>
      </c>
      <c r="E41" s="31"/>
      <c r="F41" s="29"/>
      <c r="G41" s="29"/>
      <c r="H41" s="92">
        <v>74.599999999999994</v>
      </c>
      <c r="I41" s="29">
        <f t="shared" si="28"/>
        <v>1506.17</v>
      </c>
      <c r="J41" s="29">
        <f t="shared" si="29"/>
        <v>1807.4</v>
      </c>
      <c r="K41" s="30">
        <f t="shared" si="25"/>
        <v>1506.17</v>
      </c>
      <c r="L41" s="29">
        <f t="shared" si="26"/>
        <v>1807.4</v>
      </c>
      <c r="M41" s="58"/>
    </row>
    <row r="42" spans="1:13" ht="18.75" customHeight="1" x14ac:dyDescent="0.25">
      <c r="A42" s="35" t="s">
        <v>156</v>
      </c>
      <c r="B42" s="34" t="s">
        <v>147</v>
      </c>
      <c r="C42" s="33" t="s">
        <v>36</v>
      </c>
      <c r="D42" s="32">
        <f>4.76+3.44</f>
        <v>8.1999999999999993</v>
      </c>
      <c r="E42" s="31"/>
      <c r="F42" s="29"/>
      <c r="G42" s="29"/>
      <c r="H42" s="92">
        <v>74.599999999999994</v>
      </c>
      <c r="I42" s="29">
        <f t="shared" si="28"/>
        <v>611.72</v>
      </c>
      <c r="J42" s="29">
        <f t="shared" si="29"/>
        <v>734.06</v>
      </c>
      <c r="K42" s="30">
        <f t="shared" si="25"/>
        <v>611.72</v>
      </c>
      <c r="L42" s="29">
        <f t="shared" si="26"/>
        <v>734.06</v>
      </c>
      <c r="M42" s="58"/>
    </row>
    <row r="43" spans="1:13" ht="18.75" customHeight="1" x14ac:dyDescent="0.25">
      <c r="A43" s="55">
        <f>A38+1</f>
        <v>16</v>
      </c>
      <c r="B43" s="47" t="s">
        <v>60</v>
      </c>
      <c r="C43" s="46" t="s">
        <v>15</v>
      </c>
      <c r="D43" s="89">
        <v>3.916E-2</v>
      </c>
      <c r="E43" s="27">
        <v>142776.44999999998</v>
      </c>
      <c r="F43" s="39">
        <f t="shared" ref="F43" si="30">ROUND(E43*D43,2)</f>
        <v>5591.13</v>
      </c>
      <c r="G43" s="39">
        <f t="shared" si="24"/>
        <v>6709.36</v>
      </c>
      <c r="H43" s="38"/>
      <c r="I43" s="37"/>
      <c r="J43" s="37"/>
      <c r="K43" s="25">
        <f t="shared" si="25"/>
        <v>5591.13</v>
      </c>
      <c r="L43" s="24">
        <f t="shared" si="26"/>
        <v>6709.36</v>
      </c>
      <c r="M43" s="71"/>
    </row>
    <row r="44" spans="1:13" ht="18.75" customHeight="1" x14ac:dyDescent="0.25">
      <c r="A44" s="35" t="s">
        <v>93</v>
      </c>
      <c r="B44" s="34" t="s">
        <v>148</v>
      </c>
      <c r="C44" s="33" t="s">
        <v>36</v>
      </c>
      <c r="D44" s="78">
        <v>27.08</v>
      </c>
      <c r="E44" s="31"/>
      <c r="F44" s="29"/>
      <c r="G44" s="29"/>
      <c r="H44" s="31">
        <v>174.79999999999998</v>
      </c>
      <c r="I44" s="29">
        <f>ROUND(H44*D44,2)</f>
        <v>4733.58</v>
      </c>
      <c r="J44" s="29">
        <f>ROUND(I44*1.2,2)</f>
        <v>5680.3</v>
      </c>
      <c r="K44" s="30">
        <f t="shared" si="25"/>
        <v>4733.58</v>
      </c>
      <c r="L44" s="29">
        <f t="shared" si="26"/>
        <v>5680.3</v>
      </c>
      <c r="M44" s="58"/>
    </row>
    <row r="45" spans="1:13" ht="18.75" customHeight="1" x14ac:dyDescent="0.25">
      <c r="A45" s="35" t="s">
        <v>94</v>
      </c>
      <c r="B45" s="34" t="s">
        <v>149</v>
      </c>
      <c r="C45" s="33" t="s">
        <v>36</v>
      </c>
      <c r="D45" s="32">
        <f>6.04+6.04</f>
        <v>12.08</v>
      </c>
      <c r="E45" s="31"/>
      <c r="F45" s="29"/>
      <c r="G45" s="29"/>
      <c r="H45" s="92">
        <v>71.25</v>
      </c>
      <c r="I45" s="29">
        <f t="shared" ref="I45" si="31">ROUND(H45*D45,2)</f>
        <v>860.7</v>
      </c>
      <c r="J45" s="29">
        <f t="shared" ref="J45" si="32">ROUND(I45*1.2,2)</f>
        <v>1032.8399999999999</v>
      </c>
      <c r="K45" s="30">
        <f t="shared" si="25"/>
        <v>860.7</v>
      </c>
      <c r="L45" s="29">
        <f t="shared" si="26"/>
        <v>1032.8399999999999</v>
      </c>
      <c r="M45" s="58"/>
    </row>
    <row r="46" spans="1:13" ht="19.5" customHeight="1" x14ac:dyDescent="0.25">
      <c r="A46" s="55">
        <f>A43+1</f>
        <v>17</v>
      </c>
      <c r="B46" s="67" t="s">
        <v>44</v>
      </c>
      <c r="C46" s="55" t="s">
        <v>33</v>
      </c>
      <c r="D46" s="82">
        <v>8.9600000000000009</v>
      </c>
      <c r="E46" s="44">
        <v>144.4</v>
      </c>
      <c r="F46" s="26">
        <f>ROUND(E46*D46,2)</f>
        <v>1293.82</v>
      </c>
      <c r="G46" s="26">
        <f t="shared" ref="G46" si="33">ROUND(F46*1.2,2)</f>
        <v>1552.58</v>
      </c>
      <c r="H46" s="25"/>
      <c r="I46" s="26"/>
      <c r="J46" s="26"/>
      <c r="K46" s="25">
        <f t="shared" si="25"/>
        <v>1293.82</v>
      </c>
      <c r="L46" s="24">
        <f t="shared" si="26"/>
        <v>1552.58</v>
      </c>
      <c r="M46" s="43" t="s">
        <v>45</v>
      </c>
    </row>
    <row r="47" spans="1:13" ht="17.25" customHeight="1" x14ac:dyDescent="0.25">
      <c r="A47" s="35" t="s">
        <v>100</v>
      </c>
      <c r="B47" s="42" t="s">
        <v>46</v>
      </c>
      <c r="C47" s="33" t="s">
        <v>47</v>
      </c>
      <c r="D47" s="83">
        <f>D46*0.3*20/16</f>
        <v>3.3600000000000003</v>
      </c>
      <c r="E47" s="31"/>
      <c r="F47" s="29"/>
      <c r="G47" s="29"/>
      <c r="H47" s="81">
        <v>237.5</v>
      </c>
      <c r="I47" s="29">
        <f>ROUND(H47*D47,2)</f>
        <v>798</v>
      </c>
      <c r="J47" s="29">
        <f t="shared" ref="J47" si="34">ROUND(I47*1.2,2)</f>
        <v>957.6</v>
      </c>
      <c r="K47" s="30">
        <f t="shared" si="25"/>
        <v>798</v>
      </c>
      <c r="L47" s="29">
        <f t="shared" si="26"/>
        <v>957.6</v>
      </c>
      <c r="M47" s="43"/>
    </row>
    <row r="48" spans="1:13" ht="21.75" customHeight="1" x14ac:dyDescent="0.25">
      <c r="A48" s="55">
        <f>A46+1</f>
        <v>18</v>
      </c>
      <c r="B48" s="67" t="s">
        <v>48</v>
      </c>
      <c r="C48" s="55" t="s">
        <v>33</v>
      </c>
      <c r="D48" s="82">
        <v>8.9600000000000009</v>
      </c>
      <c r="E48" s="44">
        <v>299.76</v>
      </c>
      <c r="F48" s="26">
        <f>ROUND(E48*D48,2)</f>
        <v>2685.85</v>
      </c>
      <c r="G48" s="26">
        <f t="shared" ref="G48" si="35">ROUND(F48*1.2,2)</f>
        <v>3223.02</v>
      </c>
      <c r="H48" s="25"/>
      <c r="I48" s="26"/>
      <c r="J48" s="26"/>
      <c r="K48" s="25">
        <f t="shared" si="25"/>
        <v>2685.85</v>
      </c>
      <c r="L48" s="24">
        <f t="shared" si="26"/>
        <v>3223.02</v>
      </c>
      <c r="M48" s="43" t="s">
        <v>45</v>
      </c>
    </row>
    <row r="49" spans="1:13" ht="15.75" x14ac:dyDescent="0.25">
      <c r="A49" s="35" t="s">
        <v>101</v>
      </c>
      <c r="B49" s="42" t="s">
        <v>49</v>
      </c>
      <c r="C49" s="33" t="s">
        <v>36</v>
      </c>
      <c r="D49" s="32">
        <f>D48*0.7*2</f>
        <v>12.544</v>
      </c>
      <c r="E49" s="31"/>
      <c r="F49" s="29"/>
      <c r="G49" s="29"/>
      <c r="H49" s="81">
        <v>296.39999999999998</v>
      </c>
      <c r="I49" s="29">
        <f t="shared" ref="I49" si="36">ROUND(H49*D49,2)</f>
        <v>3718.04</v>
      </c>
      <c r="J49" s="29">
        <f t="shared" ref="J49" si="37">ROUND(I49*1.2,2)</f>
        <v>4461.6499999999996</v>
      </c>
      <c r="K49" s="84">
        <f t="shared" si="25"/>
        <v>3718.04</v>
      </c>
      <c r="L49" s="68">
        <f t="shared" si="26"/>
        <v>4461.6499999999996</v>
      </c>
      <c r="M49" s="43"/>
    </row>
    <row r="50" spans="1:13" s="21" customFormat="1" ht="23.25" customHeight="1" x14ac:dyDescent="0.3">
      <c r="A50" s="134" t="s">
        <v>8</v>
      </c>
      <c r="B50" s="135"/>
      <c r="C50" s="135"/>
      <c r="D50" s="135"/>
      <c r="E50" s="136"/>
      <c r="F50" s="22">
        <f>SUM(F9:F49)</f>
        <v>139588.21000000002</v>
      </c>
      <c r="G50" s="22">
        <f>ROUND(F50*1.2,2)</f>
        <v>167505.85</v>
      </c>
      <c r="H50" s="23"/>
      <c r="I50" s="22">
        <f>SUM(I9:I49)</f>
        <v>112306.13</v>
      </c>
      <c r="J50" s="22">
        <f>ROUND(I50*1.2,2)</f>
        <v>134767.35999999999</v>
      </c>
      <c r="K50" s="22">
        <f>SUM(K9:K49)</f>
        <v>251894.34000000005</v>
      </c>
      <c r="L50" s="22">
        <f>ROUND(K50*1.2,2)</f>
        <v>302273.21000000002</v>
      </c>
    </row>
  </sheetData>
  <mergeCells count="10">
    <mergeCell ref="B6:D6"/>
    <mergeCell ref="A50:E5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82D4-86C1-4087-A7FA-4C287DBE2633}">
  <sheetPr>
    <tabColor theme="9" tint="0.79998168889431442"/>
  </sheetPr>
  <dimension ref="A1:M33"/>
  <sheetViews>
    <sheetView view="pageBreakPreview" zoomScale="80" zoomScaleNormal="100" zoomScaleSheetLayoutView="80" workbookViewId="0">
      <selection activeCell="H24" sqref="H24:L24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37" t="s">
        <v>7</v>
      </c>
      <c r="B1" s="140" t="s">
        <v>30</v>
      </c>
      <c r="C1" s="143" t="s">
        <v>29</v>
      </c>
      <c r="D1" s="143" t="s">
        <v>28</v>
      </c>
      <c r="E1" s="144" t="s">
        <v>27</v>
      </c>
      <c r="F1" s="145"/>
      <c r="G1" s="145"/>
      <c r="H1" s="145"/>
      <c r="I1" s="145"/>
      <c r="J1" s="145"/>
      <c r="K1" s="145"/>
      <c r="L1" s="145"/>
    </row>
    <row r="2" spans="1:13" ht="14.45" customHeight="1" x14ac:dyDescent="0.25">
      <c r="A2" s="138"/>
      <c r="B2" s="141"/>
      <c r="C2" s="143"/>
      <c r="D2" s="143"/>
      <c r="E2" s="146"/>
      <c r="F2" s="147"/>
      <c r="G2" s="147"/>
      <c r="H2" s="147"/>
      <c r="I2" s="147"/>
      <c r="J2" s="147"/>
      <c r="K2" s="147"/>
      <c r="L2" s="147"/>
    </row>
    <row r="3" spans="1:13" ht="27.75" customHeight="1" x14ac:dyDescent="0.25">
      <c r="A3" s="138"/>
      <c r="B3" s="141"/>
      <c r="C3" s="143"/>
      <c r="D3" s="143"/>
      <c r="E3" s="143" t="s">
        <v>26</v>
      </c>
      <c r="F3" s="143"/>
      <c r="G3" s="143"/>
      <c r="H3" s="143" t="s">
        <v>25</v>
      </c>
      <c r="I3" s="143"/>
      <c r="J3" s="143"/>
      <c r="K3" s="129" t="s">
        <v>24</v>
      </c>
      <c r="L3" s="129"/>
    </row>
    <row r="4" spans="1:13" ht="56.1" customHeight="1" x14ac:dyDescent="0.25">
      <c r="A4" s="139"/>
      <c r="B4" s="142"/>
      <c r="C4" s="143"/>
      <c r="D4" s="143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32" t="s">
        <v>50</v>
      </c>
      <c r="C6" s="133"/>
      <c r="D6" s="133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157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19</v>
      </c>
      <c r="C8" s="46"/>
      <c r="D8" s="45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>
        <v>1</v>
      </c>
      <c r="B9" s="47" t="s">
        <v>158</v>
      </c>
      <c r="C9" s="46" t="s">
        <v>16</v>
      </c>
      <c r="D9" s="79">
        <v>3.4</v>
      </c>
      <c r="E9" s="44">
        <v>1350.8999999999999</v>
      </c>
      <c r="F9" s="39">
        <f t="shared" ref="F9:F19" si="0">ROUND(E9*D9,2)</f>
        <v>4593.0600000000004</v>
      </c>
      <c r="G9" s="39">
        <f t="shared" ref="G9:G19" si="1">ROUND(F9*1.2,2)</f>
        <v>5511.67</v>
      </c>
      <c r="H9" s="38"/>
      <c r="I9" s="37"/>
      <c r="J9" s="37"/>
      <c r="K9" s="25">
        <f t="shared" ref="K9:L10" si="2">F9+I9</f>
        <v>4593.0600000000004</v>
      </c>
      <c r="L9" s="24">
        <f t="shared" si="2"/>
        <v>5511.67</v>
      </c>
      <c r="M9" s="71"/>
    </row>
    <row r="10" spans="1:13" ht="18.75" customHeight="1" x14ac:dyDescent="0.25">
      <c r="A10" s="35" t="s">
        <v>159</v>
      </c>
      <c r="B10" s="34" t="s">
        <v>17</v>
      </c>
      <c r="C10" s="33" t="s">
        <v>16</v>
      </c>
      <c r="D10" s="32">
        <f>D9*1.1</f>
        <v>3.74</v>
      </c>
      <c r="E10" s="31"/>
      <c r="F10" s="29"/>
      <c r="G10" s="29"/>
      <c r="H10" s="29">
        <v>1191.3</v>
      </c>
      <c r="I10" s="29">
        <f>ROUND(H10*D10,2)</f>
        <v>4455.46</v>
      </c>
      <c r="J10" s="29">
        <f>ROUND(I10*1.2,2)</f>
        <v>5346.55</v>
      </c>
      <c r="K10" s="30">
        <f t="shared" si="2"/>
        <v>4455.46</v>
      </c>
      <c r="L10" s="29">
        <f t="shared" si="2"/>
        <v>5346.55</v>
      </c>
      <c r="M10" s="58"/>
    </row>
    <row r="11" spans="1:13" ht="18.75" customHeight="1" x14ac:dyDescent="0.25">
      <c r="A11" s="55"/>
      <c r="B11" s="49" t="s">
        <v>58</v>
      </c>
      <c r="C11" s="85"/>
      <c r="D11" s="85"/>
      <c r="E11" s="87"/>
      <c r="F11" s="39"/>
      <c r="G11" s="39"/>
      <c r="H11" s="38"/>
      <c r="I11" s="37"/>
      <c r="J11" s="37"/>
      <c r="K11" s="25"/>
      <c r="L11" s="24"/>
      <c r="M11" s="71"/>
    </row>
    <row r="12" spans="1:13" ht="18.75" customHeight="1" x14ac:dyDescent="0.25">
      <c r="A12" s="55"/>
      <c r="B12" s="74" t="s">
        <v>61</v>
      </c>
      <c r="C12" s="46"/>
      <c r="D12" s="48"/>
      <c r="E12" s="76"/>
      <c r="F12" s="39"/>
      <c r="G12" s="39"/>
      <c r="H12" s="38"/>
      <c r="I12" s="37"/>
      <c r="J12" s="37"/>
      <c r="K12" s="25"/>
      <c r="L12" s="24"/>
      <c r="M12" s="71"/>
    </row>
    <row r="13" spans="1:13" ht="18.75" customHeight="1" x14ac:dyDescent="0.25">
      <c r="A13" s="55">
        <f>A9+1</f>
        <v>2</v>
      </c>
      <c r="B13" s="47" t="s">
        <v>35</v>
      </c>
      <c r="C13" s="46" t="s">
        <v>16</v>
      </c>
      <c r="D13" s="48">
        <v>1.8</v>
      </c>
      <c r="E13" s="27">
        <v>3780.0499999999997</v>
      </c>
      <c r="F13" s="39">
        <f t="shared" si="0"/>
        <v>6804.09</v>
      </c>
      <c r="G13" s="39">
        <f t="shared" si="1"/>
        <v>8164.91</v>
      </c>
      <c r="H13" s="38"/>
      <c r="I13" s="37"/>
      <c r="J13" s="37"/>
      <c r="K13" s="25">
        <f t="shared" ref="K13:L32" si="3">F13+I13</f>
        <v>6804.09</v>
      </c>
      <c r="L13" s="24">
        <f t="shared" si="3"/>
        <v>8164.91</v>
      </c>
      <c r="M13" s="71"/>
    </row>
    <row r="14" spans="1:13" ht="18.75" customHeight="1" x14ac:dyDescent="0.25">
      <c r="A14" s="35" t="s">
        <v>160</v>
      </c>
      <c r="B14" s="34" t="s">
        <v>38</v>
      </c>
      <c r="C14" s="33" t="s">
        <v>16</v>
      </c>
      <c r="D14" s="78">
        <f>D13*1.02</f>
        <v>1.8360000000000001</v>
      </c>
      <c r="E14" s="31"/>
      <c r="F14" s="29"/>
      <c r="G14" s="29"/>
      <c r="H14" s="29">
        <v>4807</v>
      </c>
      <c r="I14" s="29">
        <f>ROUND(H14*D14,2)</f>
        <v>8825.65</v>
      </c>
      <c r="J14" s="29">
        <f>ROUND(I14*1.2,2)</f>
        <v>10590.78</v>
      </c>
      <c r="K14" s="30">
        <f t="shared" si="3"/>
        <v>8825.65</v>
      </c>
      <c r="L14" s="29">
        <f t="shared" si="3"/>
        <v>10590.78</v>
      </c>
      <c r="M14" s="58"/>
    </row>
    <row r="15" spans="1:13" ht="18.75" customHeight="1" x14ac:dyDescent="0.25">
      <c r="A15" s="55">
        <f>A13+1</f>
        <v>3</v>
      </c>
      <c r="B15" s="47" t="s">
        <v>59</v>
      </c>
      <c r="C15" s="46" t="s">
        <v>16</v>
      </c>
      <c r="D15" s="48">
        <v>3.6</v>
      </c>
      <c r="E15" s="27">
        <v>8013.25</v>
      </c>
      <c r="F15" s="39">
        <f t="shared" si="0"/>
        <v>28847.7</v>
      </c>
      <c r="G15" s="39">
        <f t="shared" si="1"/>
        <v>34617.24</v>
      </c>
      <c r="H15" s="38"/>
      <c r="I15" s="37"/>
      <c r="J15" s="37"/>
      <c r="K15" s="25">
        <f t="shared" si="3"/>
        <v>28847.7</v>
      </c>
      <c r="L15" s="24">
        <f t="shared" si="3"/>
        <v>34617.24</v>
      </c>
      <c r="M15" s="71"/>
    </row>
    <row r="16" spans="1:13" ht="18.75" customHeight="1" x14ac:dyDescent="0.25">
      <c r="A16" s="35" t="s">
        <v>18</v>
      </c>
      <c r="B16" s="34" t="s">
        <v>39</v>
      </c>
      <c r="C16" s="33" t="s">
        <v>16</v>
      </c>
      <c r="D16" s="78">
        <f>3.6*1.02</f>
        <v>3.6720000000000002</v>
      </c>
      <c r="E16" s="31"/>
      <c r="F16" s="29"/>
      <c r="G16" s="29"/>
      <c r="H16" s="31">
        <v>5808.3</v>
      </c>
      <c r="I16" s="29">
        <f>ROUND(H16*D16,2)</f>
        <v>21328.080000000002</v>
      </c>
      <c r="J16" s="29">
        <f>ROUND(I16*1.2,2)</f>
        <v>25593.7</v>
      </c>
      <c r="K16" s="30">
        <f t="shared" si="3"/>
        <v>21328.080000000002</v>
      </c>
      <c r="L16" s="29">
        <f t="shared" si="3"/>
        <v>25593.7</v>
      </c>
      <c r="M16" s="58"/>
    </row>
    <row r="17" spans="1:13" ht="18.75" customHeight="1" x14ac:dyDescent="0.25">
      <c r="A17" s="35" t="s">
        <v>162</v>
      </c>
      <c r="B17" s="34" t="s">
        <v>145</v>
      </c>
      <c r="C17" s="33" t="s">
        <v>36</v>
      </c>
      <c r="D17" s="32">
        <f>125.66+122.4</f>
        <v>248.06</v>
      </c>
      <c r="E17" s="31"/>
      <c r="F17" s="29"/>
      <c r="G17" s="29"/>
      <c r="H17" s="92">
        <v>74.599999999999994</v>
      </c>
      <c r="I17" s="29">
        <f t="shared" ref="I17:I18" si="4">ROUND(H17*D17,2)</f>
        <v>18505.28</v>
      </c>
      <c r="J17" s="29">
        <f t="shared" ref="J17:J18" si="5">ROUND(I17*1.2,2)</f>
        <v>22206.34</v>
      </c>
      <c r="K17" s="30">
        <f t="shared" si="3"/>
        <v>18505.28</v>
      </c>
      <c r="L17" s="29">
        <f t="shared" si="3"/>
        <v>22206.34</v>
      </c>
      <c r="M17" s="58"/>
    </row>
    <row r="18" spans="1:13" ht="18.75" customHeight="1" x14ac:dyDescent="0.25">
      <c r="A18" s="35" t="s">
        <v>163</v>
      </c>
      <c r="B18" s="34" t="s">
        <v>161</v>
      </c>
      <c r="C18" s="33" t="s">
        <v>36</v>
      </c>
      <c r="D18" s="32">
        <f>62.33+5.94</f>
        <v>68.27</v>
      </c>
      <c r="E18" s="31"/>
      <c r="F18" s="29"/>
      <c r="G18" s="29"/>
      <c r="H18" s="92">
        <v>74.599999999999994</v>
      </c>
      <c r="I18" s="29">
        <f t="shared" si="4"/>
        <v>5092.9399999999996</v>
      </c>
      <c r="J18" s="29">
        <f t="shared" si="5"/>
        <v>6111.53</v>
      </c>
      <c r="K18" s="30">
        <f t="shared" si="3"/>
        <v>5092.9399999999996</v>
      </c>
      <c r="L18" s="29">
        <f t="shared" si="3"/>
        <v>6111.53</v>
      </c>
      <c r="M18" s="58"/>
    </row>
    <row r="19" spans="1:13" ht="18.75" customHeight="1" x14ac:dyDescent="0.25">
      <c r="A19" s="55">
        <f>A15+1</f>
        <v>4</v>
      </c>
      <c r="B19" s="47" t="s">
        <v>62</v>
      </c>
      <c r="C19" s="46" t="s">
        <v>15</v>
      </c>
      <c r="D19" s="88">
        <f>(D20+D21+D22+D23+D24)/1000</f>
        <v>0.25656000000000001</v>
      </c>
      <c r="E19" s="27">
        <v>70289.55</v>
      </c>
      <c r="F19" s="39">
        <f t="shared" si="0"/>
        <v>18033.490000000002</v>
      </c>
      <c r="G19" s="39">
        <f t="shared" si="1"/>
        <v>21640.19</v>
      </c>
      <c r="H19" s="38"/>
      <c r="I19" s="37"/>
      <c r="J19" s="37"/>
      <c r="K19" s="25">
        <f t="shared" si="3"/>
        <v>18033.490000000002</v>
      </c>
      <c r="L19" s="24">
        <f t="shared" si="3"/>
        <v>21640.19</v>
      </c>
      <c r="M19" s="71"/>
    </row>
    <row r="20" spans="1:13" ht="18.75" customHeight="1" x14ac:dyDescent="0.25">
      <c r="A20" s="35" t="s">
        <v>168</v>
      </c>
      <c r="B20" s="34" t="s">
        <v>164</v>
      </c>
      <c r="C20" s="33" t="s">
        <v>36</v>
      </c>
      <c r="D20" s="32">
        <v>85.84</v>
      </c>
      <c r="E20" s="31"/>
      <c r="F20" s="29"/>
      <c r="G20" s="29"/>
      <c r="H20" s="31">
        <v>108.3</v>
      </c>
      <c r="I20" s="29">
        <f>ROUND(H20*D20,2)</f>
        <v>9296.4699999999993</v>
      </c>
      <c r="J20" s="29">
        <f>ROUND(I20*1.2,2)</f>
        <v>11155.76</v>
      </c>
      <c r="K20" s="30">
        <f t="shared" ref="K20:L28" si="6">F20+I20</f>
        <v>9296.4699999999993</v>
      </c>
      <c r="L20" s="29">
        <f t="shared" ref="L20:L24" si="7">G20+J20</f>
        <v>11155.76</v>
      </c>
      <c r="M20" s="58"/>
    </row>
    <row r="21" spans="1:13" ht="18.75" customHeight="1" x14ac:dyDescent="0.25">
      <c r="A21" s="35" t="s">
        <v>169</v>
      </c>
      <c r="B21" s="34" t="s">
        <v>165</v>
      </c>
      <c r="C21" s="33" t="s">
        <v>36</v>
      </c>
      <c r="D21" s="32">
        <v>90.4</v>
      </c>
      <c r="E21" s="31"/>
      <c r="F21" s="29"/>
      <c r="G21" s="29"/>
      <c r="H21" s="92">
        <v>84.55</v>
      </c>
      <c r="I21" s="29">
        <f t="shared" ref="I21:I24" si="8">ROUND(H21*D21,2)</f>
        <v>7643.32</v>
      </c>
      <c r="J21" s="29">
        <f t="shared" ref="J21:J24" si="9">ROUND(I21*1.2,2)</f>
        <v>9171.98</v>
      </c>
      <c r="K21" s="30">
        <f t="shared" si="6"/>
        <v>7643.32</v>
      </c>
      <c r="L21" s="29">
        <f t="shared" si="7"/>
        <v>9171.98</v>
      </c>
      <c r="M21" s="58"/>
    </row>
    <row r="22" spans="1:13" ht="18.75" customHeight="1" x14ac:dyDescent="0.25">
      <c r="A22" s="35" t="s">
        <v>170</v>
      </c>
      <c r="B22" s="34" t="s">
        <v>166</v>
      </c>
      <c r="C22" s="33" t="s">
        <v>36</v>
      </c>
      <c r="D22" s="32">
        <v>44.32</v>
      </c>
      <c r="E22" s="31"/>
      <c r="F22" s="29"/>
      <c r="G22" s="29"/>
      <c r="H22" s="92">
        <v>84.55</v>
      </c>
      <c r="I22" s="29">
        <f t="shared" si="8"/>
        <v>3747.26</v>
      </c>
      <c r="J22" s="29">
        <f t="shared" si="9"/>
        <v>4496.71</v>
      </c>
      <c r="K22" s="30">
        <f t="shared" si="6"/>
        <v>3747.26</v>
      </c>
      <c r="L22" s="29">
        <f t="shared" si="7"/>
        <v>4496.71</v>
      </c>
      <c r="M22" s="58"/>
    </row>
    <row r="23" spans="1:13" ht="18.75" customHeight="1" x14ac:dyDescent="0.25">
      <c r="A23" s="35" t="s">
        <v>171</v>
      </c>
      <c r="B23" s="34" t="s">
        <v>167</v>
      </c>
      <c r="C23" s="33" t="s">
        <v>36</v>
      </c>
      <c r="D23" s="32">
        <v>22.32</v>
      </c>
      <c r="E23" s="31"/>
      <c r="F23" s="29"/>
      <c r="G23" s="29"/>
      <c r="H23" s="92">
        <v>84.55</v>
      </c>
      <c r="I23" s="29">
        <f t="shared" si="8"/>
        <v>1887.16</v>
      </c>
      <c r="J23" s="29">
        <f t="shared" si="9"/>
        <v>2264.59</v>
      </c>
      <c r="K23" s="30">
        <f t="shared" si="6"/>
        <v>1887.16</v>
      </c>
      <c r="L23" s="29">
        <f t="shared" si="7"/>
        <v>2264.59</v>
      </c>
      <c r="M23" s="58"/>
    </row>
    <row r="24" spans="1:13" ht="18.75" customHeight="1" x14ac:dyDescent="0.25">
      <c r="A24" s="35" t="s">
        <v>172</v>
      </c>
      <c r="B24" s="34" t="s">
        <v>145</v>
      </c>
      <c r="C24" s="33" t="s">
        <v>36</v>
      </c>
      <c r="D24" s="32">
        <v>13.68</v>
      </c>
      <c r="E24" s="31"/>
      <c r="F24" s="29"/>
      <c r="G24" s="29"/>
      <c r="H24" s="92">
        <v>74.599999999999994</v>
      </c>
      <c r="I24" s="29">
        <f t="shared" si="8"/>
        <v>1020.53</v>
      </c>
      <c r="J24" s="29">
        <f t="shared" si="9"/>
        <v>1224.6400000000001</v>
      </c>
      <c r="K24" s="30">
        <f t="shared" si="6"/>
        <v>1020.53</v>
      </c>
      <c r="L24" s="29">
        <f t="shared" si="7"/>
        <v>1224.6400000000001</v>
      </c>
      <c r="M24" s="58"/>
    </row>
    <row r="25" spans="1:13" ht="18.75" customHeight="1" x14ac:dyDescent="0.25">
      <c r="A25" s="99">
        <f>A19+1</f>
        <v>5</v>
      </c>
      <c r="B25" s="47" t="s">
        <v>80</v>
      </c>
      <c r="C25" s="46" t="s">
        <v>33</v>
      </c>
      <c r="D25" s="48">
        <v>4.25</v>
      </c>
      <c r="E25" s="27">
        <v>144.4</v>
      </c>
      <c r="F25" s="26">
        <f>ROUND(E25*D25,2)</f>
        <v>613.70000000000005</v>
      </c>
      <c r="G25" s="26">
        <f>ROUND(F25*1.2,2)</f>
        <v>736.44</v>
      </c>
      <c r="H25" s="25"/>
      <c r="I25" s="26"/>
      <c r="J25" s="26"/>
      <c r="K25" s="25">
        <f t="shared" si="6"/>
        <v>613.70000000000005</v>
      </c>
      <c r="L25" s="24">
        <f t="shared" si="6"/>
        <v>736.44</v>
      </c>
      <c r="M25" s="43" t="s">
        <v>173</v>
      </c>
    </row>
    <row r="26" spans="1:13" ht="18.75" customHeight="1" x14ac:dyDescent="0.25">
      <c r="A26" s="35" t="s">
        <v>41</v>
      </c>
      <c r="B26" s="42" t="s">
        <v>102</v>
      </c>
      <c r="C26" s="33" t="s">
        <v>36</v>
      </c>
      <c r="D26" s="100">
        <f>D25*0.15</f>
        <v>0.63749999999999996</v>
      </c>
      <c r="E26" s="31"/>
      <c r="F26" s="29"/>
      <c r="G26" s="29"/>
      <c r="H26" s="84">
        <v>149.15</v>
      </c>
      <c r="I26" s="29">
        <f>ROUND(H26*D26,2)</f>
        <v>95.08</v>
      </c>
      <c r="J26" s="29">
        <f>ROUND(I26*1.2,2)</f>
        <v>114.1</v>
      </c>
      <c r="K26" s="30">
        <f t="shared" si="6"/>
        <v>95.08</v>
      </c>
      <c r="L26" s="29">
        <f t="shared" si="6"/>
        <v>114.1</v>
      </c>
    </row>
    <row r="27" spans="1:13" ht="18.75" customHeight="1" x14ac:dyDescent="0.25">
      <c r="A27" s="55">
        <f>A25+1</f>
        <v>6</v>
      </c>
      <c r="B27" s="47" t="s">
        <v>67</v>
      </c>
      <c r="C27" s="46" t="s">
        <v>33</v>
      </c>
      <c r="D27" s="48">
        <v>4.25</v>
      </c>
      <c r="E27" s="27">
        <f>144.4*2</f>
        <v>288.8</v>
      </c>
      <c r="F27" s="26">
        <f>ROUND(E27*D27,2)</f>
        <v>1227.4000000000001</v>
      </c>
      <c r="G27" s="26">
        <f>ROUND(F27*1.2,2)</f>
        <v>1472.88</v>
      </c>
      <c r="H27" s="25"/>
      <c r="I27" s="26"/>
      <c r="J27" s="26"/>
      <c r="K27" s="25">
        <f t="shared" si="6"/>
        <v>1227.4000000000001</v>
      </c>
      <c r="L27" s="24">
        <f t="shared" si="6"/>
        <v>1472.88</v>
      </c>
      <c r="M27" s="43" t="s">
        <v>173</v>
      </c>
    </row>
    <row r="28" spans="1:13" ht="18.75" customHeight="1" x14ac:dyDescent="0.25">
      <c r="A28" s="35" t="s">
        <v>14</v>
      </c>
      <c r="B28" s="42" t="s">
        <v>103</v>
      </c>
      <c r="C28" s="33" t="s">
        <v>36</v>
      </c>
      <c r="D28" s="100">
        <f>D27*0.32</f>
        <v>1.36</v>
      </c>
      <c r="E28" s="31"/>
      <c r="F28" s="29"/>
      <c r="G28" s="29"/>
      <c r="H28" s="84">
        <v>165.3</v>
      </c>
      <c r="I28" s="29">
        <f>ROUND(H28*D28,2)</f>
        <v>224.81</v>
      </c>
      <c r="J28" s="29">
        <f>ROUND(I28*1.2,2)</f>
        <v>269.77</v>
      </c>
      <c r="K28" s="30">
        <f t="shared" si="6"/>
        <v>224.81</v>
      </c>
      <c r="L28" s="29">
        <f t="shared" si="6"/>
        <v>269.77</v>
      </c>
    </row>
    <row r="29" spans="1:13" ht="19.5" customHeight="1" x14ac:dyDescent="0.25">
      <c r="A29" s="55">
        <f>A27+1</f>
        <v>7</v>
      </c>
      <c r="B29" s="67" t="s">
        <v>44</v>
      </c>
      <c r="C29" s="55" t="s">
        <v>33</v>
      </c>
      <c r="D29" s="82">
        <v>22.8</v>
      </c>
      <c r="E29" s="44">
        <v>144.4</v>
      </c>
      <c r="F29" s="26">
        <f>ROUND(E29*D29,2)</f>
        <v>3292.32</v>
      </c>
      <c r="G29" s="26">
        <f t="shared" ref="G29" si="10">ROUND(F29*1.2,2)</f>
        <v>3950.78</v>
      </c>
      <c r="H29" s="25"/>
      <c r="I29" s="26"/>
      <c r="J29" s="26"/>
      <c r="K29" s="25">
        <f t="shared" si="3"/>
        <v>3292.32</v>
      </c>
      <c r="L29" s="24">
        <f t="shared" si="3"/>
        <v>3950.78</v>
      </c>
      <c r="M29" s="43" t="s">
        <v>45</v>
      </c>
    </row>
    <row r="30" spans="1:13" ht="17.25" customHeight="1" x14ac:dyDescent="0.25">
      <c r="A30" s="35" t="s">
        <v>13</v>
      </c>
      <c r="B30" s="42" t="s">
        <v>46</v>
      </c>
      <c r="C30" s="33" t="s">
        <v>47</v>
      </c>
      <c r="D30" s="83">
        <f>D29*0.3*20/16</f>
        <v>8.5500000000000007</v>
      </c>
      <c r="E30" s="31"/>
      <c r="F30" s="29"/>
      <c r="G30" s="29"/>
      <c r="H30" s="81">
        <v>237.5</v>
      </c>
      <c r="I30" s="29">
        <f>ROUND(H30*D30,2)</f>
        <v>2030.63</v>
      </c>
      <c r="J30" s="29">
        <f t="shared" ref="J30" si="11">ROUND(I30*1.2,2)</f>
        <v>2436.7600000000002</v>
      </c>
      <c r="K30" s="30">
        <f t="shared" si="3"/>
        <v>2030.63</v>
      </c>
      <c r="L30" s="29">
        <f t="shared" si="3"/>
        <v>2436.7600000000002</v>
      </c>
      <c r="M30" s="43"/>
    </row>
    <row r="31" spans="1:13" ht="21.75" customHeight="1" x14ac:dyDescent="0.25">
      <c r="A31" s="55">
        <f>A29+1</f>
        <v>8</v>
      </c>
      <c r="B31" s="67" t="s">
        <v>48</v>
      </c>
      <c r="C31" s="55" t="s">
        <v>33</v>
      </c>
      <c r="D31" s="82">
        <v>22.8</v>
      </c>
      <c r="E31" s="44">
        <v>299.76</v>
      </c>
      <c r="F31" s="26">
        <f>ROUND(E31*D31,2)</f>
        <v>6834.53</v>
      </c>
      <c r="G31" s="26">
        <f t="shared" ref="G31" si="12">ROUND(F31*1.2,2)</f>
        <v>8201.44</v>
      </c>
      <c r="H31" s="25"/>
      <c r="I31" s="26"/>
      <c r="J31" s="26"/>
      <c r="K31" s="25">
        <f t="shared" si="3"/>
        <v>6834.53</v>
      </c>
      <c r="L31" s="24">
        <f t="shared" si="3"/>
        <v>8201.44</v>
      </c>
      <c r="M31" s="43" t="s">
        <v>45</v>
      </c>
    </row>
    <row r="32" spans="1:13" ht="15.75" x14ac:dyDescent="0.25">
      <c r="A32" s="35" t="s">
        <v>12</v>
      </c>
      <c r="B32" s="42" t="s">
        <v>49</v>
      </c>
      <c r="C32" s="33" t="s">
        <v>36</v>
      </c>
      <c r="D32" s="32">
        <f>D31*0.7*2</f>
        <v>31.919999999999998</v>
      </c>
      <c r="E32" s="31"/>
      <c r="F32" s="29"/>
      <c r="G32" s="29"/>
      <c r="H32" s="81">
        <v>296.39999999999998</v>
      </c>
      <c r="I32" s="29">
        <f t="shared" ref="I32" si="13">ROUND(H32*D32,2)</f>
        <v>9461.09</v>
      </c>
      <c r="J32" s="29">
        <f t="shared" ref="J32" si="14">ROUND(I32*1.2,2)</f>
        <v>11353.31</v>
      </c>
      <c r="K32" s="84">
        <f t="shared" si="3"/>
        <v>9461.09</v>
      </c>
      <c r="L32" s="68">
        <f t="shared" si="3"/>
        <v>11353.31</v>
      </c>
      <c r="M32" s="43"/>
    </row>
    <row r="33" spans="1:12" s="21" customFormat="1" ht="23.25" customHeight="1" x14ac:dyDescent="0.3">
      <c r="A33" s="134" t="s">
        <v>8</v>
      </c>
      <c r="B33" s="135"/>
      <c r="C33" s="135"/>
      <c r="D33" s="135"/>
      <c r="E33" s="136"/>
      <c r="F33" s="22">
        <f>SUM(F8:F32)</f>
        <v>70246.290000000008</v>
      </c>
      <c r="G33" s="22">
        <f>ROUND(F33*1.2,2)</f>
        <v>84295.55</v>
      </c>
      <c r="H33" s="23"/>
      <c r="I33" s="22">
        <f>SUM(I8:I32)</f>
        <v>93613.760000000009</v>
      </c>
      <c r="J33" s="22">
        <f>ROUND(I33*1.2,2)</f>
        <v>112336.51</v>
      </c>
      <c r="K33" s="22">
        <f>SUM(K8:K32)</f>
        <v>163860.05000000002</v>
      </c>
      <c r="L33" s="22">
        <f>ROUND(K33*1.2,2)</f>
        <v>196632.06</v>
      </c>
    </row>
  </sheetData>
  <mergeCells count="10">
    <mergeCell ref="B6:D6"/>
    <mergeCell ref="A33:E3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8D18-825A-4AD0-AA01-3D84BBAFEFD2}">
  <sheetPr>
    <tabColor theme="9" tint="0.79998168889431442"/>
  </sheetPr>
  <dimension ref="A1:M24"/>
  <sheetViews>
    <sheetView view="pageBreakPreview" zoomScale="80" zoomScaleNormal="100" zoomScaleSheetLayoutView="80" workbookViewId="0">
      <selection activeCell="E10" sqref="E1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37" t="s">
        <v>7</v>
      </c>
      <c r="B1" s="140" t="s">
        <v>30</v>
      </c>
      <c r="C1" s="143" t="s">
        <v>29</v>
      </c>
      <c r="D1" s="143" t="s">
        <v>28</v>
      </c>
      <c r="E1" s="144" t="s">
        <v>27</v>
      </c>
      <c r="F1" s="145"/>
      <c r="G1" s="145"/>
      <c r="H1" s="145"/>
      <c r="I1" s="145"/>
      <c r="J1" s="145"/>
      <c r="K1" s="145"/>
      <c r="L1" s="145"/>
    </row>
    <row r="2" spans="1:13" ht="14.45" customHeight="1" x14ac:dyDescent="0.25">
      <c r="A2" s="138"/>
      <c r="B2" s="141"/>
      <c r="C2" s="143"/>
      <c r="D2" s="143"/>
      <c r="E2" s="146"/>
      <c r="F2" s="147"/>
      <c r="G2" s="147"/>
      <c r="H2" s="147"/>
      <c r="I2" s="147"/>
      <c r="J2" s="147"/>
      <c r="K2" s="147"/>
      <c r="L2" s="147"/>
    </row>
    <row r="3" spans="1:13" ht="27.75" customHeight="1" x14ac:dyDescent="0.25">
      <c r="A3" s="138"/>
      <c r="B3" s="141"/>
      <c r="C3" s="143"/>
      <c r="D3" s="143"/>
      <c r="E3" s="143" t="s">
        <v>26</v>
      </c>
      <c r="F3" s="143"/>
      <c r="G3" s="143"/>
      <c r="H3" s="143" t="s">
        <v>25</v>
      </c>
      <c r="I3" s="143"/>
      <c r="J3" s="143"/>
      <c r="K3" s="129" t="s">
        <v>24</v>
      </c>
      <c r="L3" s="129"/>
    </row>
    <row r="4" spans="1:13" ht="56.1" customHeight="1" x14ac:dyDescent="0.25">
      <c r="A4" s="139"/>
      <c r="B4" s="142"/>
      <c r="C4" s="143"/>
      <c r="D4" s="143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32" t="s">
        <v>50</v>
      </c>
      <c r="C6" s="133"/>
      <c r="D6" s="133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174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63</v>
      </c>
      <c r="C8" s="75"/>
      <c r="D8" s="77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/>
      <c r="B9" s="74" t="s">
        <v>64</v>
      </c>
      <c r="C9" s="75"/>
      <c r="D9" s="77"/>
      <c r="E9" s="76"/>
      <c r="F9" s="39"/>
      <c r="G9" s="39"/>
      <c r="H9" s="38"/>
      <c r="I9" s="37"/>
      <c r="J9" s="37"/>
      <c r="K9" s="25"/>
      <c r="L9" s="24"/>
      <c r="M9" s="71"/>
    </row>
    <row r="10" spans="1:13" ht="18.75" customHeight="1" x14ac:dyDescent="0.25">
      <c r="A10" s="55">
        <v>1</v>
      </c>
      <c r="B10" s="47" t="s">
        <v>65</v>
      </c>
      <c r="C10" s="46" t="s">
        <v>15</v>
      </c>
      <c r="D10" s="90">
        <v>2.234</v>
      </c>
      <c r="E10" s="27">
        <v>135637.63</v>
      </c>
      <c r="F10" s="39">
        <f t="shared" ref="F10:F22" si="0">ROUND(E10*D10,2)</f>
        <v>303014.46999999997</v>
      </c>
      <c r="G10" s="39">
        <f t="shared" ref="G10:G22" si="1">ROUND(F10*1.2,2)</f>
        <v>363617.36</v>
      </c>
      <c r="H10" s="38"/>
      <c r="I10" s="37"/>
      <c r="J10" s="37"/>
      <c r="K10" s="25">
        <f t="shared" ref="K10:L23" si="2">F10+I10</f>
        <v>303014.46999999997</v>
      </c>
      <c r="L10" s="24">
        <f t="shared" si="2"/>
        <v>363617.36</v>
      </c>
      <c r="M10" s="71"/>
    </row>
    <row r="11" spans="1:13" ht="18.75" customHeight="1" x14ac:dyDescent="0.25">
      <c r="A11" s="35" t="s">
        <v>159</v>
      </c>
      <c r="B11" s="34" t="s">
        <v>106</v>
      </c>
      <c r="C11" s="33" t="s">
        <v>36</v>
      </c>
      <c r="D11" s="32">
        <v>1781.55</v>
      </c>
      <c r="E11" s="31"/>
      <c r="F11" s="29"/>
      <c r="G11" s="29"/>
      <c r="H11" s="92">
        <v>106.39999999999999</v>
      </c>
      <c r="I11" s="29">
        <f t="shared" ref="I11" si="3">ROUND(H11*D11,2)</f>
        <v>189556.92</v>
      </c>
      <c r="J11" s="29">
        <f t="shared" ref="J11:J17" si="4">ROUND(I11*1.2,2)</f>
        <v>227468.3</v>
      </c>
      <c r="K11" s="30">
        <f t="shared" ref="K11" si="5">F11+I11</f>
        <v>189556.92</v>
      </c>
      <c r="L11" s="29">
        <f t="shared" ref="L11" si="6">G11+J11</f>
        <v>227468.3</v>
      </c>
      <c r="M11" s="58"/>
    </row>
    <row r="12" spans="1:13" ht="18.75" customHeight="1" x14ac:dyDescent="0.25">
      <c r="A12" s="35" t="s">
        <v>180</v>
      </c>
      <c r="B12" s="34" t="s">
        <v>105</v>
      </c>
      <c r="C12" s="33" t="s">
        <v>36</v>
      </c>
      <c r="D12" s="78">
        <v>32.479999999999997</v>
      </c>
      <c r="E12" s="31"/>
      <c r="F12" s="29"/>
      <c r="G12" s="29"/>
      <c r="H12" s="31">
        <v>71.25</v>
      </c>
      <c r="I12" s="29">
        <f>ROUND(H12*D12,2)</f>
        <v>2314.1999999999998</v>
      </c>
      <c r="J12" s="29">
        <f>ROUND(I12*1.2,2)</f>
        <v>2777.04</v>
      </c>
      <c r="K12" s="30">
        <f t="shared" si="2"/>
        <v>2314.1999999999998</v>
      </c>
      <c r="L12" s="29">
        <f t="shared" si="2"/>
        <v>2777.04</v>
      </c>
      <c r="M12" s="58"/>
    </row>
    <row r="13" spans="1:13" ht="18.75" customHeight="1" x14ac:dyDescent="0.25">
      <c r="A13" s="35" t="s">
        <v>181</v>
      </c>
      <c r="B13" s="34" t="s">
        <v>175</v>
      </c>
      <c r="C13" s="33" t="s">
        <v>36</v>
      </c>
      <c r="D13" s="32">
        <v>254.72</v>
      </c>
      <c r="E13" s="31"/>
      <c r="F13" s="29"/>
      <c r="G13" s="29"/>
      <c r="H13" s="92">
        <v>89.3</v>
      </c>
      <c r="I13" s="29">
        <f t="shared" ref="I13:I17" si="7">ROUND(H13*D13,2)</f>
        <v>22746.5</v>
      </c>
      <c r="J13" s="29">
        <f t="shared" si="4"/>
        <v>27295.8</v>
      </c>
      <c r="K13" s="30">
        <f t="shared" si="2"/>
        <v>22746.5</v>
      </c>
      <c r="L13" s="29">
        <f t="shared" si="2"/>
        <v>27295.8</v>
      </c>
      <c r="M13" s="58"/>
    </row>
    <row r="14" spans="1:13" ht="18.75" customHeight="1" x14ac:dyDescent="0.25">
      <c r="A14" s="35" t="s">
        <v>182</v>
      </c>
      <c r="B14" s="34" t="s">
        <v>176</v>
      </c>
      <c r="C14" s="33" t="s">
        <v>36</v>
      </c>
      <c r="D14" s="32">
        <v>130</v>
      </c>
      <c r="E14" s="31"/>
      <c r="F14" s="29"/>
      <c r="G14" s="29"/>
      <c r="H14" s="92">
        <v>84.55</v>
      </c>
      <c r="I14" s="29">
        <f t="shared" si="7"/>
        <v>10991.5</v>
      </c>
      <c r="J14" s="29">
        <f t="shared" si="4"/>
        <v>13189.8</v>
      </c>
      <c r="K14" s="30">
        <f t="shared" si="2"/>
        <v>10991.5</v>
      </c>
      <c r="L14" s="29">
        <f t="shared" si="2"/>
        <v>13189.8</v>
      </c>
      <c r="M14" s="58"/>
    </row>
    <row r="15" spans="1:13" ht="18.75" customHeight="1" x14ac:dyDescent="0.25">
      <c r="A15" s="35" t="s">
        <v>183</v>
      </c>
      <c r="B15" s="34" t="s">
        <v>177</v>
      </c>
      <c r="C15" s="33" t="s">
        <v>36</v>
      </c>
      <c r="D15" s="32">
        <v>8.5</v>
      </c>
      <c r="E15" s="31"/>
      <c r="F15" s="29"/>
      <c r="G15" s="29"/>
      <c r="H15" s="92">
        <v>84.55</v>
      </c>
      <c r="I15" s="29">
        <f t="shared" si="7"/>
        <v>718.68</v>
      </c>
      <c r="J15" s="29">
        <f t="shared" si="4"/>
        <v>862.42</v>
      </c>
      <c r="K15" s="30">
        <f t="shared" si="2"/>
        <v>718.68</v>
      </c>
      <c r="L15" s="29">
        <f t="shared" si="2"/>
        <v>862.42</v>
      </c>
      <c r="M15" s="58"/>
    </row>
    <row r="16" spans="1:13" ht="18.75" customHeight="1" x14ac:dyDescent="0.25">
      <c r="A16" s="35" t="s">
        <v>184</v>
      </c>
      <c r="B16" s="34" t="s">
        <v>179</v>
      </c>
      <c r="C16" s="33" t="s">
        <v>36</v>
      </c>
      <c r="D16" s="32">
        <v>7.78</v>
      </c>
      <c r="E16" s="31"/>
      <c r="F16" s="29"/>
      <c r="G16" s="29"/>
      <c r="H16" s="92">
        <v>139.65</v>
      </c>
      <c r="I16" s="29">
        <f t="shared" si="7"/>
        <v>1086.48</v>
      </c>
      <c r="J16" s="29">
        <f t="shared" si="4"/>
        <v>1303.78</v>
      </c>
      <c r="K16" s="30">
        <f t="shared" si="2"/>
        <v>1086.48</v>
      </c>
      <c r="L16" s="29">
        <f t="shared" si="2"/>
        <v>1303.78</v>
      </c>
      <c r="M16" s="58"/>
    </row>
    <row r="17" spans="1:13" ht="18.75" customHeight="1" x14ac:dyDescent="0.25">
      <c r="A17" s="35" t="s">
        <v>185</v>
      </c>
      <c r="B17" s="34" t="s">
        <v>178</v>
      </c>
      <c r="C17" s="33" t="s">
        <v>36</v>
      </c>
      <c r="D17" s="32">
        <v>19.29</v>
      </c>
      <c r="E17" s="31"/>
      <c r="F17" s="29"/>
      <c r="G17" s="29"/>
      <c r="H17" s="92">
        <v>187.14999999999998</v>
      </c>
      <c r="I17" s="29">
        <f t="shared" si="7"/>
        <v>3610.12</v>
      </c>
      <c r="J17" s="29">
        <f t="shared" si="4"/>
        <v>4332.1400000000003</v>
      </c>
      <c r="K17" s="30">
        <f t="shared" si="2"/>
        <v>3610.12</v>
      </c>
      <c r="L17" s="29">
        <f t="shared" si="2"/>
        <v>4332.1400000000003</v>
      </c>
      <c r="M17" s="58"/>
    </row>
    <row r="18" spans="1:13" ht="18.75" customHeight="1" x14ac:dyDescent="0.25">
      <c r="A18" s="55">
        <f>A10+1</f>
        <v>2</v>
      </c>
      <c r="B18" s="47" t="s">
        <v>68</v>
      </c>
      <c r="C18" s="75" t="s">
        <v>16</v>
      </c>
      <c r="D18" s="48">
        <v>0.2</v>
      </c>
      <c r="E18" s="27">
        <v>1104</v>
      </c>
      <c r="F18" s="39">
        <f t="shared" ref="F18" si="8">ROUND(E18*D18,2)</f>
        <v>220.8</v>
      </c>
      <c r="G18" s="39">
        <f t="shared" si="1"/>
        <v>264.95999999999998</v>
      </c>
      <c r="H18" s="38"/>
      <c r="I18" s="37"/>
      <c r="J18" s="37"/>
      <c r="K18" s="25">
        <f t="shared" ref="K18:K19" si="9">F18+I18</f>
        <v>220.8</v>
      </c>
      <c r="L18" s="24">
        <f t="shared" ref="L18:L19" si="10">G18+J18</f>
        <v>264.95999999999998</v>
      </c>
      <c r="M18" s="71"/>
    </row>
    <row r="19" spans="1:13" ht="18.75" customHeight="1" x14ac:dyDescent="0.25">
      <c r="A19" s="35" t="s">
        <v>160</v>
      </c>
      <c r="B19" s="34" t="s">
        <v>104</v>
      </c>
      <c r="C19" s="33" t="s">
        <v>16</v>
      </c>
      <c r="D19" s="32">
        <f>0.2*1.02</f>
        <v>0.20400000000000001</v>
      </c>
      <c r="E19" s="31"/>
      <c r="F19" s="29"/>
      <c r="G19" s="29"/>
      <c r="H19" s="92">
        <v>8412.25</v>
      </c>
      <c r="I19" s="29">
        <f t="shared" ref="I19" si="11">ROUND(H19*D19,2)</f>
        <v>1716.1</v>
      </c>
      <c r="J19" s="29">
        <f t="shared" ref="J19:J23" si="12">ROUND(I19*1.2,2)</f>
        <v>2059.3200000000002</v>
      </c>
      <c r="K19" s="30">
        <f t="shared" si="9"/>
        <v>1716.1</v>
      </c>
      <c r="L19" s="29">
        <f t="shared" si="10"/>
        <v>2059.3200000000002</v>
      </c>
      <c r="M19" s="58"/>
    </row>
    <row r="20" spans="1:13" ht="18.75" customHeight="1" x14ac:dyDescent="0.25">
      <c r="A20" s="55">
        <f>A18+1</f>
        <v>3</v>
      </c>
      <c r="B20" s="47" t="s">
        <v>66</v>
      </c>
      <c r="C20" s="46" t="s">
        <v>33</v>
      </c>
      <c r="D20" s="48">
        <v>37.04</v>
      </c>
      <c r="E20" s="27">
        <v>144.4</v>
      </c>
      <c r="F20" s="39">
        <f t="shared" si="0"/>
        <v>5348.58</v>
      </c>
      <c r="G20" s="39">
        <f t="shared" si="1"/>
        <v>6418.3</v>
      </c>
      <c r="H20" s="38"/>
      <c r="I20" s="37"/>
      <c r="J20" s="37"/>
      <c r="K20" s="25">
        <f t="shared" si="2"/>
        <v>5348.58</v>
      </c>
      <c r="L20" s="24">
        <f t="shared" si="2"/>
        <v>6418.3</v>
      </c>
      <c r="M20" s="71"/>
    </row>
    <row r="21" spans="1:13" ht="18.75" customHeight="1" x14ac:dyDescent="0.25">
      <c r="A21" s="35" t="s">
        <v>18</v>
      </c>
      <c r="B21" s="34" t="s">
        <v>102</v>
      </c>
      <c r="C21" s="33" t="s">
        <v>36</v>
      </c>
      <c r="D21" s="100">
        <f>D20*0.15*2</f>
        <v>11.112</v>
      </c>
      <c r="E21" s="31"/>
      <c r="F21" s="29"/>
      <c r="G21" s="29"/>
      <c r="H21" s="92">
        <v>149.15</v>
      </c>
      <c r="I21" s="29">
        <f t="shared" ref="I21" si="13">ROUND(H21*D21,2)</f>
        <v>1657.35</v>
      </c>
      <c r="J21" s="29">
        <f t="shared" si="12"/>
        <v>1988.82</v>
      </c>
      <c r="K21" s="30">
        <f t="shared" si="2"/>
        <v>1657.35</v>
      </c>
      <c r="L21" s="29">
        <f t="shared" si="2"/>
        <v>1988.82</v>
      </c>
      <c r="M21" s="58"/>
    </row>
    <row r="22" spans="1:13" ht="18.75" customHeight="1" x14ac:dyDescent="0.25">
      <c r="A22" s="55">
        <f>A20+1</f>
        <v>4</v>
      </c>
      <c r="B22" s="47" t="s">
        <v>67</v>
      </c>
      <c r="C22" s="46" t="s">
        <v>33</v>
      </c>
      <c r="D22" s="48">
        <v>37.04</v>
      </c>
      <c r="E22" s="27">
        <v>144.4</v>
      </c>
      <c r="F22" s="39">
        <f t="shared" si="0"/>
        <v>5348.58</v>
      </c>
      <c r="G22" s="39">
        <f t="shared" si="1"/>
        <v>6418.3</v>
      </c>
      <c r="H22" s="38"/>
      <c r="I22" s="37"/>
      <c r="J22" s="37"/>
      <c r="K22" s="25">
        <f t="shared" si="2"/>
        <v>5348.58</v>
      </c>
      <c r="L22" s="24">
        <f t="shared" si="2"/>
        <v>6418.3</v>
      </c>
      <c r="M22" s="71"/>
    </row>
    <row r="23" spans="1:13" ht="18.75" customHeight="1" x14ac:dyDescent="0.25">
      <c r="A23" s="35" t="s">
        <v>168</v>
      </c>
      <c r="B23" s="34" t="s">
        <v>103</v>
      </c>
      <c r="C23" s="33" t="s">
        <v>36</v>
      </c>
      <c r="D23" s="100">
        <f>D22*0.32</f>
        <v>11.8528</v>
      </c>
      <c r="E23" s="31"/>
      <c r="F23" s="29"/>
      <c r="G23" s="29"/>
      <c r="H23" s="92">
        <v>165.29999999999998</v>
      </c>
      <c r="I23" s="29">
        <f t="shared" ref="I23" si="14">ROUND(H23*D23,2)</f>
        <v>1959.27</v>
      </c>
      <c r="J23" s="29">
        <f t="shared" si="12"/>
        <v>2351.12</v>
      </c>
      <c r="K23" s="30">
        <f t="shared" si="2"/>
        <v>1959.27</v>
      </c>
      <c r="L23" s="29">
        <f t="shared" si="2"/>
        <v>2351.12</v>
      </c>
      <c r="M23" s="58"/>
    </row>
    <row r="24" spans="1:13" s="21" customFormat="1" ht="23.25" customHeight="1" x14ac:dyDescent="0.3">
      <c r="A24" s="134" t="s">
        <v>8</v>
      </c>
      <c r="B24" s="135"/>
      <c r="C24" s="135"/>
      <c r="D24" s="135"/>
      <c r="E24" s="136"/>
      <c r="F24" s="22">
        <f>SUM(F8:F23)</f>
        <v>313932.43</v>
      </c>
      <c r="G24" s="22">
        <f>ROUND(F24*1.2,2)</f>
        <v>376718.92</v>
      </c>
      <c r="H24" s="23"/>
      <c r="I24" s="22">
        <f>SUM(I8:I23)</f>
        <v>236357.12000000002</v>
      </c>
      <c r="J24" s="22">
        <f>ROUND(I24*1.2,2)</f>
        <v>283628.53999999998</v>
      </c>
      <c r="K24" s="22">
        <f>SUM(K8:K23)</f>
        <v>550289.55000000005</v>
      </c>
      <c r="L24" s="22">
        <f>ROUND(K24*1.2,2)</f>
        <v>660347.46</v>
      </c>
    </row>
  </sheetData>
  <mergeCells count="10">
    <mergeCell ref="B6:D6"/>
    <mergeCell ref="A24:E2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7634-6E9E-46E8-B413-36CBFD7CF032}">
  <sheetPr>
    <tabColor theme="9" tint="0.79998168889431442"/>
  </sheetPr>
  <dimension ref="A1:M41"/>
  <sheetViews>
    <sheetView view="pageBreakPreview" zoomScale="80" zoomScaleNormal="100" zoomScaleSheetLayoutView="80" workbookViewId="0">
      <selection activeCell="A28" sqref="A28:XFD31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37" t="s">
        <v>7</v>
      </c>
      <c r="B1" s="140" t="s">
        <v>30</v>
      </c>
      <c r="C1" s="143" t="s">
        <v>29</v>
      </c>
      <c r="D1" s="143" t="s">
        <v>28</v>
      </c>
      <c r="E1" s="144" t="s">
        <v>27</v>
      </c>
      <c r="F1" s="145"/>
      <c r="G1" s="145"/>
      <c r="H1" s="145"/>
      <c r="I1" s="145"/>
      <c r="J1" s="145"/>
      <c r="K1" s="145"/>
      <c r="L1" s="145"/>
    </row>
    <row r="2" spans="1:13" ht="14.45" customHeight="1" x14ac:dyDescent="0.25">
      <c r="A2" s="138"/>
      <c r="B2" s="141"/>
      <c r="C2" s="143"/>
      <c r="D2" s="143"/>
      <c r="E2" s="146"/>
      <c r="F2" s="147"/>
      <c r="G2" s="147"/>
      <c r="H2" s="147"/>
      <c r="I2" s="147"/>
      <c r="J2" s="147"/>
      <c r="K2" s="147"/>
      <c r="L2" s="147"/>
    </row>
    <row r="3" spans="1:13" ht="27.75" customHeight="1" x14ac:dyDescent="0.25">
      <c r="A3" s="138"/>
      <c r="B3" s="141"/>
      <c r="C3" s="143"/>
      <c r="D3" s="143"/>
      <c r="E3" s="143" t="s">
        <v>26</v>
      </c>
      <c r="F3" s="143"/>
      <c r="G3" s="143"/>
      <c r="H3" s="143" t="s">
        <v>25</v>
      </c>
      <c r="I3" s="143"/>
      <c r="J3" s="143"/>
      <c r="K3" s="129" t="s">
        <v>24</v>
      </c>
      <c r="L3" s="129"/>
    </row>
    <row r="4" spans="1:13" ht="56.1" customHeight="1" x14ac:dyDescent="0.25">
      <c r="A4" s="139"/>
      <c r="B4" s="142"/>
      <c r="C4" s="143"/>
      <c r="D4" s="143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32" t="s">
        <v>50</v>
      </c>
      <c r="C6" s="133"/>
      <c r="D6" s="133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69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74" t="s">
        <v>137</v>
      </c>
      <c r="C8" s="75"/>
      <c r="D8" s="91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>
        <v>1</v>
      </c>
      <c r="B9" s="47" t="s">
        <v>186</v>
      </c>
      <c r="C9" s="75" t="s">
        <v>15</v>
      </c>
      <c r="D9" s="48">
        <v>0.45</v>
      </c>
      <c r="E9" s="27">
        <f>135637.63*0.7</f>
        <v>94946.341</v>
      </c>
      <c r="F9" s="39">
        <f t="shared" ref="F9" si="0">ROUND(E9*D9,2)</f>
        <v>42725.85</v>
      </c>
      <c r="G9" s="39">
        <f t="shared" ref="G9:G13" si="1">ROUND(F9*1.2,2)</f>
        <v>51271.02</v>
      </c>
      <c r="H9" s="38"/>
      <c r="I9" s="37"/>
      <c r="J9" s="37"/>
      <c r="K9" s="25">
        <f t="shared" ref="K9" si="2">F9+I9</f>
        <v>42725.85</v>
      </c>
      <c r="L9" s="24">
        <f t="shared" ref="L9" si="3">G9+J9</f>
        <v>51271.02</v>
      </c>
      <c r="M9" s="71"/>
    </row>
    <row r="10" spans="1:13" ht="18.75" customHeight="1" x14ac:dyDescent="0.25">
      <c r="A10" s="55"/>
      <c r="B10" s="74" t="s">
        <v>187</v>
      </c>
      <c r="C10" s="75"/>
      <c r="D10" s="91"/>
      <c r="E10" s="76"/>
      <c r="F10" s="39"/>
      <c r="G10" s="39"/>
      <c r="H10" s="38"/>
      <c r="I10" s="37"/>
      <c r="J10" s="37"/>
      <c r="K10" s="25"/>
      <c r="L10" s="24"/>
      <c r="M10" s="71"/>
    </row>
    <row r="11" spans="1:13" ht="18.75" customHeight="1" x14ac:dyDescent="0.25">
      <c r="A11" s="55">
        <f>A9+1</f>
        <v>2</v>
      </c>
      <c r="B11" s="47" t="s">
        <v>188</v>
      </c>
      <c r="C11" s="75" t="s">
        <v>15</v>
      </c>
      <c r="D11" s="48">
        <v>0.45</v>
      </c>
      <c r="E11" s="27">
        <f>135637.63*0.7</f>
        <v>94946.341</v>
      </c>
      <c r="F11" s="39">
        <f t="shared" ref="F11:F12" si="4">ROUND(E11*D11,2)</f>
        <v>42725.85</v>
      </c>
      <c r="G11" s="39">
        <f t="shared" si="1"/>
        <v>51271.02</v>
      </c>
      <c r="H11" s="38"/>
      <c r="I11" s="37"/>
      <c r="J11" s="37"/>
      <c r="K11" s="25">
        <f t="shared" ref="K11:L13" si="5">F11+I11</f>
        <v>42725.85</v>
      </c>
      <c r="L11" s="24">
        <f t="shared" ref="L11" si="6">G11+J11</f>
        <v>51271.02</v>
      </c>
      <c r="M11" s="71"/>
    </row>
    <row r="12" spans="1:13" ht="18.75" customHeight="1" x14ac:dyDescent="0.25">
      <c r="A12" s="55">
        <f>A11+1</f>
        <v>3</v>
      </c>
      <c r="B12" s="47" t="s">
        <v>189</v>
      </c>
      <c r="C12" s="46" t="s">
        <v>15</v>
      </c>
      <c r="D12" s="48">
        <v>0.45</v>
      </c>
      <c r="E12" s="27">
        <v>135637.63</v>
      </c>
      <c r="F12" s="39">
        <f t="shared" si="4"/>
        <v>61036.93</v>
      </c>
      <c r="G12" s="39">
        <f t="shared" si="1"/>
        <v>73244.320000000007</v>
      </c>
      <c r="H12" s="38"/>
      <c r="I12" s="37"/>
      <c r="J12" s="37"/>
      <c r="K12" s="25">
        <f t="shared" si="5"/>
        <v>61036.93</v>
      </c>
      <c r="L12" s="24">
        <f t="shared" si="5"/>
        <v>73244.320000000007</v>
      </c>
      <c r="M12" s="71"/>
    </row>
    <row r="13" spans="1:13" ht="18.75" customHeight="1" x14ac:dyDescent="0.25">
      <c r="A13" s="55">
        <f>A12+1</f>
        <v>4</v>
      </c>
      <c r="B13" s="47" t="s">
        <v>188</v>
      </c>
      <c r="C13" s="75" t="s">
        <v>15</v>
      </c>
      <c r="D13" s="48">
        <v>0.45</v>
      </c>
      <c r="E13" s="27">
        <f>135637.63*0.7</f>
        <v>94946.341</v>
      </c>
      <c r="F13" s="39">
        <f t="shared" ref="F13" si="7">ROUND(E13*D13,2)</f>
        <v>42725.85</v>
      </c>
      <c r="G13" s="39">
        <f t="shared" si="1"/>
        <v>51271.02</v>
      </c>
      <c r="H13" s="38"/>
      <c r="I13" s="37"/>
      <c r="J13" s="37"/>
      <c r="K13" s="25">
        <f t="shared" ref="K13" si="8">F13+I13</f>
        <v>42725.85</v>
      </c>
      <c r="L13" s="24">
        <f t="shared" si="5"/>
        <v>51271.02</v>
      </c>
      <c r="M13" s="71"/>
    </row>
    <row r="14" spans="1:13" ht="18.75" customHeight="1" x14ac:dyDescent="0.25">
      <c r="A14" s="55"/>
      <c r="B14" s="74" t="s">
        <v>194</v>
      </c>
      <c r="C14" s="75"/>
      <c r="D14" s="91"/>
      <c r="E14" s="76"/>
      <c r="F14" s="39"/>
      <c r="G14" s="39"/>
      <c r="H14" s="38"/>
      <c r="I14" s="37"/>
      <c r="J14" s="37"/>
      <c r="K14" s="25"/>
      <c r="L14" s="24"/>
      <c r="M14" s="71"/>
    </row>
    <row r="15" spans="1:13" ht="18.75" customHeight="1" x14ac:dyDescent="0.25">
      <c r="A15" s="55">
        <f>A13+1</f>
        <v>5</v>
      </c>
      <c r="B15" s="47" t="s">
        <v>196</v>
      </c>
      <c r="C15" s="75" t="s">
        <v>15</v>
      </c>
      <c r="D15" s="89">
        <v>0.22287000000000001</v>
      </c>
      <c r="E15" s="27">
        <v>70289.55</v>
      </c>
      <c r="F15" s="39">
        <f t="shared" ref="F15" si="9">ROUND(E15*D15,2)</f>
        <v>15665.43</v>
      </c>
      <c r="G15" s="39">
        <f t="shared" ref="G15:G39" si="10">ROUND(F15*1.2,2)</f>
        <v>18798.52</v>
      </c>
      <c r="H15" s="38"/>
      <c r="I15" s="37"/>
      <c r="J15" s="37"/>
      <c r="K15" s="25">
        <f t="shared" ref="K15:L22" si="11">F15+I15</f>
        <v>15665.43</v>
      </c>
      <c r="L15" s="24">
        <f t="shared" si="11"/>
        <v>18798.52</v>
      </c>
      <c r="M15" s="71"/>
    </row>
    <row r="16" spans="1:13" ht="18.75" customHeight="1" x14ac:dyDescent="0.25">
      <c r="A16" s="35" t="s">
        <v>41</v>
      </c>
      <c r="B16" s="34" t="s">
        <v>190</v>
      </c>
      <c r="C16" s="33" t="s">
        <v>36</v>
      </c>
      <c r="D16" s="78">
        <f>109.04+6.69</f>
        <v>115.73</v>
      </c>
      <c r="E16" s="31"/>
      <c r="F16" s="29"/>
      <c r="G16" s="29"/>
      <c r="H16" s="31">
        <v>71.25</v>
      </c>
      <c r="I16" s="29">
        <f>ROUND(H16*D16,2)</f>
        <v>8245.76</v>
      </c>
      <c r="J16" s="29">
        <f>ROUND(I16*1.2,2)</f>
        <v>9894.91</v>
      </c>
      <c r="K16" s="30">
        <f t="shared" si="11"/>
        <v>8245.76</v>
      </c>
      <c r="L16" s="29">
        <f t="shared" si="11"/>
        <v>9894.91</v>
      </c>
      <c r="M16" s="58"/>
    </row>
    <row r="17" spans="1:13" ht="18.75" customHeight="1" x14ac:dyDescent="0.25">
      <c r="A17" s="35" t="s">
        <v>192</v>
      </c>
      <c r="B17" s="34" t="s">
        <v>107</v>
      </c>
      <c r="C17" s="33" t="s">
        <v>36</v>
      </c>
      <c r="D17" s="32">
        <f>14.64+7.75+24.52+8.54+6.59+21.41+8.88</f>
        <v>92.329999999999984</v>
      </c>
      <c r="E17" s="31"/>
      <c r="F17" s="29"/>
      <c r="G17" s="29"/>
      <c r="H17" s="92">
        <v>71.25</v>
      </c>
      <c r="I17" s="29">
        <f t="shared" ref="I17:I18" si="12">ROUND(H17*D17,2)</f>
        <v>6578.51</v>
      </c>
      <c r="J17" s="29">
        <f t="shared" ref="J17:J18" si="13">ROUND(I17*1.2,2)</f>
        <v>7894.21</v>
      </c>
      <c r="K17" s="30">
        <f t="shared" si="11"/>
        <v>6578.51</v>
      </c>
      <c r="L17" s="29">
        <f t="shared" si="11"/>
        <v>7894.21</v>
      </c>
      <c r="M17" s="58"/>
    </row>
    <row r="18" spans="1:13" ht="18.75" customHeight="1" x14ac:dyDescent="0.25">
      <c r="A18" s="35" t="s">
        <v>193</v>
      </c>
      <c r="B18" s="34" t="s">
        <v>191</v>
      </c>
      <c r="C18" s="33" t="s">
        <v>36</v>
      </c>
      <c r="D18" s="32">
        <f>12.09+2.45</f>
        <v>14.54</v>
      </c>
      <c r="E18" s="31"/>
      <c r="F18" s="29"/>
      <c r="G18" s="29"/>
      <c r="H18" s="92">
        <v>84.55</v>
      </c>
      <c r="I18" s="29">
        <f t="shared" si="12"/>
        <v>1229.3599999999999</v>
      </c>
      <c r="J18" s="29">
        <f t="shared" si="13"/>
        <v>1475.23</v>
      </c>
      <c r="K18" s="30">
        <f t="shared" si="11"/>
        <v>1229.3599999999999</v>
      </c>
      <c r="L18" s="29">
        <f t="shared" si="11"/>
        <v>1475.23</v>
      </c>
      <c r="M18" s="58"/>
    </row>
    <row r="19" spans="1:13" ht="18.75" customHeight="1" x14ac:dyDescent="0.25">
      <c r="A19" s="55">
        <f>A15+1</f>
        <v>6</v>
      </c>
      <c r="B19" s="47" t="s">
        <v>66</v>
      </c>
      <c r="C19" s="46" t="s">
        <v>33</v>
      </c>
      <c r="D19" s="48">
        <v>12.57</v>
      </c>
      <c r="E19" s="27">
        <f>144.4</f>
        <v>144.4</v>
      </c>
      <c r="F19" s="39">
        <f t="shared" ref="F19" si="14">ROUND(E19*D19,2)</f>
        <v>1815.11</v>
      </c>
      <c r="G19" s="39">
        <f t="shared" si="10"/>
        <v>2178.13</v>
      </c>
      <c r="H19" s="38"/>
      <c r="I19" s="37"/>
      <c r="J19" s="37"/>
      <c r="K19" s="25">
        <f t="shared" si="11"/>
        <v>1815.11</v>
      </c>
      <c r="L19" s="24">
        <f t="shared" si="11"/>
        <v>2178.13</v>
      </c>
      <c r="M19" s="71"/>
    </row>
    <row r="20" spans="1:13" ht="18.75" customHeight="1" x14ac:dyDescent="0.25">
      <c r="A20" s="35" t="s">
        <v>14</v>
      </c>
      <c r="B20" s="34" t="s">
        <v>102</v>
      </c>
      <c r="C20" s="33" t="s">
        <v>36</v>
      </c>
      <c r="D20" s="100">
        <f>D19*0.15*2</f>
        <v>3.7709999999999999</v>
      </c>
      <c r="E20" s="31"/>
      <c r="F20" s="29"/>
      <c r="G20" s="29"/>
      <c r="H20" s="92">
        <v>149.15</v>
      </c>
      <c r="I20" s="29">
        <f t="shared" ref="I20" si="15">ROUND(H20*D20,2)</f>
        <v>562.44000000000005</v>
      </c>
      <c r="J20" s="29">
        <f t="shared" ref="J20" si="16">ROUND(I20*1.2,2)</f>
        <v>674.93</v>
      </c>
      <c r="K20" s="30">
        <f t="shared" si="11"/>
        <v>562.44000000000005</v>
      </c>
      <c r="L20" s="29">
        <f t="shared" si="11"/>
        <v>674.93</v>
      </c>
      <c r="M20" s="58"/>
    </row>
    <row r="21" spans="1:13" ht="18.75" customHeight="1" x14ac:dyDescent="0.25">
      <c r="A21" s="55">
        <f>A19+1</f>
        <v>7</v>
      </c>
      <c r="B21" s="47" t="s">
        <v>67</v>
      </c>
      <c r="C21" s="46" t="s">
        <v>33</v>
      </c>
      <c r="D21" s="48">
        <v>12.57</v>
      </c>
      <c r="E21" s="27">
        <f>144.4</f>
        <v>144.4</v>
      </c>
      <c r="F21" s="39">
        <f t="shared" ref="F21" si="17">ROUND(E21*D21,2)</f>
        <v>1815.11</v>
      </c>
      <c r="G21" s="39">
        <f t="shared" si="10"/>
        <v>2178.13</v>
      </c>
      <c r="H21" s="38"/>
      <c r="I21" s="37"/>
      <c r="J21" s="37"/>
      <c r="K21" s="25">
        <f t="shared" si="11"/>
        <v>1815.11</v>
      </c>
      <c r="L21" s="24">
        <f t="shared" si="11"/>
        <v>2178.13</v>
      </c>
      <c r="M21" s="71"/>
    </row>
    <row r="22" spans="1:13" ht="18.75" customHeight="1" x14ac:dyDescent="0.25">
      <c r="A22" s="35" t="s">
        <v>13</v>
      </c>
      <c r="B22" s="34" t="s">
        <v>103</v>
      </c>
      <c r="C22" s="33" t="s">
        <v>36</v>
      </c>
      <c r="D22" s="100">
        <f>D21*0.32</f>
        <v>4.0224000000000002</v>
      </c>
      <c r="E22" s="31"/>
      <c r="F22" s="29"/>
      <c r="G22" s="29"/>
      <c r="H22" s="92">
        <v>165.29999999999998</v>
      </c>
      <c r="I22" s="29">
        <f t="shared" ref="I22" si="18">ROUND(H22*D22,2)</f>
        <v>664.9</v>
      </c>
      <c r="J22" s="29">
        <f t="shared" ref="J22" si="19">ROUND(I22*1.2,2)</f>
        <v>797.88</v>
      </c>
      <c r="K22" s="30">
        <f t="shared" si="11"/>
        <v>664.9</v>
      </c>
      <c r="L22" s="29">
        <f t="shared" si="11"/>
        <v>797.88</v>
      </c>
      <c r="M22" s="58"/>
    </row>
    <row r="23" spans="1:13" ht="18.75" customHeight="1" x14ac:dyDescent="0.25">
      <c r="A23" s="35"/>
      <c r="B23" s="74" t="s">
        <v>195</v>
      </c>
      <c r="C23" s="55"/>
      <c r="D23" s="101"/>
      <c r="E23" s="44"/>
      <c r="F23" s="26"/>
      <c r="G23" s="26"/>
      <c r="H23" s="93"/>
      <c r="I23" s="26"/>
      <c r="J23" s="26"/>
      <c r="K23" s="70"/>
      <c r="L23" s="26"/>
      <c r="M23" s="58"/>
    </row>
    <row r="24" spans="1:13" ht="18.75" customHeight="1" x14ac:dyDescent="0.25">
      <c r="A24" s="55">
        <f>A21+1</f>
        <v>8</v>
      </c>
      <c r="B24" s="47" t="s">
        <v>197</v>
      </c>
      <c r="C24" s="75" t="s">
        <v>15</v>
      </c>
      <c r="D24" s="89">
        <v>0.96291000000000004</v>
      </c>
      <c r="E24" s="27">
        <v>70289.55</v>
      </c>
      <c r="F24" s="39">
        <f t="shared" ref="F24" si="20">ROUND(E24*D24,2)</f>
        <v>67682.509999999995</v>
      </c>
      <c r="G24" s="39">
        <f t="shared" si="10"/>
        <v>81219.009999999995</v>
      </c>
      <c r="H24" s="38"/>
      <c r="I24" s="37"/>
      <c r="J24" s="37"/>
      <c r="K24" s="25">
        <f t="shared" ref="K24:K31" si="21">F24+I24</f>
        <v>67682.509999999995</v>
      </c>
      <c r="L24" s="24">
        <f t="shared" ref="L24:L31" si="22">G24+J24</f>
        <v>81219.009999999995</v>
      </c>
      <c r="M24" s="71"/>
    </row>
    <row r="25" spans="1:13" ht="18.75" customHeight="1" x14ac:dyDescent="0.25">
      <c r="A25" s="35" t="s">
        <v>12</v>
      </c>
      <c r="B25" s="34" t="s">
        <v>190</v>
      </c>
      <c r="C25" s="33" t="s">
        <v>36</v>
      </c>
      <c r="D25" s="78">
        <f>232+208.8+6.96</f>
        <v>447.76</v>
      </c>
      <c r="E25" s="31"/>
      <c r="F25" s="29"/>
      <c r="G25" s="29"/>
      <c r="H25" s="31">
        <v>71.25</v>
      </c>
      <c r="I25" s="29">
        <f>ROUND(H25*D25,2)</f>
        <v>31902.9</v>
      </c>
      <c r="J25" s="29">
        <f>ROUND(I25*1.2,2)</f>
        <v>38283.480000000003</v>
      </c>
      <c r="K25" s="30">
        <f t="shared" si="21"/>
        <v>31902.9</v>
      </c>
      <c r="L25" s="29">
        <f t="shared" si="22"/>
        <v>38283.480000000003</v>
      </c>
      <c r="M25" s="58"/>
    </row>
    <row r="26" spans="1:13" ht="18.75" customHeight="1" x14ac:dyDescent="0.25">
      <c r="A26" s="35" t="s">
        <v>37</v>
      </c>
      <c r="B26" s="34" t="s">
        <v>107</v>
      </c>
      <c r="C26" s="33" t="s">
        <v>36</v>
      </c>
      <c r="D26" s="32">
        <f>99.55+15.49+114.44+58.07+13.18+121.33+29.59</f>
        <v>451.65</v>
      </c>
      <c r="E26" s="31"/>
      <c r="F26" s="29"/>
      <c r="G26" s="29"/>
      <c r="H26" s="92">
        <v>71.25</v>
      </c>
      <c r="I26" s="29">
        <f t="shared" ref="I26:I27" si="23">ROUND(H26*D26,2)</f>
        <v>32180.06</v>
      </c>
      <c r="J26" s="29">
        <f t="shared" ref="J26:J27" si="24">ROUND(I26*1.2,2)</f>
        <v>38616.07</v>
      </c>
      <c r="K26" s="30">
        <f t="shared" si="21"/>
        <v>32180.06</v>
      </c>
      <c r="L26" s="29">
        <f t="shared" si="22"/>
        <v>38616.07</v>
      </c>
      <c r="M26" s="58"/>
    </row>
    <row r="27" spans="1:13" ht="18.75" customHeight="1" x14ac:dyDescent="0.25">
      <c r="A27" s="35" t="s">
        <v>42</v>
      </c>
      <c r="B27" s="34" t="s">
        <v>191</v>
      </c>
      <c r="C27" s="33" t="s">
        <v>36</v>
      </c>
      <c r="D27" s="32">
        <f>55.34+8.16</f>
        <v>63.5</v>
      </c>
      <c r="E27" s="31"/>
      <c r="F27" s="29"/>
      <c r="G27" s="29"/>
      <c r="H27" s="92">
        <v>84.55</v>
      </c>
      <c r="I27" s="29">
        <f t="shared" si="23"/>
        <v>5368.93</v>
      </c>
      <c r="J27" s="29">
        <f t="shared" si="24"/>
        <v>6442.72</v>
      </c>
      <c r="K27" s="30">
        <f t="shared" si="21"/>
        <v>5368.93</v>
      </c>
      <c r="L27" s="29">
        <f t="shared" si="22"/>
        <v>6442.72</v>
      </c>
      <c r="M27" s="58"/>
    </row>
    <row r="28" spans="1:13" ht="18.75" customHeight="1" x14ac:dyDescent="0.25">
      <c r="A28" s="55">
        <f>A24+1</f>
        <v>9</v>
      </c>
      <c r="B28" s="47" t="s">
        <v>66</v>
      </c>
      <c r="C28" s="46" t="s">
        <v>33</v>
      </c>
      <c r="D28" s="48">
        <v>55.84</v>
      </c>
      <c r="E28" s="27">
        <f>144.4</f>
        <v>144.4</v>
      </c>
      <c r="F28" s="39">
        <f t="shared" ref="F28" si="25">ROUND(E28*D28,2)</f>
        <v>8063.3</v>
      </c>
      <c r="G28" s="39">
        <f t="shared" si="10"/>
        <v>9675.9599999999991</v>
      </c>
      <c r="H28" s="38"/>
      <c r="I28" s="37"/>
      <c r="J28" s="37"/>
      <c r="K28" s="25">
        <f t="shared" si="21"/>
        <v>8063.3</v>
      </c>
      <c r="L28" s="24">
        <f t="shared" si="22"/>
        <v>9675.9599999999991</v>
      </c>
      <c r="M28" s="71"/>
    </row>
    <row r="29" spans="1:13" ht="18.75" customHeight="1" x14ac:dyDescent="0.25">
      <c r="A29" s="35" t="s">
        <v>10</v>
      </c>
      <c r="B29" s="34" t="s">
        <v>102</v>
      </c>
      <c r="C29" s="33" t="s">
        <v>36</v>
      </c>
      <c r="D29" s="100">
        <f>D28*0.15*2</f>
        <v>16.751999999999999</v>
      </c>
      <c r="E29" s="31"/>
      <c r="F29" s="29"/>
      <c r="G29" s="29"/>
      <c r="H29" s="92">
        <v>149.15</v>
      </c>
      <c r="I29" s="29">
        <f t="shared" ref="I29" si="26">ROUND(H29*D29,2)</f>
        <v>2498.56</v>
      </c>
      <c r="J29" s="29">
        <f t="shared" ref="J29" si="27">ROUND(I29*1.2,2)</f>
        <v>2998.27</v>
      </c>
      <c r="K29" s="30">
        <f t="shared" si="21"/>
        <v>2498.56</v>
      </c>
      <c r="L29" s="29">
        <f t="shared" si="22"/>
        <v>2998.27</v>
      </c>
      <c r="M29" s="58"/>
    </row>
    <row r="30" spans="1:13" ht="18.75" customHeight="1" x14ac:dyDescent="0.25">
      <c r="A30" s="55">
        <f>A28+1</f>
        <v>10</v>
      </c>
      <c r="B30" s="47" t="s">
        <v>67</v>
      </c>
      <c r="C30" s="46" t="s">
        <v>33</v>
      </c>
      <c r="D30" s="48">
        <v>55.84</v>
      </c>
      <c r="E30" s="27">
        <f>144.4</f>
        <v>144.4</v>
      </c>
      <c r="F30" s="39">
        <f t="shared" ref="F30" si="28">ROUND(E30*D30,2)</f>
        <v>8063.3</v>
      </c>
      <c r="G30" s="39">
        <f t="shared" si="10"/>
        <v>9675.9599999999991</v>
      </c>
      <c r="H30" s="38"/>
      <c r="I30" s="37"/>
      <c r="J30" s="37"/>
      <c r="K30" s="25">
        <f t="shared" si="21"/>
        <v>8063.3</v>
      </c>
      <c r="L30" s="24">
        <f t="shared" si="22"/>
        <v>9675.9599999999991</v>
      </c>
      <c r="M30" s="71"/>
    </row>
    <row r="31" spans="1:13" ht="18.75" customHeight="1" x14ac:dyDescent="0.25">
      <c r="A31" s="35" t="s">
        <v>87</v>
      </c>
      <c r="B31" s="34" t="s">
        <v>103</v>
      </c>
      <c r="C31" s="33" t="s">
        <v>36</v>
      </c>
      <c r="D31" s="100">
        <f>D30*0.32</f>
        <v>17.8688</v>
      </c>
      <c r="E31" s="31"/>
      <c r="F31" s="29"/>
      <c r="G31" s="29"/>
      <c r="H31" s="92">
        <v>165.29999999999998</v>
      </c>
      <c r="I31" s="29">
        <f t="shared" ref="I31" si="29">ROUND(H31*D31,2)</f>
        <v>2953.71</v>
      </c>
      <c r="J31" s="29">
        <f t="shared" ref="J31" si="30">ROUND(I31*1.2,2)</f>
        <v>3544.45</v>
      </c>
      <c r="K31" s="30">
        <f t="shared" si="21"/>
        <v>2953.71</v>
      </c>
      <c r="L31" s="29">
        <f t="shared" si="22"/>
        <v>3544.45</v>
      </c>
      <c r="M31" s="58"/>
    </row>
    <row r="32" spans="1:13" ht="18.75" customHeight="1" x14ac:dyDescent="0.25">
      <c r="A32" s="55"/>
      <c r="B32" s="74" t="s">
        <v>198</v>
      </c>
      <c r="C32" s="75"/>
      <c r="D32" s="89"/>
      <c r="E32" s="27"/>
      <c r="F32" s="39"/>
      <c r="G32" s="39"/>
      <c r="H32" s="38"/>
      <c r="I32" s="37"/>
      <c r="J32" s="37"/>
      <c r="K32" s="25"/>
      <c r="L32" s="24"/>
      <c r="M32" s="71"/>
    </row>
    <row r="33" spans="1:13" ht="18.75" customHeight="1" x14ac:dyDescent="0.25">
      <c r="A33" s="55">
        <f>A30+1</f>
        <v>11</v>
      </c>
      <c r="B33" s="47" t="s">
        <v>197</v>
      </c>
      <c r="C33" s="75" t="s">
        <v>15</v>
      </c>
      <c r="D33" s="89">
        <v>0.71052999999999999</v>
      </c>
      <c r="E33" s="27">
        <v>70289.55</v>
      </c>
      <c r="F33" s="39">
        <f t="shared" ref="F33" si="31">ROUND(E33*D33,2)</f>
        <v>49942.83</v>
      </c>
      <c r="G33" s="39">
        <f t="shared" si="10"/>
        <v>59931.4</v>
      </c>
      <c r="H33" s="38"/>
      <c r="I33" s="37"/>
      <c r="J33" s="37"/>
      <c r="K33" s="25">
        <f t="shared" ref="K33:K40" si="32">F33+I33</f>
        <v>49942.83</v>
      </c>
      <c r="L33" s="24">
        <f t="shared" ref="L33:L40" si="33">G33+J33</f>
        <v>59931.4</v>
      </c>
      <c r="M33" s="71"/>
    </row>
    <row r="34" spans="1:13" ht="18.75" customHeight="1" x14ac:dyDescent="0.25">
      <c r="A34" s="35" t="s">
        <v>12</v>
      </c>
      <c r="B34" s="34" t="s">
        <v>190</v>
      </c>
      <c r="C34" s="33" t="s">
        <v>36</v>
      </c>
      <c r="D34" s="78">
        <f>176.32+153.12+6.96</f>
        <v>336.4</v>
      </c>
      <c r="E34" s="31"/>
      <c r="F34" s="29"/>
      <c r="G34" s="29"/>
      <c r="H34" s="31">
        <v>71.25</v>
      </c>
      <c r="I34" s="29">
        <f>ROUND(H34*D34,2)</f>
        <v>23968.5</v>
      </c>
      <c r="J34" s="29">
        <f>ROUND(I34*1.2,2)</f>
        <v>28762.2</v>
      </c>
      <c r="K34" s="30">
        <f t="shared" si="32"/>
        <v>23968.5</v>
      </c>
      <c r="L34" s="29">
        <f t="shared" si="33"/>
        <v>28762.2</v>
      </c>
      <c r="M34" s="58"/>
    </row>
    <row r="35" spans="1:13" ht="18.75" customHeight="1" x14ac:dyDescent="0.25">
      <c r="A35" s="35" t="s">
        <v>37</v>
      </c>
      <c r="B35" s="34" t="s">
        <v>107</v>
      </c>
      <c r="C35" s="33" t="s">
        <v>36</v>
      </c>
      <c r="D35" s="32">
        <f>76.13+15.49+81.74+44.41+13.18+71.37+23.67</f>
        <v>325.99</v>
      </c>
      <c r="E35" s="31"/>
      <c r="F35" s="29"/>
      <c r="G35" s="29"/>
      <c r="H35" s="92">
        <v>71.25</v>
      </c>
      <c r="I35" s="29">
        <f t="shared" ref="I35:I36" si="34">ROUND(H35*D35,2)</f>
        <v>23226.79</v>
      </c>
      <c r="J35" s="29">
        <f t="shared" ref="J35:J36" si="35">ROUND(I35*1.2,2)</f>
        <v>27872.15</v>
      </c>
      <c r="K35" s="30">
        <f t="shared" si="32"/>
        <v>23226.79</v>
      </c>
      <c r="L35" s="29">
        <f t="shared" si="33"/>
        <v>27872.15</v>
      </c>
      <c r="M35" s="58"/>
    </row>
    <row r="36" spans="1:13" ht="18.75" customHeight="1" x14ac:dyDescent="0.25">
      <c r="A36" s="35" t="s">
        <v>42</v>
      </c>
      <c r="B36" s="34" t="s">
        <v>191</v>
      </c>
      <c r="C36" s="33" t="s">
        <v>36</v>
      </c>
      <c r="D36" s="32">
        <f>41.61+6.53</f>
        <v>48.14</v>
      </c>
      <c r="E36" s="31"/>
      <c r="F36" s="29"/>
      <c r="G36" s="29"/>
      <c r="H36" s="92">
        <v>84.55</v>
      </c>
      <c r="I36" s="29">
        <f t="shared" si="34"/>
        <v>4070.24</v>
      </c>
      <c r="J36" s="29">
        <f t="shared" si="35"/>
        <v>4884.29</v>
      </c>
      <c r="K36" s="30">
        <f t="shared" si="32"/>
        <v>4070.24</v>
      </c>
      <c r="L36" s="29">
        <f t="shared" si="33"/>
        <v>4884.29</v>
      </c>
      <c r="M36" s="58"/>
    </row>
    <row r="37" spans="1:13" ht="18.75" customHeight="1" x14ac:dyDescent="0.25">
      <c r="A37" s="55">
        <f>A33+1</f>
        <v>12</v>
      </c>
      <c r="B37" s="47" t="s">
        <v>66</v>
      </c>
      <c r="C37" s="46" t="s">
        <v>33</v>
      </c>
      <c r="D37" s="48">
        <v>41.05</v>
      </c>
      <c r="E37" s="27">
        <f>144.4</f>
        <v>144.4</v>
      </c>
      <c r="F37" s="39">
        <f t="shared" ref="F37" si="36">ROUND(E37*D37,2)</f>
        <v>5927.62</v>
      </c>
      <c r="G37" s="39">
        <f t="shared" si="10"/>
        <v>7113.14</v>
      </c>
      <c r="H37" s="38"/>
      <c r="I37" s="37"/>
      <c r="J37" s="37"/>
      <c r="K37" s="25">
        <f t="shared" si="32"/>
        <v>5927.62</v>
      </c>
      <c r="L37" s="24">
        <f t="shared" si="33"/>
        <v>7113.14</v>
      </c>
      <c r="M37" s="71"/>
    </row>
    <row r="38" spans="1:13" ht="18.75" customHeight="1" x14ac:dyDescent="0.25">
      <c r="A38" s="35" t="s">
        <v>10</v>
      </c>
      <c r="B38" s="34" t="s">
        <v>102</v>
      </c>
      <c r="C38" s="33" t="s">
        <v>36</v>
      </c>
      <c r="D38" s="100">
        <f>D37*0.15*2</f>
        <v>12.315</v>
      </c>
      <c r="E38" s="31"/>
      <c r="F38" s="29"/>
      <c r="G38" s="29"/>
      <c r="H38" s="92">
        <v>149.15</v>
      </c>
      <c r="I38" s="29">
        <f t="shared" ref="I38" si="37">ROUND(H38*D38,2)</f>
        <v>1836.78</v>
      </c>
      <c r="J38" s="29">
        <f t="shared" ref="J38" si="38">ROUND(I38*1.2,2)</f>
        <v>2204.14</v>
      </c>
      <c r="K38" s="30">
        <f t="shared" si="32"/>
        <v>1836.78</v>
      </c>
      <c r="L38" s="29">
        <f t="shared" si="33"/>
        <v>2204.14</v>
      </c>
      <c r="M38" s="58"/>
    </row>
    <row r="39" spans="1:13" ht="18.75" customHeight="1" x14ac:dyDescent="0.25">
      <c r="A39" s="55">
        <f>A37+1</f>
        <v>13</v>
      </c>
      <c r="B39" s="47" t="s">
        <v>67</v>
      </c>
      <c r="C39" s="46" t="s">
        <v>33</v>
      </c>
      <c r="D39" s="48">
        <v>41.05</v>
      </c>
      <c r="E39" s="27">
        <f>144.4</f>
        <v>144.4</v>
      </c>
      <c r="F39" s="39">
        <f t="shared" ref="F39" si="39">ROUND(E39*D39,2)</f>
        <v>5927.62</v>
      </c>
      <c r="G39" s="39">
        <f t="shared" si="10"/>
        <v>7113.14</v>
      </c>
      <c r="H39" s="38"/>
      <c r="I39" s="37"/>
      <c r="J39" s="37"/>
      <c r="K39" s="25">
        <f t="shared" si="32"/>
        <v>5927.62</v>
      </c>
      <c r="L39" s="24">
        <f t="shared" si="33"/>
        <v>7113.14</v>
      </c>
      <c r="M39" s="71"/>
    </row>
    <row r="40" spans="1:13" ht="18.75" customHeight="1" x14ac:dyDescent="0.25">
      <c r="A40" s="35" t="s">
        <v>87</v>
      </c>
      <c r="B40" s="34" t="s">
        <v>103</v>
      </c>
      <c r="C40" s="33" t="s">
        <v>36</v>
      </c>
      <c r="D40" s="100">
        <f>D39*0.32</f>
        <v>13.135999999999999</v>
      </c>
      <c r="E40" s="31"/>
      <c r="F40" s="29"/>
      <c r="G40" s="29"/>
      <c r="H40" s="92">
        <v>165.29999999999998</v>
      </c>
      <c r="I40" s="29">
        <f t="shared" ref="I40" si="40">ROUND(H40*D40,2)</f>
        <v>2171.38</v>
      </c>
      <c r="J40" s="29">
        <f t="shared" ref="J40" si="41">ROUND(I40*1.2,2)</f>
        <v>2605.66</v>
      </c>
      <c r="K40" s="30">
        <f t="shared" si="32"/>
        <v>2171.38</v>
      </c>
      <c r="L40" s="29">
        <f t="shared" si="33"/>
        <v>2605.66</v>
      </c>
      <c r="M40" s="58"/>
    </row>
    <row r="41" spans="1:13" s="21" customFormat="1" ht="23.25" customHeight="1" x14ac:dyDescent="0.3">
      <c r="A41" s="134" t="s">
        <v>8</v>
      </c>
      <c r="B41" s="135"/>
      <c r="C41" s="135"/>
      <c r="D41" s="135"/>
      <c r="E41" s="136"/>
      <c r="F41" s="22">
        <f>SUM(F8:F40)</f>
        <v>354117.30999999994</v>
      </c>
      <c r="G41" s="22">
        <f>ROUND(F41*1.2,2)</f>
        <v>424940.77</v>
      </c>
      <c r="H41" s="23"/>
      <c r="I41" s="22">
        <f>SUM(I8:I40)</f>
        <v>147458.82</v>
      </c>
      <c r="J41" s="22">
        <f>ROUND(I41*1.2,2)</f>
        <v>176950.58</v>
      </c>
      <c r="K41" s="22">
        <f>SUM(K8:K40)</f>
        <v>501576.13</v>
      </c>
      <c r="L41" s="22">
        <f>ROUND(K41*1.2,2)</f>
        <v>601891.36</v>
      </c>
    </row>
  </sheetData>
  <mergeCells count="10">
    <mergeCell ref="B6:D6"/>
    <mergeCell ref="A41:E4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F2DA-210C-4F7A-B9BC-F3253BFDE5C6}">
  <sheetPr>
    <tabColor theme="9" tint="0.79998168889431442"/>
  </sheetPr>
  <dimension ref="A1:M23"/>
  <sheetViews>
    <sheetView view="pageBreakPreview" zoomScale="80" zoomScaleNormal="100" zoomScaleSheetLayoutView="80" workbookViewId="0">
      <selection activeCell="F15" sqref="F15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7" customWidth="1"/>
    <col min="8" max="8" width="16.140625" style="117" customWidth="1"/>
    <col min="9" max="10" width="16.140625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137" t="s">
        <v>7</v>
      </c>
      <c r="B1" s="140" t="s">
        <v>30</v>
      </c>
      <c r="C1" s="143" t="s">
        <v>29</v>
      </c>
      <c r="D1" s="143" t="s">
        <v>28</v>
      </c>
      <c r="E1" s="144" t="s">
        <v>27</v>
      </c>
      <c r="F1" s="145"/>
      <c r="G1" s="145"/>
      <c r="H1" s="145"/>
      <c r="I1" s="145"/>
      <c r="J1" s="145"/>
      <c r="K1" s="145"/>
      <c r="L1" s="145"/>
    </row>
    <row r="2" spans="1:13" ht="14.45" customHeight="1" x14ac:dyDescent="0.25">
      <c r="A2" s="138"/>
      <c r="B2" s="141"/>
      <c r="C2" s="143"/>
      <c r="D2" s="143"/>
      <c r="E2" s="146"/>
      <c r="F2" s="147"/>
      <c r="G2" s="147"/>
      <c r="H2" s="147"/>
      <c r="I2" s="147"/>
      <c r="J2" s="147"/>
      <c r="K2" s="147"/>
      <c r="L2" s="147"/>
    </row>
    <row r="3" spans="1:13" ht="27.75" customHeight="1" x14ac:dyDescent="0.25">
      <c r="A3" s="138"/>
      <c r="B3" s="141"/>
      <c r="C3" s="143"/>
      <c r="D3" s="143"/>
      <c r="E3" s="143" t="s">
        <v>26</v>
      </c>
      <c r="F3" s="143"/>
      <c r="G3" s="143"/>
      <c r="H3" s="143" t="s">
        <v>25</v>
      </c>
      <c r="I3" s="143"/>
      <c r="J3" s="143"/>
      <c r="K3" s="148" t="s">
        <v>24</v>
      </c>
      <c r="L3" s="148"/>
    </row>
    <row r="4" spans="1:13" ht="56.1" customHeight="1" x14ac:dyDescent="0.25">
      <c r="A4" s="139"/>
      <c r="B4" s="142"/>
      <c r="C4" s="143"/>
      <c r="D4" s="143"/>
      <c r="E4" s="105" t="s">
        <v>23</v>
      </c>
      <c r="F4" s="105" t="s">
        <v>22</v>
      </c>
      <c r="G4" s="107" t="s">
        <v>21</v>
      </c>
      <c r="H4" s="105" t="s">
        <v>23</v>
      </c>
      <c r="I4" s="105" t="s">
        <v>22</v>
      </c>
      <c r="J4" s="107" t="s">
        <v>21</v>
      </c>
      <c r="K4" s="105" t="s">
        <v>20</v>
      </c>
      <c r="L4" s="10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132" t="s">
        <v>50</v>
      </c>
      <c r="C6" s="133"/>
      <c r="D6" s="133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103" t="s">
        <v>199</v>
      </c>
      <c r="C7" s="104"/>
      <c r="D7" s="104"/>
      <c r="E7" s="61"/>
      <c r="F7" s="60"/>
      <c r="G7" s="59"/>
      <c r="H7" s="59"/>
      <c r="I7" s="59"/>
      <c r="J7" s="59"/>
      <c r="K7" s="59"/>
      <c r="L7" s="59"/>
    </row>
    <row r="8" spans="1:13" ht="18.75" customHeight="1" x14ac:dyDescent="0.25">
      <c r="A8" s="55">
        <v>1</v>
      </c>
      <c r="B8" s="47" t="s">
        <v>200</v>
      </c>
      <c r="C8" s="46" t="s">
        <v>201</v>
      </c>
      <c r="D8" s="45">
        <v>4</v>
      </c>
      <c r="E8" s="118">
        <v>731.02499999999998</v>
      </c>
      <c r="F8" s="110">
        <f t="shared" ref="F8" si="0">ROUND(E8*D8,2)</f>
        <v>2924.1</v>
      </c>
      <c r="G8" s="110">
        <f t="shared" ref="G8:G18" si="1">ROUND(F8*1.2,2)</f>
        <v>3508.92</v>
      </c>
      <c r="H8" s="109"/>
      <c r="I8" s="24"/>
      <c r="J8" s="24"/>
      <c r="K8" s="25">
        <f t="shared" ref="K8:L8" si="2">F8+I8</f>
        <v>2924.1</v>
      </c>
      <c r="L8" s="24">
        <f t="shared" si="2"/>
        <v>3508.92</v>
      </c>
      <c r="M8" s="111"/>
    </row>
    <row r="9" spans="1:13" ht="18.75" customHeight="1" x14ac:dyDescent="0.25">
      <c r="A9" s="55">
        <f>A8+1</f>
        <v>2</v>
      </c>
      <c r="B9" s="47" t="s">
        <v>202</v>
      </c>
      <c r="C9" s="46" t="s">
        <v>11</v>
      </c>
      <c r="D9" s="45">
        <v>32</v>
      </c>
      <c r="E9" s="25">
        <v>292.94</v>
      </c>
      <c r="F9" s="110">
        <f t="shared" ref="F9" si="3">ROUND(E9*D9,2)</f>
        <v>9374.08</v>
      </c>
      <c r="G9" s="110">
        <f t="shared" si="1"/>
        <v>11248.9</v>
      </c>
      <c r="H9" s="109"/>
      <c r="I9" s="24"/>
      <c r="J9" s="24"/>
      <c r="K9" s="25">
        <f t="shared" ref="K9" si="4">F9+I9</f>
        <v>9374.08</v>
      </c>
      <c r="L9" s="24">
        <f t="shared" ref="L9" si="5">G9+J9</f>
        <v>11248.9</v>
      </c>
      <c r="M9" s="111"/>
    </row>
    <row r="10" spans="1:13" ht="27" customHeight="1" x14ac:dyDescent="0.25">
      <c r="A10" s="55">
        <f>A9+1</f>
        <v>3</v>
      </c>
      <c r="B10" s="47" t="s">
        <v>203</v>
      </c>
      <c r="C10" s="46" t="s">
        <v>11</v>
      </c>
      <c r="D10" s="45">
        <v>32</v>
      </c>
      <c r="E10" s="25">
        <v>249.57</v>
      </c>
      <c r="F10" s="110">
        <f t="shared" ref="F10" si="6">ROUND(E10*D10,2)</f>
        <v>7986.24</v>
      </c>
      <c r="G10" s="110">
        <f t="shared" si="1"/>
        <v>9583.49</v>
      </c>
      <c r="H10" s="109"/>
      <c r="I10" s="24"/>
      <c r="J10" s="24"/>
      <c r="K10" s="25">
        <f t="shared" ref="K10" si="7">F10+I10</f>
        <v>7986.24</v>
      </c>
      <c r="L10" s="24">
        <f t="shared" ref="L10" si="8">G10+J10</f>
        <v>9583.49</v>
      </c>
      <c r="M10" s="111"/>
    </row>
    <row r="11" spans="1:13" ht="18.75" customHeight="1" x14ac:dyDescent="0.25">
      <c r="A11" s="35" t="s">
        <v>18</v>
      </c>
      <c r="B11" s="34" t="s">
        <v>204</v>
      </c>
      <c r="C11" s="33" t="s">
        <v>36</v>
      </c>
      <c r="D11" s="78">
        <v>10.62</v>
      </c>
      <c r="E11" s="31"/>
      <c r="F11" s="68"/>
      <c r="G11" s="68"/>
      <c r="H11" s="112">
        <v>74.599999999999994</v>
      </c>
      <c r="I11" s="68">
        <f>ROUND(H11*D11,2)</f>
        <v>792.25</v>
      </c>
      <c r="J11" s="68">
        <f>ROUND(I11*1.2,2)</f>
        <v>950.7</v>
      </c>
      <c r="K11" s="84">
        <f t="shared" ref="K11:K18" si="9">F11+I11</f>
        <v>792.25</v>
      </c>
      <c r="L11" s="68">
        <f t="shared" ref="L11:L18" si="10">G11+J11</f>
        <v>950.7</v>
      </c>
    </row>
    <row r="12" spans="1:13" ht="18.75" customHeight="1" x14ac:dyDescent="0.25">
      <c r="A12" s="35" t="s">
        <v>162</v>
      </c>
      <c r="B12" s="34" t="s">
        <v>205</v>
      </c>
      <c r="C12" s="33" t="s">
        <v>206</v>
      </c>
      <c r="D12" s="41">
        <v>4</v>
      </c>
      <c r="E12" s="31"/>
      <c r="F12" s="68"/>
      <c r="G12" s="68"/>
      <c r="H12" s="112">
        <v>3601</v>
      </c>
      <c r="I12" s="68">
        <f t="shared" ref="I12" si="11">ROUND(H12*D12,2)</f>
        <v>14404</v>
      </c>
      <c r="J12" s="68">
        <f t="shared" ref="J12" si="12">ROUND(I12*1.2,2)</f>
        <v>17284.8</v>
      </c>
      <c r="K12" s="84">
        <f t="shared" si="9"/>
        <v>14404</v>
      </c>
      <c r="L12" s="68">
        <f t="shared" si="10"/>
        <v>17284.8</v>
      </c>
    </row>
    <row r="13" spans="1:13" ht="18.75" customHeight="1" x14ac:dyDescent="0.25">
      <c r="A13" s="55">
        <f>A10+1</f>
        <v>4</v>
      </c>
      <c r="B13" s="47" t="s">
        <v>62</v>
      </c>
      <c r="C13" s="46" t="s">
        <v>15</v>
      </c>
      <c r="D13" s="89">
        <f>(27.69)/1000</f>
        <v>2.7690000000000003E-2</v>
      </c>
      <c r="E13" s="27">
        <v>70289.55</v>
      </c>
      <c r="F13" s="110">
        <f t="shared" ref="F13" si="13">ROUND(E13*D13,2)</f>
        <v>1946.32</v>
      </c>
      <c r="G13" s="110">
        <f t="shared" si="1"/>
        <v>2335.58</v>
      </c>
      <c r="H13" s="109"/>
      <c r="I13" s="24"/>
      <c r="J13" s="24"/>
      <c r="K13" s="25">
        <f t="shared" si="9"/>
        <v>1946.32</v>
      </c>
      <c r="L13" s="24">
        <f t="shared" si="10"/>
        <v>2335.58</v>
      </c>
      <c r="M13" s="111"/>
    </row>
    <row r="14" spans="1:13" ht="18.75" customHeight="1" x14ac:dyDescent="0.25">
      <c r="A14" s="35" t="s">
        <v>168</v>
      </c>
      <c r="B14" s="34" t="s">
        <v>207</v>
      </c>
      <c r="C14" s="33" t="s">
        <v>36</v>
      </c>
      <c r="D14" s="32">
        <v>27.69</v>
      </c>
      <c r="E14" s="31"/>
      <c r="F14" s="68"/>
      <c r="G14" s="68"/>
      <c r="H14" s="31">
        <v>84.55</v>
      </c>
      <c r="I14" s="68">
        <f>ROUND(H14*D14,2)</f>
        <v>2341.19</v>
      </c>
      <c r="J14" s="68">
        <f>ROUND(I14*1.2,2)</f>
        <v>2809.43</v>
      </c>
      <c r="K14" s="84">
        <f t="shared" si="9"/>
        <v>2341.19</v>
      </c>
      <c r="L14" s="68">
        <f t="shared" si="10"/>
        <v>2809.43</v>
      </c>
    </row>
    <row r="15" spans="1:13" ht="30.75" customHeight="1" x14ac:dyDescent="0.25">
      <c r="A15" s="55">
        <f>A13+1</f>
        <v>5</v>
      </c>
      <c r="B15" s="47" t="s">
        <v>208</v>
      </c>
      <c r="C15" s="46" t="s">
        <v>11</v>
      </c>
      <c r="D15" s="45">
        <v>32</v>
      </c>
      <c r="E15" s="25">
        <v>292.94</v>
      </c>
      <c r="F15" s="110">
        <f t="shared" ref="F15:F18" si="14">ROUND(E15*D15,2)</f>
        <v>9374.08</v>
      </c>
      <c r="G15" s="110">
        <f t="shared" si="1"/>
        <v>11248.9</v>
      </c>
      <c r="H15" s="109"/>
      <c r="I15" s="24"/>
      <c r="J15" s="24"/>
      <c r="K15" s="25">
        <f t="shared" si="9"/>
        <v>9374.08</v>
      </c>
      <c r="L15" s="24">
        <f t="shared" si="10"/>
        <v>11248.9</v>
      </c>
      <c r="M15" s="111"/>
    </row>
    <row r="16" spans="1:13" ht="18.75" customHeight="1" x14ac:dyDescent="0.25">
      <c r="A16" s="55">
        <f>A15+1</f>
        <v>6</v>
      </c>
      <c r="B16" s="47" t="s">
        <v>209</v>
      </c>
      <c r="C16" s="46" t="s">
        <v>11</v>
      </c>
      <c r="D16" s="45">
        <v>8</v>
      </c>
      <c r="E16" s="44">
        <v>300</v>
      </c>
      <c r="F16" s="110">
        <f t="shared" si="14"/>
        <v>2400</v>
      </c>
      <c r="G16" s="110">
        <f t="shared" si="1"/>
        <v>2880</v>
      </c>
      <c r="H16" s="109"/>
      <c r="I16" s="24"/>
      <c r="J16" s="24"/>
      <c r="K16" s="25">
        <f t="shared" si="9"/>
        <v>2400</v>
      </c>
      <c r="L16" s="24">
        <f t="shared" si="10"/>
        <v>2880</v>
      </c>
      <c r="M16" s="111"/>
    </row>
    <row r="17" spans="1:13" ht="18.75" customHeight="1" x14ac:dyDescent="0.25">
      <c r="A17" s="55">
        <f t="shared" ref="A17:A19" si="15">A16+1</f>
        <v>7</v>
      </c>
      <c r="B17" s="47" t="s">
        <v>210</v>
      </c>
      <c r="C17" s="46" t="s">
        <v>11</v>
      </c>
      <c r="D17" s="45">
        <v>32</v>
      </c>
      <c r="E17" s="44">
        <v>750.33</v>
      </c>
      <c r="F17" s="110">
        <f t="shared" si="14"/>
        <v>24010.560000000001</v>
      </c>
      <c r="G17" s="110">
        <f t="shared" si="1"/>
        <v>28812.67</v>
      </c>
      <c r="H17" s="109"/>
      <c r="I17" s="24"/>
      <c r="J17" s="24"/>
      <c r="K17" s="25">
        <f t="shared" si="9"/>
        <v>24010.560000000001</v>
      </c>
      <c r="L17" s="24">
        <f t="shared" si="10"/>
        <v>28812.67</v>
      </c>
      <c r="M17" s="111"/>
    </row>
    <row r="18" spans="1:13" ht="32.25" customHeight="1" x14ac:dyDescent="0.25">
      <c r="A18" s="55">
        <f t="shared" si="15"/>
        <v>8</v>
      </c>
      <c r="B18" s="47" t="s">
        <v>211</v>
      </c>
      <c r="C18" s="46" t="s">
        <v>11</v>
      </c>
      <c r="D18" s="45">
        <v>8</v>
      </c>
      <c r="E18" s="44">
        <v>1950.33</v>
      </c>
      <c r="F18" s="110">
        <f t="shared" si="14"/>
        <v>15602.64</v>
      </c>
      <c r="G18" s="110">
        <f t="shared" si="1"/>
        <v>18723.169999999998</v>
      </c>
      <c r="H18" s="109"/>
      <c r="I18" s="24"/>
      <c r="J18" s="24"/>
      <c r="K18" s="25">
        <f t="shared" si="9"/>
        <v>15602.64</v>
      </c>
      <c r="L18" s="24">
        <f t="shared" si="10"/>
        <v>18723.169999999998</v>
      </c>
      <c r="M18" s="111"/>
    </row>
    <row r="19" spans="1:13" ht="18.75" customHeight="1" x14ac:dyDescent="0.25">
      <c r="A19" s="55">
        <f t="shared" si="15"/>
        <v>9</v>
      </c>
      <c r="B19" s="47" t="s">
        <v>66</v>
      </c>
      <c r="C19" s="46" t="s">
        <v>33</v>
      </c>
      <c r="D19" s="48">
        <v>0.28000000000000003</v>
      </c>
      <c r="E19" s="27">
        <f>144.4</f>
        <v>144.4</v>
      </c>
      <c r="F19" s="110">
        <f t="shared" ref="F19" si="16">ROUND(E19*D19,2)</f>
        <v>40.43</v>
      </c>
      <c r="G19" s="110">
        <f t="shared" ref="G19:G21" si="17">ROUND(F19*1.2,2)</f>
        <v>48.52</v>
      </c>
      <c r="H19" s="109"/>
      <c r="I19" s="24"/>
      <c r="J19" s="24"/>
      <c r="K19" s="25">
        <f t="shared" ref="K19:L22" si="18">F19+I19</f>
        <v>40.43</v>
      </c>
      <c r="L19" s="24">
        <f t="shared" si="18"/>
        <v>48.52</v>
      </c>
      <c r="M19" s="111"/>
    </row>
    <row r="20" spans="1:13" ht="18.75" customHeight="1" x14ac:dyDescent="0.25">
      <c r="A20" s="35" t="s">
        <v>10</v>
      </c>
      <c r="B20" s="34" t="s">
        <v>102</v>
      </c>
      <c r="C20" s="33" t="s">
        <v>36</v>
      </c>
      <c r="D20" s="100">
        <f>D19*0.15*2</f>
        <v>8.4000000000000005E-2</v>
      </c>
      <c r="E20" s="31"/>
      <c r="F20" s="68"/>
      <c r="G20" s="68"/>
      <c r="H20" s="112">
        <v>149.15</v>
      </c>
      <c r="I20" s="68">
        <f t="shared" ref="I20" si="19">ROUND(H20*D20,2)</f>
        <v>12.53</v>
      </c>
      <c r="J20" s="68">
        <f t="shared" ref="J20" si="20">ROUND(I20*1.2,2)</f>
        <v>15.04</v>
      </c>
      <c r="K20" s="84">
        <f t="shared" si="18"/>
        <v>12.53</v>
      </c>
      <c r="L20" s="68">
        <f t="shared" si="18"/>
        <v>15.04</v>
      </c>
    </row>
    <row r="21" spans="1:13" ht="18.75" customHeight="1" x14ac:dyDescent="0.25">
      <c r="A21" s="55">
        <f>A19+1</f>
        <v>10</v>
      </c>
      <c r="B21" s="47" t="s">
        <v>67</v>
      </c>
      <c r="C21" s="46" t="s">
        <v>33</v>
      </c>
      <c r="D21" s="48">
        <v>0.28000000000000003</v>
      </c>
      <c r="E21" s="27">
        <f>144.4</f>
        <v>144.4</v>
      </c>
      <c r="F21" s="110">
        <f t="shared" ref="F21" si="21">ROUND(E21*D21,2)</f>
        <v>40.43</v>
      </c>
      <c r="G21" s="110">
        <f t="shared" si="17"/>
        <v>48.52</v>
      </c>
      <c r="H21" s="109"/>
      <c r="I21" s="24"/>
      <c r="J21" s="24"/>
      <c r="K21" s="25">
        <f t="shared" si="18"/>
        <v>40.43</v>
      </c>
      <c r="L21" s="24">
        <f t="shared" si="18"/>
        <v>48.52</v>
      </c>
      <c r="M21" s="111"/>
    </row>
    <row r="22" spans="1:13" ht="18.75" customHeight="1" x14ac:dyDescent="0.25">
      <c r="A22" s="35" t="s">
        <v>87</v>
      </c>
      <c r="B22" s="34" t="s">
        <v>103</v>
      </c>
      <c r="C22" s="33" t="s">
        <v>36</v>
      </c>
      <c r="D22" s="100">
        <f>D21*0.32</f>
        <v>8.9600000000000013E-2</v>
      </c>
      <c r="E22" s="31"/>
      <c r="F22" s="68"/>
      <c r="G22" s="68"/>
      <c r="H22" s="112">
        <v>165.29999999999998</v>
      </c>
      <c r="I22" s="68">
        <f t="shared" ref="I22" si="22">ROUND(H22*D22,2)</f>
        <v>14.81</v>
      </c>
      <c r="J22" s="68">
        <f t="shared" ref="J22" si="23">ROUND(I22*1.2,2)</f>
        <v>17.77</v>
      </c>
      <c r="K22" s="84">
        <f t="shared" si="18"/>
        <v>14.81</v>
      </c>
      <c r="L22" s="68">
        <f t="shared" si="18"/>
        <v>17.77</v>
      </c>
    </row>
    <row r="23" spans="1:13" s="116" customFormat="1" ht="23.25" customHeight="1" x14ac:dyDescent="0.3">
      <c r="A23" s="134" t="s">
        <v>8</v>
      </c>
      <c r="B23" s="135"/>
      <c r="C23" s="135"/>
      <c r="D23" s="135"/>
      <c r="E23" s="136"/>
      <c r="F23" s="114">
        <f>SUM(F8:F22)</f>
        <v>73698.87999999999</v>
      </c>
      <c r="G23" s="114">
        <f>ROUND(F23*1.2,2)</f>
        <v>88438.66</v>
      </c>
      <c r="H23" s="115"/>
      <c r="I23" s="114">
        <f>SUM(I8:I22)</f>
        <v>17564.78</v>
      </c>
      <c r="J23" s="114">
        <f>ROUND(I23*1.2,2)</f>
        <v>21077.74</v>
      </c>
      <c r="K23" s="114">
        <f>SUM(K8:K22)</f>
        <v>91263.659999999989</v>
      </c>
      <c r="L23" s="114">
        <f>ROUND(K23*1.2,2)</f>
        <v>109516.39</v>
      </c>
    </row>
  </sheetData>
  <mergeCells count="10">
    <mergeCell ref="B6:D6"/>
    <mergeCell ref="A23:E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A2C6-1516-4E99-86E2-72FD2343B67A}">
  <sheetPr>
    <tabColor theme="5" tint="0.59999389629810485"/>
  </sheetPr>
  <dimension ref="A1:M44"/>
  <sheetViews>
    <sheetView tabSelected="1" view="pageBreakPreview" zoomScale="80" zoomScaleNormal="100" zoomScaleSheetLayoutView="80" workbookViewId="0">
      <selection activeCell="J12" sqref="J12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7" customWidth="1"/>
    <col min="8" max="8" width="16.140625" style="117" customWidth="1"/>
    <col min="9" max="10" width="16.140625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137" t="s">
        <v>7</v>
      </c>
      <c r="B1" s="140" t="s">
        <v>30</v>
      </c>
      <c r="C1" s="143" t="s">
        <v>29</v>
      </c>
      <c r="D1" s="143" t="s">
        <v>28</v>
      </c>
      <c r="E1" s="144" t="s">
        <v>27</v>
      </c>
      <c r="F1" s="145"/>
      <c r="G1" s="145"/>
      <c r="H1" s="145"/>
      <c r="I1" s="145"/>
      <c r="J1" s="145"/>
      <c r="K1" s="145"/>
      <c r="L1" s="145"/>
    </row>
    <row r="2" spans="1:13" ht="14.45" customHeight="1" x14ac:dyDescent="0.25">
      <c r="A2" s="138"/>
      <c r="B2" s="141"/>
      <c r="C2" s="143"/>
      <c r="D2" s="143"/>
      <c r="E2" s="146"/>
      <c r="F2" s="147"/>
      <c r="G2" s="147"/>
      <c r="H2" s="147"/>
      <c r="I2" s="147"/>
      <c r="J2" s="147"/>
      <c r="K2" s="147"/>
      <c r="L2" s="147"/>
    </row>
    <row r="3" spans="1:13" ht="27.75" customHeight="1" x14ac:dyDescent="0.25">
      <c r="A3" s="138"/>
      <c r="B3" s="141"/>
      <c r="C3" s="143"/>
      <c r="D3" s="143"/>
      <c r="E3" s="143" t="s">
        <v>26</v>
      </c>
      <c r="F3" s="143"/>
      <c r="G3" s="143"/>
      <c r="H3" s="143" t="s">
        <v>25</v>
      </c>
      <c r="I3" s="143"/>
      <c r="J3" s="143"/>
      <c r="K3" s="148" t="s">
        <v>24</v>
      </c>
      <c r="L3" s="148"/>
    </row>
    <row r="4" spans="1:13" ht="56.1" customHeight="1" x14ac:dyDescent="0.25">
      <c r="A4" s="139"/>
      <c r="B4" s="142"/>
      <c r="C4" s="143"/>
      <c r="D4" s="143"/>
      <c r="E4" s="105" t="s">
        <v>23</v>
      </c>
      <c r="F4" s="105" t="s">
        <v>22</v>
      </c>
      <c r="G4" s="107" t="s">
        <v>21</v>
      </c>
      <c r="H4" s="105" t="s">
        <v>23</v>
      </c>
      <c r="I4" s="105" t="s">
        <v>22</v>
      </c>
      <c r="J4" s="107" t="s">
        <v>21</v>
      </c>
      <c r="K4" s="105" t="s">
        <v>20</v>
      </c>
      <c r="L4" s="10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132" t="s">
        <v>50</v>
      </c>
      <c r="C6" s="133"/>
      <c r="D6" s="133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103" t="s">
        <v>212</v>
      </c>
      <c r="C7" s="104"/>
      <c r="D7" s="104"/>
      <c r="E7" s="61"/>
      <c r="F7" s="60"/>
      <c r="G7" s="59"/>
      <c r="H7" s="59"/>
      <c r="I7" s="59"/>
      <c r="J7" s="59"/>
      <c r="K7" s="59"/>
      <c r="L7" s="59"/>
    </row>
    <row r="8" spans="1:13" ht="20.25" customHeight="1" x14ac:dyDescent="0.25">
      <c r="A8" s="35"/>
      <c r="B8" s="49" t="s">
        <v>51</v>
      </c>
      <c r="C8" s="85"/>
      <c r="D8" s="85"/>
      <c r="E8" s="86"/>
      <c r="F8" s="52"/>
      <c r="G8" s="108"/>
      <c r="H8" s="109"/>
      <c r="I8" s="24"/>
      <c r="J8" s="24"/>
      <c r="K8" s="25"/>
      <c r="L8" s="24"/>
    </row>
    <row r="9" spans="1:13" ht="23.25" customHeight="1" x14ac:dyDescent="0.25">
      <c r="A9" s="55">
        <v>1</v>
      </c>
      <c r="B9" s="47" t="s">
        <v>52</v>
      </c>
      <c r="C9" s="75" t="s">
        <v>16</v>
      </c>
      <c r="D9" s="48">
        <v>771.5</v>
      </c>
      <c r="E9" s="27">
        <v>308.75</v>
      </c>
      <c r="F9" s="110">
        <f>ROUND(E9*D9,2)</f>
        <v>238200.63</v>
      </c>
      <c r="G9" s="110">
        <f>ROUND(F9*1.2,2)</f>
        <v>285840.76</v>
      </c>
      <c r="H9" s="109"/>
      <c r="I9" s="24"/>
      <c r="J9" s="24"/>
      <c r="K9" s="25">
        <f t="shared" ref="K9:L10" si="0">F9+I9</f>
        <v>238200.63</v>
      </c>
      <c r="L9" s="24">
        <f t="shared" si="0"/>
        <v>285840.76</v>
      </c>
      <c r="M9" s="43"/>
    </row>
    <row r="10" spans="1:13" ht="18.75" customHeight="1" x14ac:dyDescent="0.25">
      <c r="A10" s="55">
        <f>A9+1</f>
        <v>2</v>
      </c>
      <c r="B10" s="47" t="s">
        <v>34</v>
      </c>
      <c r="C10" s="75" t="s">
        <v>16</v>
      </c>
      <c r="D10" s="48">
        <v>23.88</v>
      </c>
      <c r="E10" s="27">
        <v>1688.1499999999999</v>
      </c>
      <c r="F10" s="110">
        <f>ROUND(E10*D10,2)</f>
        <v>40313.019999999997</v>
      </c>
      <c r="G10" s="110">
        <f>ROUND(F10*1.2,2)</f>
        <v>48375.62</v>
      </c>
      <c r="H10" s="109"/>
      <c r="I10" s="24"/>
      <c r="J10" s="24"/>
      <c r="K10" s="25">
        <f t="shared" si="0"/>
        <v>40313.019999999997</v>
      </c>
      <c r="L10" s="24">
        <f t="shared" si="0"/>
        <v>48375.62</v>
      </c>
    </row>
    <row r="11" spans="1:13" ht="30" x14ac:dyDescent="0.25">
      <c r="A11" s="55">
        <f>A10+1</f>
        <v>3</v>
      </c>
      <c r="B11" s="47" t="s">
        <v>54</v>
      </c>
      <c r="C11" s="46" t="s">
        <v>33</v>
      </c>
      <c r="D11" s="48">
        <f>180.75/0.2</f>
        <v>903.75</v>
      </c>
      <c r="E11" s="27">
        <v>240.35</v>
      </c>
      <c r="F11" s="110">
        <f t="shared" ref="F11" si="1">ROUND(E11*D11,2)</f>
        <v>217216.31</v>
      </c>
      <c r="G11" s="110">
        <f t="shared" ref="G11" si="2">ROUND(F11*1.2,2)</f>
        <v>260659.57</v>
      </c>
      <c r="H11" s="109"/>
      <c r="I11" s="24"/>
      <c r="J11" s="24"/>
      <c r="K11" s="25">
        <f t="shared" ref="K11:L19" si="3">F11+I11</f>
        <v>217216.31</v>
      </c>
      <c r="L11" s="24">
        <f t="shared" ref="L11:L16" si="4">G11+J11</f>
        <v>260659.57</v>
      </c>
      <c r="M11" s="111"/>
    </row>
    <row r="12" spans="1:13" ht="18.75" customHeight="1" x14ac:dyDescent="0.25">
      <c r="A12" s="35" t="s">
        <v>18</v>
      </c>
      <c r="B12" s="34" t="s">
        <v>82</v>
      </c>
      <c r="C12" s="33" t="s">
        <v>16</v>
      </c>
      <c r="D12" s="32">
        <f>180.75*1.2</f>
        <v>216.9</v>
      </c>
      <c r="E12" s="31"/>
      <c r="F12" s="68"/>
      <c r="G12" s="68"/>
      <c r="H12" s="68">
        <v>1501.9499999999998</v>
      </c>
      <c r="I12" s="68">
        <f>ROUND(H12*D12,2)</f>
        <v>325772.96000000002</v>
      </c>
      <c r="J12" s="68">
        <f>ROUND(I12*1.2,2)</f>
        <v>390927.55</v>
      </c>
      <c r="K12" s="84">
        <f t="shared" si="3"/>
        <v>325772.96000000002</v>
      </c>
      <c r="L12" s="68">
        <f t="shared" si="4"/>
        <v>390927.55</v>
      </c>
    </row>
    <row r="13" spans="1:13" ht="18.75" customHeight="1" x14ac:dyDescent="0.25">
      <c r="A13" s="55">
        <f>A11+1</f>
        <v>4</v>
      </c>
      <c r="B13" s="47" t="s">
        <v>55</v>
      </c>
      <c r="C13" s="46" t="s">
        <v>16</v>
      </c>
      <c r="D13" s="48">
        <v>113.37</v>
      </c>
      <c r="E13" s="27">
        <v>1401.25</v>
      </c>
      <c r="F13" s="110">
        <f t="shared" ref="F13" si="5">ROUND(E13*D13,2)</f>
        <v>158859.71</v>
      </c>
      <c r="G13" s="110">
        <f t="shared" ref="G13" si="6">ROUND(F13*1.2,2)</f>
        <v>190631.65</v>
      </c>
      <c r="H13" s="109"/>
      <c r="I13" s="24"/>
      <c r="J13" s="24"/>
      <c r="K13" s="25">
        <f t="shared" si="3"/>
        <v>158859.71</v>
      </c>
      <c r="L13" s="24">
        <f t="shared" si="4"/>
        <v>190631.65</v>
      </c>
      <c r="M13" s="111"/>
    </row>
    <row r="14" spans="1:13" ht="18.75" customHeight="1" x14ac:dyDescent="0.25">
      <c r="A14" s="35" t="s">
        <v>168</v>
      </c>
      <c r="B14" s="34" t="s">
        <v>84</v>
      </c>
      <c r="C14" s="33" t="s">
        <v>16</v>
      </c>
      <c r="D14" s="32">
        <f>D13*1.26</f>
        <v>142.84620000000001</v>
      </c>
      <c r="E14" s="31"/>
      <c r="F14" s="68"/>
      <c r="G14" s="68"/>
      <c r="H14" s="112">
        <v>4006.1499999999996</v>
      </c>
      <c r="I14" s="68">
        <f>ROUND(H14*D14,2)</f>
        <v>572263.30000000005</v>
      </c>
      <c r="J14" s="68">
        <f>ROUND(I14*1.2,2)</f>
        <v>686715.96</v>
      </c>
      <c r="K14" s="84">
        <f t="shared" si="3"/>
        <v>572263.30000000005</v>
      </c>
      <c r="L14" s="68">
        <f t="shared" si="4"/>
        <v>686715.96</v>
      </c>
    </row>
    <row r="15" spans="1:13" ht="18.75" customHeight="1" x14ac:dyDescent="0.25">
      <c r="A15" s="55">
        <f>A13+1</f>
        <v>5</v>
      </c>
      <c r="B15" s="47" t="s">
        <v>53</v>
      </c>
      <c r="C15" s="46" t="s">
        <v>16</v>
      </c>
      <c r="D15" s="48">
        <v>154.46</v>
      </c>
      <c r="E15" s="27">
        <v>1055.45</v>
      </c>
      <c r="F15" s="110">
        <f t="shared" ref="F15" si="7">ROUND(E15*D15,2)</f>
        <v>163024.81</v>
      </c>
      <c r="G15" s="110">
        <f t="shared" ref="G15" si="8">ROUND(F15*1.2,2)</f>
        <v>195629.77</v>
      </c>
      <c r="H15" s="109"/>
      <c r="I15" s="24"/>
      <c r="J15" s="24"/>
      <c r="K15" s="25">
        <f t="shared" si="3"/>
        <v>163024.81</v>
      </c>
      <c r="L15" s="24">
        <f t="shared" si="4"/>
        <v>195629.77</v>
      </c>
      <c r="M15" s="111"/>
    </row>
    <row r="16" spans="1:13" ht="18.75" customHeight="1" x14ac:dyDescent="0.25">
      <c r="A16" s="35" t="s">
        <v>41</v>
      </c>
      <c r="B16" s="34" t="s">
        <v>17</v>
      </c>
      <c r="C16" s="33" t="s">
        <v>16</v>
      </c>
      <c r="D16" s="32">
        <v>218.4</v>
      </c>
      <c r="E16" s="31"/>
      <c r="F16" s="68"/>
      <c r="G16" s="68"/>
      <c r="H16" s="68">
        <v>1191.3</v>
      </c>
      <c r="I16" s="68">
        <f>ROUND(H16*D16,2)</f>
        <v>260179.92</v>
      </c>
      <c r="J16" s="68">
        <f>ROUND(I16*1.2,2)</f>
        <v>312215.90000000002</v>
      </c>
      <c r="K16" s="84">
        <f t="shared" si="3"/>
        <v>260179.92</v>
      </c>
      <c r="L16" s="68">
        <f t="shared" si="4"/>
        <v>312215.90000000002</v>
      </c>
    </row>
    <row r="17" spans="1:13" ht="18.75" customHeight="1" x14ac:dyDescent="0.25">
      <c r="A17" s="55">
        <f>A15+1</f>
        <v>6</v>
      </c>
      <c r="B17" s="47" t="s">
        <v>214</v>
      </c>
      <c r="C17" s="46" t="s">
        <v>16</v>
      </c>
      <c r="D17" s="79">
        <v>10</v>
      </c>
      <c r="E17" s="44">
        <v>1350.8999999999999</v>
      </c>
      <c r="F17" s="110">
        <f t="shared" ref="F17" si="9">ROUND(E17*D17,2)</f>
        <v>13509</v>
      </c>
      <c r="G17" s="110">
        <f t="shared" ref="G17" si="10">ROUND(F17*1.2,2)</f>
        <v>16210.8</v>
      </c>
      <c r="H17" s="109"/>
      <c r="I17" s="24"/>
      <c r="J17" s="24"/>
      <c r="K17" s="25">
        <f t="shared" si="3"/>
        <v>13509</v>
      </c>
      <c r="L17" s="24">
        <f t="shared" si="3"/>
        <v>16210.8</v>
      </c>
      <c r="M17" s="111"/>
    </row>
    <row r="18" spans="1:13" ht="18.75" customHeight="1" x14ac:dyDescent="0.25">
      <c r="A18" s="35" t="s">
        <v>14</v>
      </c>
      <c r="B18" s="34" t="s">
        <v>17</v>
      </c>
      <c r="C18" s="33" t="s">
        <v>16</v>
      </c>
      <c r="D18" s="32">
        <f>D17*1.1</f>
        <v>11</v>
      </c>
      <c r="E18" s="31"/>
      <c r="F18" s="68"/>
      <c r="G18" s="68"/>
      <c r="H18" s="68">
        <v>1191.3</v>
      </c>
      <c r="I18" s="68">
        <f>ROUND(H18*D18,2)</f>
        <v>13104.3</v>
      </c>
      <c r="J18" s="68">
        <f>ROUND(I18*1.2,2)</f>
        <v>15725.16</v>
      </c>
      <c r="K18" s="84">
        <f t="shared" si="3"/>
        <v>13104.3</v>
      </c>
      <c r="L18" s="68">
        <f t="shared" si="3"/>
        <v>15725.16</v>
      </c>
    </row>
    <row r="19" spans="1:13" ht="18.75" customHeight="1" x14ac:dyDescent="0.25">
      <c r="A19" s="55">
        <f>A17+1</f>
        <v>7</v>
      </c>
      <c r="B19" s="67" t="s">
        <v>142</v>
      </c>
      <c r="C19" s="55" t="s">
        <v>15</v>
      </c>
      <c r="D19" s="69">
        <v>1511.22</v>
      </c>
      <c r="E19" s="44">
        <v>308.75</v>
      </c>
      <c r="F19" s="24">
        <f>ROUND(E19*D19,2)</f>
        <v>466589.18</v>
      </c>
      <c r="G19" s="24">
        <f t="shared" ref="G19" si="11">ROUND(F19*1.2,2)</f>
        <v>559907.02</v>
      </c>
      <c r="H19" s="25"/>
      <c r="I19" s="24"/>
      <c r="J19" s="24"/>
      <c r="K19" s="25">
        <f t="shared" si="3"/>
        <v>466589.18</v>
      </c>
      <c r="L19" s="24">
        <f t="shared" si="3"/>
        <v>559907.02</v>
      </c>
    </row>
    <row r="20" spans="1:13" ht="18.75" customHeight="1" x14ac:dyDescent="0.25">
      <c r="A20" s="55"/>
      <c r="B20" s="49" t="s">
        <v>235</v>
      </c>
      <c r="C20" s="46"/>
      <c r="D20" s="45"/>
      <c r="E20" s="113"/>
      <c r="F20" s="110"/>
      <c r="G20" s="110"/>
      <c r="H20" s="109"/>
      <c r="I20" s="24"/>
      <c r="J20" s="24"/>
      <c r="K20" s="25"/>
      <c r="L20" s="24"/>
      <c r="M20" s="111"/>
    </row>
    <row r="21" spans="1:13" ht="30" x14ac:dyDescent="0.25">
      <c r="A21" s="55">
        <f>A19+1</f>
        <v>8</v>
      </c>
      <c r="B21" s="47" t="s">
        <v>57</v>
      </c>
      <c r="C21" s="46" t="s">
        <v>9</v>
      </c>
      <c r="D21" s="45">
        <v>100</v>
      </c>
      <c r="E21" s="27">
        <v>2230.6</v>
      </c>
      <c r="F21" s="110">
        <f t="shared" ref="F21" si="12">ROUND(E21*D21,2)</f>
        <v>223060</v>
      </c>
      <c r="G21" s="110">
        <f t="shared" ref="G21" si="13">ROUND(F21*1.2,2)</f>
        <v>267672</v>
      </c>
      <c r="H21" s="109"/>
      <c r="I21" s="24"/>
      <c r="J21" s="24"/>
      <c r="K21" s="25">
        <f t="shared" ref="K21:K26" si="14">F21+I21</f>
        <v>223060</v>
      </c>
      <c r="L21" s="24">
        <f t="shared" ref="L21:L26" si="15">G21+J21</f>
        <v>267672</v>
      </c>
      <c r="M21" s="111"/>
    </row>
    <row r="22" spans="1:13" s="127" customFormat="1" ht="18.75" customHeight="1" x14ac:dyDescent="0.25">
      <c r="A22" s="119" t="s">
        <v>12</v>
      </c>
      <c r="B22" s="120" t="s">
        <v>95</v>
      </c>
      <c r="C22" s="121" t="s">
        <v>11</v>
      </c>
      <c r="D22" s="122">
        <v>284</v>
      </c>
      <c r="E22" s="123"/>
      <c r="F22" s="124"/>
      <c r="G22" s="124"/>
      <c r="H22" s="125">
        <v>2503.25</v>
      </c>
      <c r="I22" s="124">
        <f>ROUND(H22*D22,2)</f>
        <v>710923</v>
      </c>
      <c r="J22" s="124">
        <f>ROUND(I22*1.2,2)</f>
        <v>853107.6</v>
      </c>
      <c r="K22" s="126">
        <f t="shared" si="14"/>
        <v>710923</v>
      </c>
      <c r="L22" s="124">
        <f t="shared" si="15"/>
        <v>853107.6</v>
      </c>
      <c r="M22" s="128" t="s">
        <v>256</v>
      </c>
    </row>
    <row r="23" spans="1:13" ht="18.75" customHeight="1" x14ac:dyDescent="0.25">
      <c r="A23" s="35" t="s">
        <v>37</v>
      </c>
      <c r="B23" s="34" t="s">
        <v>96</v>
      </c>
      <c r="C23" s="33" t="s">
        <v>11</v>
      </c>
      <c r="D23" s="41">
        <v>16</v>
      </c>
      <c r="E23" s="31"/>
      <c r="F23" s="68"/>
      <c r="G23" s="68"/>
      <c r="H23" s="112">
        <v>77112.45</v>
      </c>
      <c r="I23" s="68">
        <f t="shared" ref="I23:I25" si="16">ROUND(H23*D23,2)</f>
        <v>1233799.2</v>
      </c>
      <c r="J23" s="68">
        <f t="shared" ref="J23:J25" si="17">ROUND(I23*1.2,2)</f>
        <v>1480559.04</v>
      </c>
      <c r="K23" s="84">
        <f t="shared" si="14"/>
        <v>1233799.2</v>
      </c>
      <c r="L23" s="68">
        <f t="shared" si="15"/>
        <v>1480559.04</v>
      </c>
    </row>
    <row r="24" spans="1:13" ht="18.75" customHeight="1" x14ac:dyDescent="0.25">
      <c r="A24" s="35" t="s">
        <v>42</v>
      </c>
      <c r="B24" s="34" t="s">
        <v>97</v>
      </c>
      <c r="C24" s="33" t="s">
        <v>15</v>
      </c>
      <c r="D24" s="106">
        <v>1.9450000000000001</v>
      </c>
      <c r="E24" s="31"/>
      <c r="F24" s="68"/>
      <c r="G24" s="68"/>
      <c r="H24" s="112">
        <v>300000</v>
      </c>
      <c r="I24" s="68">
        <f t="shared" ref="I24" si="18">ROUND(H24*D24,2)</f>
        <v>583500</v>
      </c>
      <c r="J24" s="68">
        <f t="shared" ref="J24" si="19">ROUND(I24*1.2,2)</f>
        <v>700200</v>
      </c>
      <c r="K24" s="84">
        <f t="shared" ref="K24" si="20">F24+I24</f>
        <v>583500</v>
      </c>
      <c r="L24" s="68">
        <f t="shared" ref="L24" si="21">G24+J24</f>
        <v>700200</v>
      </c>
    </row>
    <row r="25" spans="1:13" ht="18.75" customHeight="1" x14ac:dyDescent="0.25">
      <c r="A25" s="35" t="s">
        <v>43</v>
      </c>
      <c r="B25" s="34" t="s">
        <v>98</v>
      </c>
      <c r="C25" s="33" t="s">
        <v>11</v>
      </c>
      <c r="D25" s="41">
        <v>284</v>
      </c>
      <c r="E25" s="31"/>
      <c r="F25" s="68"/>
      <c r="G25" s="68"/>
      <c r="H25" s="112">
        <v>75.05</v>
      </c>
      <c r="I25" s="68">
        <f t="shared" si="16"/>
        <v>21314.2</v>
      </c>
      <c r="J25" s="68">
        <f t="shared" si="17"/>
        <v>25577.040000000001</v>
      </c>
      <c r="K25" s="84">
        <f t="shared" si="14"/>
        <v>21314.2</v>
      </c>
      <c r="L25" s="68">
        <f t="shared" si="15"/>
        <v>25577.040000000001</v>
      </c>
    </row>
    <row r="26" spans="1:13" ht="18.75" customHeight="1" x14ac:dyDescent="0.25">
      <c r="A26" s="35" t="s">
        <v>215</v>
      </c>
      <c r="B26" s="34" t="s">
        <v>99</v>
      </c>
      <c r="C26" s="33" t="s">
        <v>11</v>
      </c>
      <c r="D26" s="41">
        <v>284</v>
      </c>
      <c r="E26" s="31"/>
      <c r="F26" s="68"/>
      <c r="G26" s="68"/>
      <c r="H26" s="112">
        <v>67.45</v>
      </c>
      <c r="I26" s="68">
        <f>ROUND(H26*D26,2)</f>
        <v>19155.8</v>
      </c>
      <c r="J26" s="68">
        <f>ROUND(I26*1.2,2)</f>
        <v>22986.959999999999</v>
      </c>
      <c r="K26" s="84">
        <f t="shared" si="14"/>
        <v>19155.8</v>
      </c>
      <c r="L26" s="68">
        <f t="shared" si="15"/>
        <v>22986.959999999999</v>
      </c>
    </row>
    <row r="27" spans="1:13" ht="18.75" customHeight="1" x14ac:dyDescent="0.25">
      <c r="A27" s="35" t="s">
        <v>226</v>
      </c>
      <c r="B27" s="42" t="s">
        <v>252</v>
      </c>
      <c r="C27" s="33" t="s">
        <v>11</v>
      </c>
      <c r="D27" s="41">
        <v>284</v>
      </c>
      <c r="E27" s="31"/>
      <c r="F27" s="68"/>
      <c r="G27" s="68"/>
      <c r="H27" s="112">
        <v>100</v>
      </c>
      <c r="I27" s="68">
        <f t="shared" ref="I27:I28" si="22">ROUND(H27*D27,2)</f>
        <v>28400</v>
      </c>
      <c r="J27" s="68">
        <f t="shared" ref="J27:J28" si="23">ROUND(I27*1.2,2)</f>
        <v>34080</v>
      </c>
      <c r="K27" s="84">
        <f t="shared" ref="K27:K28" si="24">F27+I27</f>
        <v>28400</v>
      </c>
      <c r="L27" s="68">
        <f t="shared" ref="L27:L28" si="25">G27+J27</f>
        <v>34080</v>
      </c>
    </row>
    <row r="28" spans="1:13" ht="18.75" customHeight="1" x14ac:dyDescent="0.25">
      <c r="A28" s="35" t="s">
        <v>227</v>
      </c>
      <c r="B28" s="42" t="s">
        <v>253</v>
      </c>
      <c r="C28" s="33" t="s">
        <v>11</v>
      </c>
      <c r="D28" s="41">
        <v>284</v>
      </c>
      <c r="E28" s="31"/>
      <c r="F28" s="68"/>
      <c r="G28" s="68"/>
      <c r="H28" s="112">
        <v>75</v>
      </c>
      <c r="I28" s="68">
        <f t="shared" si="22"/>
        <v>21300</v>
      </c>
      <c r="J28" s="68">
        <f t="shared" si="23"/>
        <v>25560</v>
      </c>
      <c r="K28" s="84">
        <f t="shared" si="24"/>
        <v>21300</v>
      </c>
      <c r="L28" s="68">
        <f t="shared" si="25"/>
        <v>25560</v>
      </c>
    </row>
    <row r="29" spans="1:13" ht="18.75" customHeight="1" x14ac:dyDescent="0.25">
      <c r="A29" s="35" t="s">
        <v>228</v>
      </c>
      <c r="B29" s="42" t="s">
        <v>216</v>
      </c>
      <c r="C29" s="33" t="s">
        <v>11</v>
      </c>
      <c r="D29" s="41">
        <v>32</v>
      </c>
      <c r="E29" s="31"/>
      <c r="F29" s="68"/>
      <c r="G29" s="68"/>
      <c r="H29" s="112">
        <v>1600</v>
      </c>
      <c r="I29" s="68">
        <f>ROUND(H29*D29,2)</f>
        <v>51200</v>
      </c>
      <c r="J29" s="68">
        <f>ROUND(I29*1.2,2)</f>
        <v>61440</v>
      </c>
      <c r="K29" s="84">
        <f t="shared" ref="K29:K30" si="26">F29+I29</f>
        <v>51200</v>
      </c>
      <c r="L29" s="68">
        <f t="shared" ref="L29:L30" si="27">G29+J29</f>
        <v>61440</v>
      </c>
    </row>
    <row r="30" spans="1:13" ht="18.75" customHeight="1" x14ac:dyDescent="0.25">
      <c r="A30" s="35" t="s">
        <v>229</v>
      </c>
      <c r="B30" s="34" t="s">
        <v>218</v>
      </c>
      <c r="C30" s="33" t="s">
        <v>217</v>
      </c>
      <c r="D30" s="41">
        <v>128</v>
      </c>
      <c r="E30" s="31"/>
      <c r="F30" s="68"/>
      <c r="G30" s="68"/>
      <c r="H30" s="112">
        <v>158.34</v>
      </c>
      <c r="I30" s="68">
        <f>ROUND(H30*D30,2)</f>
        <v>20267.52</v>
      </c>
      <c r="J30" s="68">
        <f>ROUND(I30*1.2,2)</f>
        <v>24321.02</v>
      </c>
      <c r="K30" s="84">
        <f t="shared" si="26"/>
        <v>20267.52</v>
      </c>
      <c r="L30" s="68">
        <f t="shared" si="27"/>
        <v>24321.02</v>
      </c>
    </row>
    <row r="31" spans="1:13" ht="18.75" customHeight="1" x14ac:dyDescent="0.25">
      <c r="A31" s="35" t="s">
        <v>230</v>
      </c>
      <c r="B31" s="42" t="s">
        <v>219</v>
      </c>
      <c r="C31" s="33" t="s">
        <v>11</v>
      </c>
      <c r="D31" s="41">
        <v>568</v>
      </c>
      <c r="E31" s="31"/>
      <c r="F31" s="68"/>
      <c r="G31" s="68"/>
      <c r="H31" s="112">
        <v>97.5</v>
      </c>
      <c r="I31" s="68">
        <f t="shared" ref="I31:I37" si="28">ROUND(H31*D31,2)</f>
        <v>55380</v>
      </c>
      <c r="J31" s="68">
        <f t="shared" ref="J31:J37" si="29">ROUND(I31*1.2,2)</f>
        <v>66456</v>
      </c>
      <c r="K31" s="84">
        <f t="shared" ref="K31:K37" si="30">F31+I31</f>
        <v>55380</v>
      </c>
      <c r="L31" s="68">
        <f t="shared" ref="L31:L37" si="31">G31+J31</f>
        <v>66456</v>
      </c>
    </row>
    <row r="32" spans="1:13" ht="18.75" customHeight="1" x14ac:dyDescent="0.25">
      <c r="A32" s="35" t="s">
        <v>231</v>
      </c>
      <c r="B32" s="42" t="s">
        <v>220</v>
      </c>
      <c r="C32" s="33" t="s">
        <v>11</v>
      </c>
      <c r="D32" s="41">
        <v>568</v>
      </c>
      <c r="E32" s="31"/>
      <c r="F32" s="68"/>
      <c r="G32" s="68"/>
      <c r="H32" s="112">
        <v>132.53</v>
      </c>
      <c r="I32" s="68">
        <f t="shared" si="28"/>
        <v>75277.039999999994</v>
      </c>
      <c r="J32" s="68">
        <f t="shared" si="29"/>
        <v>90332.45</v>
      </c>
      <c r="K32" s="84">
        <f t="shared" si="30"/>
        <v>75277.039999999994</v>
      </c>
      <c r="L32" s="68">
        <f t="shared" si="31"/>
        <v>90332.45</v>
      </c>
    </row>
    <row r="33" spans="1:13" ht="18.75" customHeight="1" x14ac:dyDescent="0.25">
      <c r="A33" s="35" t="s">
        <v>232</v>
      </c>
      <c r="B33" s="42" t="s">
        <v>221</v>
      </c>
      <c r="C33" s="33" t="s">
        <v>11</v>
      </c>
      <c r="D33" s="41">
        <v>568</v>
      </c>
      <c r="E33" s="31"/>
      <c r="F33" s="68"/>
      <c r="G33" s="68"/>
      <c r="H33" s="112">
        <v>51.81</v>
      </c>
      <c r="I33" s="68">
        <f t="shared" si="28"/>
        <v>29428.080000000002</v>
      </c>
      <c r="J33" s="68">
        <f t="shared" si="29"/>
        <v>35313.699999999997</v>
      </c>
      <c r="K33" s="84">
        <f t="shared" si="30"/>
        <v>29428.080000000002</v>
      </c>
      <c r="L33" s="68">
        <f t="shared" si="31"/>
        <v>35313.699999999997</v>
      </c>
    </row>
    <row r="34" spans="1:13" ht="18.75" customHeight="1" x14ac:dyDescent="0.25">
      <c r="A34" s="35" t="s">
        <v>233</v>
      </c>
      <c r="B34" s="42" t="s">
        <v>222</v>
      </c>
      <c r="C34" s="33" t="s">
        <v>11</v>
      </c>
      <c r="D34" s="41">
        <v>568</v>
      </c>
      <c r="E34" s="31"/>
      <c r="F34" s="68"/>
      <c r="G34" s="68"/>
      <c r="H34" s="112">
        <v>8.75</v>
      </c>
      <c r="I34" s="68">
        <f t="shared" si="28"/>
        <v>4970</v>
      </c>
      <c r="J34" s="68">
        <f t="shared" si="29"/>
        <v>5964</v>
      </c>
      <c r="K34" s="84">
        <f t="shared" si="30"/>
        <v>4970</v>
      </c>
      <c r="L34" s="68">
        <f t="shared" si="31"/>
        <v>5964</v>
      </c>
    </row>
    <row r="35" spans="1:13" ht="18.75" customHeight="1" x14ac:dyDescent="0.25">
      <c r="A35" s="35" t="s">
        <v>234</v>
      </c>
      <c r="B35" s="42" t="s">
        <v>223</v>
      </c>
      <c r="C35" s="33" t="s">
        <v>11</v>
      </c>
      <c r="D35" s="41">
        <v>1136</v>
      </c>
      <c r="E35" s="31"/>
      <c r="F35" s="68"/>
      <c r="G35" s="68"/>
      <c r="H35" s="112">
        <v>15.9</v>
      </c>
      <c r="I35" s="68">
        <f t="shared" si="28"/>
        <v>18062.400000000001</v>
      </c>
      <c r="J35" s="68">
        <f t="shared" si="29"/>
        <v>21674.880000000001</v>
      </c>
      <c r="K35" s="84">
        <f t="shared" si="30"/>
        <v>18062.400000000001</v>
      </c>
      <c r="L35" s="68">
        <f t="shared" si="31"/>
        <v>21674.880000000001</v>
      </c>
    </row>
    <row r="36" spans="1:13" ht="18.75" customHeight="1" x14ac:dyDescent="0.25">
      <c r="A36" s="35" t="s">
        <v>254</v>
      </c>
      <c r="B36" s="42" t="s">
        <v>224</v>
      </c>
      <c r="C36" s="33" t="s">
        <v>11</v>
      </c>
      <c r="D36" s="41">
        <v>1136</v>
      </c>
      <c r="E36" s="31"/>
      <c r="F36" s="68"/>
      <c r="G36" s="68"/>
      <c r="H36" s="112">
        <v>21.27</v>
      </c>
      <c r="I36" s="68">
        <f t="shared" si="28"/>
        <v>24162.720000000001</v>
      </c>
      <c r="J36" s="68">
        <f t="shared" si="29"/>
        <v>28995.26</v>
      </c>
      <c r="K36" s="84">
        <f t="shared" si="30"/>
        <v>24162.720000000001</v>
      </c>
      <c r="L36" s="68">
        <f t="shared" si="31"/>
        <v>28995.26</v>
      </c>
    </row>
    <row r="37" spans="1:13" ht="18.75" customHeight="1" x14ac:dyDescent="0.25">
      <c r="A37" s="35" t="s">
        <v>255</v>
      </c>
      <c r="B37" s="42" t="s">
        <v>225</v>
      </c>
      <c r="C37" s="33" t="s">
        <v>11</v>
      </c>
      <c r="D37" s="41">
        <v>1136</v>
      </c>
      <c r="E37" s="31"/>
      <c r="F37" s="68"/>
      <c r="G37" s="68"/>
      <c r="H37" s="112">
        <v>22.15</v>
      </c>
      <c r="I37" s="68">
        <f t="shared" si="28"/>
        <v>25162.400000000001</v>
      </c>
      <c r="J37" s="68">
        <f t="shared" si="29"/>
        <v>30194.880000000001</v>
      </c>
      <c r="K37" s="84">
        <f t="shared" si="30"/>
        <v>25162.400000000001</v>
      </c>
      <c r="L37" s="68">
        <f t="shared" si="31"/>
        <v>30194.880000000001</v>
      </c>
    </row>
    <row r="38" spans="1:13" ht="18.75" customHeight="1" x14ac:dyDescent="0.25">
      <c r="A38" s="55">
        <f>A21+1</f>
        <v>9</v>
      </c>
      <c r="B38" s="47" t="s">
        <v>56</v>
      </c>
      <c r="C38" s="46" t="s">
        <v>9</v>
      </c>
      <c r="D38" s="45">
        <v>100</v>
      </c>
      <c r="E38" s="27">
        <v>1144.75</v>
      </c>
      <c r="F38" s="110">
        <f t="shared" ref="F38" si="32">ROUND(E38*D38,2)</f>
        <v>114475</v>
      </c>
      <c r="G38" s="110">
        <f t="shared" ref="G38" si="33">ROUND(F38*1.2,2)</f>
        <v>137370</v>
      </c>
      <c r="H38" s="109"/>
      <c r="I38" s="24"/>
      <c r="J38" s="24"/>
      <c r="K38" s="25">
        <f t="shared" ref="K38:K43" si="34">F38+I38</f>
        <v>114475</v>
      </c>
      <c r="L38" s="24">
        <f t="shared" ref="L38:L43" si="35">G38+J38</f>
        <v>137370</v>
      </c>
      <c r="M38" s="111"/>
    </row>
    <row r="39" spans="1:13" ht="18.75" customHeight="1" x14ac:dyDescent="0.25">
      <c r="A39" s="35" t="s">
        <v>10</v>
      </c>
      <c r="B39" s="34" t="s">
        <v>86</v>
      </c>
      <c r="C39" s="33" t="s">
        <v>11</v>
      </c>
      <c r="D39" s="41">
        <v>100</v>
      </c>
      <c r="E39" s="31"/>
      <c r="F39" s="68"/>
      <c r="G39" s="68"/>
      <c r="H39" s="112">
        <v>380.95</v>
      </c>
      <c r="I39" s="68">
        <f>ROUND(H39*D39,2)</f>
        <v>38095</v>
      </c>
      <c r="J39" s="68">
        <f>ROUND(I39*1.2,2)</f>
        <v>45714</v>
      </c>
      <c r="K39" s="84">
        <f t="shared" si="34"/>
        <v>38095</v>
      </c>
      <c r="L39" s="68">
        <f t="shared" si="35"/>
        <v>45714</v>
      </c>
    </row>
    <row r="40" spans="1:13" ht="18.75" customHeight="1" x14ac:dyDescent="0.25">
      <c r="A40" s="55">
        <f>A38+1</f>
        <v>10</v>
      </c>
      <c r="B40" s="47" t="s">
        <v>236</v>
      </c>
      <c r="C40" s="46" t="s">
        <v>16</v>
      </c>
      <c r="D40" s="48">
        <v>211.79</v>
      </c>
      <c r="E40" s="27">
        <v>1401.25</v>
      </c>
      <c r="F40" s="110">
        <f t="shared" ref="F40" si="36">ROUND(E40*D40,2)</f>
        <v>296770.74</v>
      </c>
      <c r="G40" s="110">
        <f t="shared" ref="G40" si="37">ROUND(F40*1.2,2)</f>
        <v>356124.89</v>
      </c>
      <c r="H40" s="109"/>
      <c r="I40" s="24"/>
      <c r="J40" s="24"/>
      <c r="K40" s="25">
        <f t="shared" si="34"/>
        <v>296770.74</v>
      </c>
      <c r="L40" s="24">
        <f t="shared" si="35"/>
        <v>356124.89</v>
      </c>
      <c r="M40" s="111"/>
    </row>
    <row r="41" spans="1:13" ht="18.75" customHeight="1" x14ac:dyDescent="0.25">
      <c r="A41" s="35" t="s">
        <v>87</v>
      </c>
      <c r="B41" s="34" t="s">
        <v>83</v>
      </c>
      <c r="C41" s="33" t="s">
        <v>16</v>
      </c>
      <c r="D41" s="32">
        <f>D40*1.26</f>
        <v>266.85539999999997</v>
      </c>
      <c r="E41" s="31"/>
      <c r="F41" s="68"/>
      <c r="G41" s="68"/>
      <c r="H41" s="112">
        <v>3805.7</v>
      </c>
      <c r="I41" s="68">
        <f>ROUND(H41*D41,2)</f>
        <v>1015571.6</v>
      </c>
      <c r="J41" s="68">
        <f>ROUND(I41*1.2,2)</f>
        <v>1218685.92</v>
      </c>
      <c r="K41" s="84">
        <f t="shared" si="34"/>
        <v>1015571.6</v>
      </c>
      <c r="L41" s="68">
        <f t="shared" si="35"/>
        <v>1218685.92</v>
      </c>
    </row>
    <row r="42" spans="1:13" ht="18.75" customHeight="1" x14ac:dyDescent="0.25">
      <c r="A42" s="55">
        <f>A40+1</f>
        <v>11</v>
      </c>
      <c r="B42" s="47" t="s">
        <v>237</v>
      </c>
      <c r="C42" s="46" t="s">
        <v>33</v>
      </c>
      <c r="D42" s="48">
        <f>41.1/0.05</f>
        <v>822</v>
      </c>
      <c r="E42" s="27">
        <v>1368</v>
      </c>
      <c r="F42" s="110">
        <f t="shared" ref="F42" si="38">ROUND(E42*D42,2)</f>
        <v>1124496</v>
      </c>
      <c r="G42" s="110">
        <f t="shared" ref="G42" si="39">ROUND(F42*1.2,2)</f>
        <v>1349395.2</v>
      </c>
      <c r="H42" s="109"/>
      <c r="I42" s="24"/>
      <c r="J42" s="24"/>
      <c r="K42" s="25">
        <f t="shared" si="34"/>
        <v>1124496</v>
      </c>
      <c r="L42" s="24">
        <f t="shared" si="35"/>
        <v>1349395.2</v>
      </c>
      <c r="M42" s="111"/>
    </row>
    <row r="43" spans="1:13" ht="18.75" customHeight="1" x14ac:dyDescent="0.25">
      <c r="A43" s="35" t="s">
        <v>88</v>
      </c>
      <c r="B43" s="34" t="s">
        <v>85</v>
      </c>
      <c r="C43" s="33" t="s">
        <v>15</v>
      </c>
      <c r="D43" s="32">
        <f>41.31*2.6</f>
        <v>107.40600000000001</v>
      </c>
      <c r="E43" s="31"/>
      <c r="F43" s="68"/>
      <c r="G43" s="68"/>
      <c r="H43" s="112">
        <v>5909</v>
      </c>
      <c r="I43" s="68">
        <f>ROUND(H43*D43,2)</f>
        <v>634662.05000000005</v>
      </c>
      <c r="J43" s="68">
        <f>ROUND(I43*1.2,2)</f>
        <v>761594.46</v>
      </c>
      <c r="K43" s="84">
        <f t="shared" si="34"/>
        <v>634662.05000000005</v>
      </c>
      <c r="L43" s="68">
        <f t="shared" si="35"/>
        <v>761594.46</v>
      </c>
    </row>
    <row r="44" spans="1:13" s="116" customFormat="1" ht="23.25" customHeight="1" x14ac:dyDescent="0.3">
      <c r="A44" s="134" t="s">
        <v>8</v>
      </c>
      <c r="B44" s="135"/>
      <c r="C44" s="135"/>
      <c r="D44" s="135"/>
      <c r="E44" s="136"/>
      <c r="F44" s="114">
        <f>SUM(F8:F43)</f>
        <v>3056514.4</v>
      </c>
      <c r="G44" s="114">
        <f>ROUND(F44*1.2,2)</f>
        <v>3667817.28</v>
      </c>
      <c r="H44" s="115"/>
      <c r="I44" s="114">
        <f>SUM(I8:I43)</f>
        <v>5781951.4899999993</v>
      </c>
      <c r="J44" s="114">
        <f>ROUND(I44*1.2,2)</f>
        <v>6938341.79</v>
      </c>
      <c r="K44" s="114">
        <f>SUM(K8:K43)</f>
        <v>8838465.8900000006</v>
      </c>
      <c r="L44" s="114">
        <f>ROUND(K44*1.2,2)</f>
        <v>10606159.07</v>
      </c>
    </row>
  </sheetData>
  <mergeCells count="10">
    <mergeCell ref="B6:D6"/>
    <mergeCell ref="A44:E4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33F7-D79D-45F5-9A5B-7AE73A4BB0B9}">
  <sheetPr>
    <tabColor theme="5" tint="0.59999389629810485"/>
  </sheetPr>
  <dimension ref="A1:M47"/>
  <sheetViews>
    <sheetView view="pageBreakPreview" topLeftCell="A7" zoomScaleNormal="100" zoomScaleSheetLayoutView="100" workbookViewId="0">
      <selection activeCell="M22" sqref="M22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37" t="s">
        <v>7</v>
      </c>
      <c r="B1" s="140" t="s">
        <v>30</v>
      </c>
      <c r="C1" s="143" t="s">
        <v>29</v>
      </c>
      <c r="D1" s="143" t="s">
        <v>28</v>
      </c>
      <c r="E1" s="144" t="s">
        <v>27</v>
      </c>
      <c r="F1" s="145"/>
      <c r="G1" s="145"/>
      <c r="H1" s="145"/>
      <c r="I1" s="145"/>
      <c r="J1" s="145"/>
      <c r="K1" s="145"/>
      <c r="L1" s="145"/>
    </row>
    <row r="2" spans="1:13" ht="14.45" customHeight="1" x14ac:dyDescent="0.25">
      <c r="A2" s="138"/>
      <c r="B2" s="141"/>
      <c r="C2" s="143"/>
      <c r="D2" s="143"/>
      <c r="E2" s="146"/>
      <c r="F2" s="147"/>
      <c r="G2" s="147"/>
      <c r="H2" s="147"/>
      <c r="I2" s="147"/>
      <c r="J2" s="147"/>
      <c r="K2" s="147"/>
      <c r="L2" s="147"/>
    </row>
    <row r="3" spans="1:13" ht="27.75" customHeight="1" x14ac:dyDescent="0.25">
      <c r="A3" s="138"/>
      <c r="B3" s="141"/>
      <c r="C3" s="143"/>
      <c r="D3" s="143"/>
      <c r="E3" s="143" t="s">
        <v>26</v>
      </c>
      <c r="F3" s="143"/>
      <c r="G3" s="143"/>
      <c r="H3" s="143" t="s">
        <v>25</v>
      </c>
      <c r="I3" s="143"/>
      <c r="J3" s="143"/>
      <c r="K3" s="129" t="s">
        <v>24</v>
      </c>
      <c r="L3" s="129"/>
    </row>
    <row r="4" spans="1:13" ht="56.1" customHeight="1" x14ac:dyDescent="0.25">
      <c r="A4" s="139"/>
      <c r="B4" s="142"/>
      <c r="C4" s="143"/>
      <c r="D4" s="143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32" t="s">
        <v>50</v>
      </c>
      <c r="C6" s="133"/>
      <c r="D6" s="133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/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70</v>
      </c>
      <c r="C8" s="75"/>
      <c r="D8" s="91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/>
      <c r="B9" s="74" t="s">
        <v>71</v>
      </c>
      <c r="C9" s="75"/>
      <c r="D9" s="91"/>
      <c r="E9" s="76"/>
      <c r="F9" s="39"/>
      <c r="G9" s="39"/>
      <c r="H9" s="38"/>
      <c r="I9" s="37"/>
      <c r="J9" s="37"/>
      <c r="K9" s="25"/>
      <c r="L9" s="24"/>
      <c r="M9" s="71"/>
    </row>
    <row r="10" spans="1:13" ht="18.75" customHeight="1" x14ac:dyDescent="0.25">
      <c r="A10" s="55">
        <v>1</v>
      </c>
      <c r="B10" s="47" t="s">
        <v>35</v>
      </c>
      <c r="C10" s="46" t="s">
        <v>16</v>
      </c>
      <c r="D10" s="48">
        <v>0.11</v>
      </c>
      <c r="E10" s="27">
        <v>3780.0499999999997</v>
      </c>
      <c r="F10" s="39">
        <f t="shared" ref="F10:F45" si="0">ROUND(E10*D10,2)</f>
        <v>415.81</v>
      </c>
      <c r="G10" s="39">
        <f t="shared" ref="G10:G45" si="1">ROUND(F10*1.2,2)</f>
        <v>498.97</v>
      </c>
      <c r="H10" s="38"/>
      <c r="I10" s="37"/>
      <c r="J10" s="37"/>
      <c r="K10" s="25">
        <f t="shared" ref="K10:K45" si="2">F10+I10</f>
        <v>415.81</v>
      </c>
      <c r="L10" s="24">
        <f t="shared" ref="L10:L45" si="3">G10+J10</f>
        <v>498.97</v>
      </c>
      <c r="M10" s="71"/>
    </row>
    <row r="11" spans="1:13" ht="18.75" customHeight="1" x14ac:dyDescent="0.25">
      <c r="A11" s="35" t="s">
        <v>159</v>
      </c>
      <c r="B11" s="34" t="s">
        <v>38</v>
      </c>
      <c r="C11" s="33" t="s">
        <v>16</v>
      </c>
      <c r="D11" s="78">
        <v>0.11220000000000001</v>
      </c>
      <c r="E11" s="31"/>
      <c r="F11" s="29"/>
      <c r="G11" s="29"/>
      <c r="H11" s="29">
        <v>4807</v>
      </c>
      <c r="I11" s="29">
        <f>ROUND(H11*D11,2)</f>
        <v>539.35</v>
      </c>
      <c r="J11" s="29">
        <f>ROUND(I11*1.2,2)</f>
        <v>647.22</v>
      </c>
      <c r="K11" s="30">
        <f t="shared" ref="K11" si="4">F11+I11</f>
        <v>539.35</v>
      </c>
      <c r="L11" s="29">
        <f t="shared" ref="L11" si="5">G11+J11</f>
        <v>647.22</v>
      </c>
      <c r="M11" s="58"/>
    </row>
    <row r="12" spans="1:13" ht="18.75" customHeight="1" x14ac:dyDescent="0.25">
      <c r="A12" s="55">
        <f>A10+1</f>
        <v>2</v>
      </c>
      <c r="B12" s="47" t="s">
        <v>72</v>
      </c>
      <c r="C12" s="46" t="s">
        <v>16</v>
      </c>
      <c r="D12" s="48">
        <v>0.5</v>
      </c>
      <c r="E12" s="27">
        <v>19561.45</v>
      </c>
      <c r="F12" s="39">
        <f t="shared" si="0"/>
        <v>9780.73</v>
      </c>
      <c r="G12" s="39">
        <f t="shared" si="1"/>
        <v>11736.88</v>
      </c>
      <c r="H12" s="38"/>
      <c r="I12" s="37"/>
      <c r="J12" s="37"/>
      <c r="K12" s="25">
        <f t="shared" si="2"/>
        <v>9780.73</v>
      </c>
      <c r="L12" s="24">
        <f t="shared" si="3"/>
        <v>11736.88</v>
      </c>
      <c r="M12" s="71"/>
    </row>
    <row r="13" spans="1:13" ht="18.75" customHeight="1" x14ac:dyDescent="0.25">
      <c r="A13" s="35" t="s">
        <v>160</v>
      </c>
      <c r="B13" s="34" t="s">
        <v>109</v>
      </c>
      <c r="C13" s="33" t="s">
        <v>36</v>
      </c>
      <c r="D13" s="32">
        <v>0.59</v>
      </c>
      <c r="E13" s="31"/>
      <c r="F13" s="29"/>
      <c r="G13" s="29"/>
      <c r="H13" s="92">
        <v>74.599999999999994</v>
      </c>
      <c r="I13" s="29">
        <f t="shared" ref="I13:I16" si="6">ROUND(H13*D13,2)</f>
        <v>44.01</v>
      </c>
      <c r="J13" s="29">
        <f t="shared" ref="J13:J16" si="7">ROUND(I13*1.2,2)</f>
        <v>52.81</v>
      </c>
      <c r="K13" s="30">
        <f t="shared" si="2"/>
        <v>44.01</v>
      </c>
      <c r="L13" s="29">
        <f t="shared" si="3"/>
        <v>52.81</v>
      </c>
      <c r="M13" s="58"/>
    </row>
    <row r="14" spans="1:13" ht="18.75" customHeight="1" x14ac:dyDescent="0.25">
      <c r="A14" s="35" t="s">
        <v>239</v>
      </c>
      <c r="B14" s="34" t="s">
        <v>110</v>
      </c>
      <c r="C14" s="33" t="s">
        <v>36</v>
      </c>
      <c r="D14" s="32">
        <v>2.72</v>
      </c>
      <c r="E14" s="31"/>
      <c r="F14" s="29"/>
      <c r="G14" s="29"/>
      <c r="H14" s="92">
        <v>71.25</v>
      </c>
      <c r="I14" s="29">
        <f t="shared" si="6"/>
        <v>193.8</v>
      </c>
      <c r="J14" s="29">
        <f t="shared" si="7"/>
        <v>232.56</v>
      </c>
      <c r="K14" s="30">
        <f t="shared" si="2"/>
        <v>193.8</v>
      </c>
      <c r="L14" s="29">
        <f t="shared" si="3"/>
        <v>232.56</v>
      </c>
      <c r="M14" s="58"/>
    </row>
    <row r="15" spans="1:13" ht="18.75" customHeight="1" x14ac:dyDescent="0.25">
      <c r="A15" s="35" t="s">
        <v>240</v>
      </c>
      <c r="B15" s="34" t="s">
        <v>111</v>
      </c>
      <c r="C15" s="33" t="s">
        <v>36</v>
      </c>
      <c r="D15" s="32">
        <v>12.6</v>
      </c>
      <c r="E15" s="31"/>
      <c r="F15" s="29"/>
      <c r="G15" s="29"/>
      <c r="H15" s="92">
        <v>108.3</v>
      </c>
      <c r="I15" s="29">
        <f t="shared" si="6"/>
        <v>1364.58</v>
      </c>
      <c r="J15" s="29">
        <f t="shared" si="7"/>
        <v>1637.5</v>
      </c>
      <c r="K15" s="30">
        <f t="shared" si="2"/>
        <v>1364.58</v>
      </c>
      <c r="L15" s="29">
        <f t="shared" si="3"/>
        <v>1637.5</v>
      </c>
      <c r="M15" s="58"/>
    </row>
    <row r="16" spans="1:13" ht="18.75" customHeight="1" x14ac:dyDescent="0.25">
      <c r="A16" s="35" t="s">
        <v>241</v>
      </c>
      <c r="B16" s="34" t="s">
        <v>39</v>
      </c>
      <c r="C16" s="33" t="s">
        <v>16</v>
      </c>
      <c r="D16" s="94">
        <v>0.50749999999999995</v>
      </c>
      <c r="E16" s="31"/>
      <c r="F16" s="29"/>
      <c r="G16" s="29"/>
      <c r="H16" s="92">
        <v>5808.3</v>
      </c>
      <c r="I16" s="29">
        <f t="shared" si="6"/>
        <v>2947.71</v>
      </c>
      <c r="J16" s="29">
        <f t="shared" si="7"/>
        <v>3537.25</v>
      </c>
      <c r="K16" s="30">
        <f t="shared" si="2"/>
        <v>2947.71</v>
      </c>
      <c r="L16" s="29">
        <f t="shared" si="3"/>
        <v>3537.25</v>
      </c>
      <c r="M16" s="58"/>
    </row>
    <row r="17" spans="1:13" ht="18.75" customHeight="1" x14ac:dyDescent="0.25">
      <c r="A17" s="55">
        <f>A12+1</f>
        <v>3</v>
      </c>
      <c r="B17" s="47" t="s">
        <v>73</v>
      </c>
      <c r="C17" s="46" t="s">
        <v>15</v>
      </c>
      <c r="D17" s="90">
        <v>0.20300000000000001</v>
      </c>
      <c r="E17" s="27">
        <v>65999.349999999991</v>
      </c>
      <c r="F17" s="39">
        <f t="shared" si="0"/>
        <v>13397.87</v>
      </c>
      <c r="G17" s="39">
        <f t="shared" si="1"/>
        <v>16077.44</v>
      </c>
      <c r="H17" s="38"/>
      <c r="I17" s="37"/>
      <c r="J17" s="37"/>
      <c r="K17" s="25">
        <f t="shared" si="2"/>
        <v>13397.87</v>
      </c>
      <c r="L17" s="24">
        <f t="shared" si="3"/>
        <v>16077.44</v>
      </c>
      <c r="M17" s="71"/>
    </row>
    <row r="18" spans="1:13" ht="18.75" customHeight="1" x14ac:dyDescent="0.25">
      <c r="A18" s="35" t="s">
        <v>18</v>
      </c>
      <c r="B18" s="34" t="s">
        <v>108</v>
      </c>
      <c r="C18" s="33" t="s">
        <v>36</v>
      </c>
      <c r="D18" s="32">
        <v>20.3</v>
      </c>
      <c r="E18" s="31"/>
      <c r="F18" s="29"/>
      <c r="G18" s="29"/>
      <c r="H18" s="31">
        <v>622.25</v>
      </c>
      <c r="I18" s="29">
        <f>ROUND(H18*D18,2)</f>
        <v>12631.68</v>
      </c>
      <c r="J18" s="29">
        <f>ROUND(I18*1.2,2)</f>
        <v>15158.02</v>
      </c>
      <c r="K18" s="30">
        <f t="shared" si="2"/>
        <v>12631.68</v>
      </c>
      <c r="L18" s="29">
        <f t="shared" si="3"/>
        <v>15158.02</v>
      </c>
      <c r="M18" s="58"/>
    </row>
    <row r="19" spans="1:13" ht="18.75" customHeight="1" x14ac:dyDescent="0.25">
      <c r="A19" s="55"/>
      <c r="B19" s="74" t="s">
        <v>74</v>
      </c>
      <c r="C19" s="75"/>
      <c r="D19" s="48"/>
      <c r="E19" s="76"/>
      <c r="F19" s="39"/>
      <c r="G19" s="39"/>
      <c r="H19" s="38"/>
      <c r="I19" s="37"/>
      <c r="J19" s="37"/>
      <c r="K19" s="25"/>
      <c r="L19" s="24"/>
      <c r="M19" s="71"/>
    </row>
    <row r="20" spans="1:13" ht="18.75" customHeight="1" x14ac:dyDescent="0.25">
      <c r="A20" s="55">
        <f>A17+1</f>
        <v>4</v>
      </c>
      <c r="B20" s="47" t="s">
        <v>75</v>
      </c>
      <c r="C20" s="75" t="s">
        <v>9</v>
      </c>
      <c r="D20" s="45">
        <v>12</v>
      </c>
      <c r="E20" s="27">
        <v>1586.5</v>
      </c>
      <c r="F20" s="39">
        <f t="shared" si="0"/>
        <v>19038</v>
      </c>
      <c r="G20" s="39">
        <f t="shared" si="1"/>
        <v>22845.599999999999</v>
      </c>
      <c r="H20" s="38"/>
      <c r="I20" s="37"/>
      <c r="J20" s="37"/>
      <c r="K20" s="25">
        <f t="shared" si="2"/>
        <v>19038</v>
      </c>
      <c r="L20" s="24">
        <f t="shared" si="3"/>
        <v>22845.599999999999</v>
      </c>
      <c r="M20" s="71"/>
    </row>
    <row r="21" spans="1:13" ht="30" x14ac:dyDescent="0.25">
      <c r="A21" s="35" t="s">
        <v>168</v>
      </c>
      <c r="B21" s="34" t="s">
        <v>114</v>
      </c>
      <c r="C21" s="33" t="s">
        <v>11</v>
      </c>
      <c r="D21" s="32">
        <v>1</v>
      </c>
      <c r="E21" s="31"/>
      <c r="F21" s="29"/>
      <c r="G21" s="29"/>
      <c r="H21" s="92">
        <v>35225.049999999996</v>
      </c>
      <c r="I21" s="29">
        <f t="shared" ref="I21" si="8">ROUND(H21*D21,2)</f>
        <v>35225.050000000003</v>
      </c>
      <c r="J21" s="29">
        <f t="shared" ref="J21:J38" si="9">ROUND(I21*1.2,2)</f>
        <v>42270.06</v>
      </c>
      <c r="K21" s="30">
        <f t="shared" ref="K21" si="10">F21+I21</f>
        <v>35225.050000000003</v>
      </c>
      <c r="L21" s="29">
        <f t="shared" ref="L21" si="11">G21+J21</f>
        <v>42270.06</v>
      </c>
      <c r="M21" s="58"/>
    </row>
    <row r="22" spans="1:13" ht="30" x14ac:dyDescent="0.25">
      <c r="A22" s="35" t="s">
        <v>169</v>
      </c>
      <c r="B22" s="34" t="s">
        <v>115</v>
      </c>
      <c r="C22" s="33" t="s">
        <v>11</v>
      </c>
      <c r="D22" s="32">
        <v>1</v>
      </c>
      <c r="E22" s="31"/>
      <c r="F22" s="29"/>
      <c r="G22" s="29"/>
      <c r="H22" s="92">
        <v>35225.049999999996</v>
      </c>
      <c r="I22" s="29">
        <f t="shared" ref="I22:I33" si="12">ROUND(H22*D22,2)</f>
        <v>35225.050000000003</v>
      </c>
      <c r="J22" s="29">
        <f t="shared" si="9"/>
        <v>42270.06</v>
      </c>
      <c r="K22" s="30">
        <f t="shared" ref="K22:K33" si="13">F22+I22</f>
        <v>35225.050000000003</v>
      </c>
      <c r="L22" s="29">
        <f t="shared" ref="L22:L33" si="14">G22+J22</f>
        <v>42270.06</v>
      </c>
      <c r="M22" s="58"/>
    </row>
    <row r="23" spans="1:13" ht="30" x14ac:dyDescent="0.25">
      <c r="A23" s="35" t="s">
        <v>170</v>
      </c>
      <c r="B23" s="34" t="s">
        <v>116</v>
      </c>
      <c r="C23" s="33" t="s">
        <v>11</v>
      </c>
      <c r="D23" s="32">
        <v>1</v>
      </c>
      <c r="E23" s="31"/>
      <c r="F23" s="29"/>
      <c r="G23" s="29"/>
      <c r="H23" s="92">
        <v>35225.049999999996</v>
      </c>
      <c r="I23" s="29">
        <f t="shared" si="12"/>
        <v>35225.050000000003</v>
      </c>
      <c r="J23" s="29">
        <f t="shared" si="9"/>
        <v>42270.06</v>
      </c>
      <c r="K23" s="30">
        <f t="shared" si="13"/>
        <v>35225.050000000003</v>
      </c>
      <c r="L23" s="29">
        <f t="shared" si="14"/>
        <v>42270.06</v>
      </c>
      <c r="M23" s="58"/>
    </row>
    <row r="24" spans="1:13" ht="30" x14ac:dyDescent="0.25">
      <c r="A24" s="35" t="s">
        <v>171</v>
      </c>
      <c r="B24" s="34" t="s">
        <v>117</v>
      </c>
      <c r="C24" s="33" t="s">
        <v>11</v>
      </c>
      <c r="D24" s="32">
        <v>1</v>
      </c>
      <c r="E24" s="31"/>
      <c r="F24" s="29"/>
      <c r="G24" s="29"/>
      <c r="H24" s="92">
        <v>35225.049999999996</v>
      </c>
      <c r="I24" s="29">
        <f t="shared" si="12"/>
        <v>35225.050000000003</v>
      </c>
      <c r="J24" s="29">
        <f t="shared" si="9"/>
        <v>42270.06</v>
      </c>
      <c r="K24" s="30">
        <f t="shared" si="13"/>
        <v>35225.050000000003</v>
      </c>
      <c r="L24" s="29">
        <f t="shared" si="14"/>
        <v>42270.06</v>
      </c>
      <c r="M24" s="58"/>
    </row>
    <row r="25" spans="1:13" ht="30" x14ac:dyDescent="0.25">
      <c r="A25" s="35" t="s">
        <v>172</v>
      </c>
      <c r="B25" s="34" t="s">
        <v>118</v>
      </c>
      <c r="C25" s="33" t="s">
        <v>11</v>
      </c>
      <c r="D25" s="32">
        <v>1</v>
      </c>
      <c r="E25" s="31"/>
      <c r="F25" s="29"/>
      <c r="G25" s="29"/>
      <c r="H25" s="92">
        <v>34499.25</v>
      </c>
      <c r="I25" s="29">
        <f t="shared" si="12"/>
        <v>34499.25</v>
      </c>
      <c r="J25" s="29">
        <f t="shared" si="9"/>
        <v>41399.1</v>
      </c>
      <c r="K25" s="30">
        <f t="shared" si="13"/>
        <v>34499.25</v>
      </c>
      <c r="L25" s="29">
        <f t="shared" si="14"/>
        <v>41399.1</v>
      </c>
      <c r="M25" s="58"/>
    </row>
    <row r="26" spans="1:13" ht="30" x14ac:dyDescent="0.25">
      <c r="A26" s="35" t="s">
        <v>242</v>
      </c>
      <c r="B26" s="34" t="s">
        <v>119</v>
      </c>
      <c r="C26" s="33" t="s">
        <v>11</v>
      </c>
      <c r="D26" s="32">
        <v>1</v>
      </c>
      <c r="E26" s="31"/>
      <c r="F26" s="29"/>
      <c r="G26" s="29"/>
      <c r="H26" s="92">
        <v>34499.25</v>
      </c>
      <c r="I26" s="29">
        <f t="shared" si="12"/>
        <v>34499.25</v>
      </c>
      <c r="J26" s="29">
        <f t="shared" si="9"/>
        <v>41399.1</v>
      </c>
      <c r="K26" s="30">
        <f t="shared" si="13"/>
        <v>34499.25</v>
      </c>
      <c r="L26" s="29">
        <f t="shared" si="14"/>
        <v>41399.1</v>
      </c>
      <c r="M26" s="58"/>
    </row>
    <row r="27" spans="1:13" ht="30" x14ac:dyDescent="0.25">
      <c r="A27" s="35" t="s">
        <v>243</v>
      </c>
      <c r="B27" s="34" t="s">
        <v>120</v>
      </c>
      <c r="C27" s="33" t="s">
        <v>11</v>
      </c>
      <c r="D27" s="32">
        <v>1</v>
      </c>
      <c r="E27" s="31"/>
      <c r="F27" s="29"/>
      <c r="G27" s="29"/>
      <c r="H27" s="92">
        <v>34499.25</v>
      </c>
      <c r="I27" s="29">
        <f t="shared" si="12"/>
        <v>34499.25</v>
      </c>
      <c r="J27" s="29">
        <f t="shared" si="9"/>
        <v>41399.1</v>
      </c>
      <c r="K27" s="30">
        <f t="shared" si="13"/>
        <v>34499.25</v>
      </c>
      <c r="L27" s="29">
        <f t="shared" si="14"/>
        <v>41399.1</v>
      </c>
      <c r="M27" s="58"/>
    </row>
    <row r="28" spans="1:13" ht="30" x14ac:dyDescent="0.25">
      <c r="A28" s="35" t="s">
        <v>244</v>
      </c>
      <c r="B28" s="34" t="s">
        <v>121</v>
      </c>
      <c r="C28" s="33" t="s">
        <v>11</v>
      </c>
      <c r="D28" s="32">
        <v>1</v>
      </c>
      <c r="E28" s="31"/>
      <c r="F28" s="29"/>
      <c r="G28" s="29"/>
      <c r="H28" s="92">
        <v>34499.25</v>
      </c>
      <c r="I28" s="29">
        <f t="shared" si="12"/>
        <v>34499.25</v>
      </c>
      <c r="J28" s="29">
        <f t="shared" si="9"/>
        <v>41399.1</v>
      </c>
      <c r="K28" s="30">
        <f t="shared" si="13"/>
        <v>34499.25</v>
      </c>
      <c r="L28" s="29">
        <f t="shared" si="14"/>
        <v>41399.1</v>
      </c>
      <c r="M28" s="58"/>
    </row>
    <row r="29" spans="1:13" ht="30" x14ac:dyDescent="0.25">
      <c r="A29" s="35" t="s">
        <v>245</v>
      </c>
      <c r="B29" s="34" t="s">
        <v>122</v>
      </c>
      <c r="C29" s="33" t="s">
        <v>11</v>
      </c>
      <c r="D29" s="32">
        <v>1</v>
      </c>
      <c r="E29" s="31"/>
      <c r="F29" s="29"/>
      <c r="G29" s="29"/>
      <c r="H29" s="92">
        <v>34499.25</v>
      </c>
      <c r="I29" s="29">
        <f t="shared" si="12"/>
        <v>34499.25</v>
      </c>
      <c r="J29" s="29">
        <f t="shared" si="9"/>
        <v>41399.1</v>
      </c>
      <c r="K29" s="30">
        <f t="shared" si="13"/>
        <v>34499.25</v>
      </c>
      <c r="L29" s="29">
        <f t="shared" si="14"/>
        <v>41399.1</v>
      </c>
      <c r="M29" s="58"/>
    </row>
    <row r="30" spans="1:13" ht="30" x14ac:dyDescent="0.25">
      <c r="A30" s="35" t="s">
        <v>246</v>
      </c>
      <c r="B30" s="34" t="s">
        <v>123</v>
      </c>
      <c r="C30" s="33" t="s">
        <v>11</v>
      </c>
      <c r="D30" s="32">
        <v>1</v>
      </c>
      <c r="E30" s="31"/>
      <c r="F30" s="29"/>
      <c r="G30" s="29"/>
      <c r="H30" s="92">
        <v>33774.400000000001</v>
      </c>
      <c r="I30" s="29">
        <f t="shared" si="12"/>
        <v>33774.400000000001</v>
      </c>
      <c r="J30" s="29">
        <f t="shared" si="9"/>
        <v>40529.279999999999</v>
      </c>
      <c r="K30" s="30">
        <f t="shared" si="13"/>
        <v>33774.400000000001</v>
      </c>
      <c r="L30" s="29">
        <f t="shared" si="14"/>
        <v>40529.279999999999</v>
      </c>
      <c r="M30" s="58"/>
    </row>
    <row r="31" spans="1:13" ht="30" x14ac:dyDescent="0.25">
      <c r="A31" s="35" t="s">
        <v>247</v>
      </c>
      <c r="B31" s="34" t="s">
        <v>124</v>
      </c>
      <c r="C31" s="33" t="s">
        <v>11</v>
      </c>
      <c r="D31" s="32">
        <v>1</v>
      </c>
      <c r="E31" s="31"/>
      <c r="F31" s="29"/>
      <c r="G31" s="29"/>
      <c r="H31" s="92">
        <v>33774.400000000001</v>
      </c>
      <c r="I31" s="29">
        <f t="shared" si="12"/>
        <v>33774.400000000001</v>
      </c>
      <c r="J31" s="29">
        <f t="shared" si="9"/>
        <v>40529.279999999999</v>
      </c>
      <c r="K31" s="30">
        <f t="shared" si="13"/>
        <v>33774.400000000001</v>
      </c>
      <c r="L31" s="29">
        <f t="shared" si="14"/>
        <v>40529.279999999999</v>
      </c>
      <c r="M31" s="58"/>
    </row>
    <row r="32" spans="1:13" ht="30" x14ac:dyDescent="0.25">
      <c r="A32" s="35" t="s">
        <v>248</v>
      </c>
      <c r="B32" s="34" t="s">
        <v>125</v>
      </c>
      <c r="C32" s="33" t="s">
        <v>11</v>
      </c>
      <c r="D32" s="32">
        <v>1</v>
      </c>
      <c r="E32" s="31"/>
      <c r="F32" s="29"/>
      <c r="G32" s="29"/>
      <c r="H32" s="92">
        <v>33774.400000000001</v>
      </c>
      <c r="I32" s="29">
        <f t="shared" si="12"/>
        <v>33774.400000000001</v>
      </c>
      <c r="J32" s="29">
        <f t="shared" si="9"/>
        <v>40529.279999999999</v>
      </c>
      <c r="K32" s="30">
        <f t="shared" si="13"/>
        <v>33774.400000000001</v>
      </c>
      <c r="L32" s="29">
        <f t="shared" si="14"/>
        <v>40529.279999999999</v>
      </c>
      <c r="M32" s="58"/>
    </row>
    <row r="33" spans="1:13" ht="30" x14ac:dyDescent="0.25">
      <c r="A33" s="35" t="s">
        <v>249</v>
      </c>
      <c r="B33" s="34" t="s">
        <v>126</v>
      </c>
      <c r="C33" s="33" t="s">
        <v>11</v>
      </c>
      <c r="D33" s="32">
        <v>26</v>
      </c>
      <c r="E33" s="31"/>
      <c r="F33" s="29"/>
      <c r="G33" s="29"/>
      <c r="H33" s="92">
        <v>9033.5499999999993</v>
      </c>
      <c r="I33" s="29">
        <f t="shared" si="12"/>
        <v>234872.3</v>
      </c>
      <c r="J33" s="29">
        <f t="shared" si="9"/>
        <v>281846.76</v>
      </c>
      <c r="K33" s="30">
        <f t="shared" si="13"/>
        <v>234872.3</v>
      </c>
      <c r="L33" s="29">
        <f t="shared" si="14"/>
        <v>281846.76</v>
      </c>
      <c r="M33" s="58"/>
    </row>
    <row r="34" spans="1:13" ht="18.75" customHeight="1" x14ac:dyDescent="0.25">
      <c r="A34" s="55">
        <f>A20+1</f>
        <v>5</v>
      </c>
      <c r="B34" s="47" t="s">
        <v>76</v>
      </c>
      <c r="C34" s="75" t="s">
        <v>9</v>
      </c>
      <c r="D34" s="48">
        <v>9.56</v>
      </c>
      <c r="E34" s="27">
        <v>1899.05</v>
      </c>
      <c r="F34" s="39">
        <f t="shared" si="0"/>
        <v>18154.919999999998</v>
      </c>
      <c r="G34" s="39">
        <f t="shared" si="1"/>
        <v>21785.9</v>
      </c>
      <c r="H34" s="38"/>
      <c r="I34" s="37"/>
      <c r="J34" s="37"/>
      <c r="K34" s="25">
        <f t="shared" si="2"/>
        <v>18154.919999999998</v>
      </c>
      <c r="L34" s="24">
        <f t="shared" si="3"/>
        <v>21785.9</v>
      </c>
      <c r="M34" s="71"/>
    </row>
    <row r="35" spans="1:13" ht="15.75" x14ac:dyDescent="0.25">
      <c r="A35" s="35" t="s">
        <v>41</v>
      </c>
      <c r="B35" s="34" t="s">
        <v>128</v>
      </c>
      <c r="C35" s="33" t="s">
        <v>36</v>
      </c>
      <c r="D35" s="32">
        <v>80</v>
      </c>
      <c r="E35" s="31"/>
      <c r="F35" s="29"/>
      <c r="G35" s="29"/>
      <c r="H35" s="92">
        <v>84.55</v>
      </c>
      <c r="I35" s="29">
        <f t="shared" ref="I35" si="15">ROUND(H35*D35,2)</f>
        <v>6764</v>
      </c>
      <c r="J35" s="29">
        <f t="shared" si="9"/>
        <v>8116.8</v>
      </c>
      <c r="K35" s="30">
        <f t="shared" si="2"/>
        <v>6764</v>
      </c>
      <c r="L35" s="29">
        <f t="shared" si="3"/>
        <v>8116.8</v>
      </c>
      <c r="M35" s="58"/>
    </row>
    <row r="36" spans="1:13" ht="15.75" x14ac:dyDescent="0.25">
      <c r="A36" s="35" t="s">
        <v>192</v>
      </c>
      <c r="B36" s="34" t="s">
        <v>129</v>
      </c>
      <c r="C36" s="33" t="s">
        <v>36</v>
      </c>
      <c r="D36" s="32">
        <v>8.1999999999999993</v>
      </c>
      <c r="E36" s="31"/>
      <c r="F36" s="29"/>
      <c r="G36" s="29"/>
      <c r="H36" s="92">
        <v>84.55</v>
      </c>
      <c r="I36" s="29">
        <f t="shared" ref="I36:I38" si="16">ROUND(H36*D36,2)</f>
        <v>693.31</v>
      </c>
      <c r="J36" s="29">
        <f t="shared" si="9"/>
        <v>831.97</v>
      </c>
      <c r="K36" s="30">
        <f t="shared" ref="K36:K38" si="17">F36+I36</f>
        <v>693.31</v>
      </c>
      <c r="L36" s="29">
        <f t="shared" ref="L36:L38" si="18">G36+J36</f>
        <v>831.97</v>
      </c>
      <c r="M36" s="58"/>
    </row>
    <row r="37" spans="1:13" ht="15.75" x14ac:dyDescent="0.25">
      <c r="A37" s="35" t="s">
        <v>193</v>
      </c>
      <c r="B37" s="34" t="s">
        <v>130</v>
      </c>
      <c r="C37" s="33" t="s">
        <v>9</v>
      </c>
      <c r="D37" s="32">
        <v>5.0298000000000007</v>
      </c>
      <c r="E37" s="31"/>
      <c r="F37" s="29"/>
      <c r="G37" s="29"/>
      <c r="H37" s="92">
        <v>4206.5999999999995</v>
      </c>
      <c r="I37" s="29">
        <f t="shared" si="16"/>
        <v>21158.36</v>
      </c>
      <c r="J37" s="29">
        <f t="shared" si="9"/>
        <v>25390.03</v>
      </c>
      <c r="K37" s="30">
        <f t="shared" si="17"/>
        <v>21158.36</v>
      </c>
      <c r="L37" s="29">
        <f t="shared" si="18"/>
        <v>25390.03</v>
      </c>
      <c r="M37" s="58"/>
    </row>
    <row r="38" spans="1:13" ht="15.75" x14ac:dyDescent="0.25">
      <c r="A38" s="35" t="s">
        <v>250</v>
      </c>
      <c r="B38" s="34" t="s">
        <v>131</v>
      </c>
      <c r="C38" s="33" t="s">
        <v>9</v>
      </c>
      <c r="D38" s="32">
        <v>4.6257999999999999</v>
      </c>
      <c r="E38" s="31"/>
      <c r="F38" s="29"/>
      <c r="G38" s="29"/>
      <c r="H38" s="92">
        <v>4206.5999999999995</v>
      </c>
      <c r="I38" s="29">
        <f t="shared" si="16"/>
        <v>19458.89</v>
      </c>
      <c r="J38" s="29">
        <f t="shared" si="9"/>
        <v>23350.67</v>
      </c>
      <c r="K38" s="30">
        <f t="shared" si="17"/>
        <v>19458.89</v>
      </c>
      <c r="L38" s="29">
        <f t="shared" si="18"/>
        <v>23350.67</v>
      </c>
      <c r="M38" s="58"/>
    </row>
    <row r="39" spans="1:13" ht="18.75" customHeight="1" x14ac:dyDescent="0.25">
      <c r="A39" s="55">
        <f>A34+1</f>
        <v>6</v>
      </c>
      <c r="B39" s="47" t="s">
        <v>77</v>
      </c>
      <c r="C39" s="75" t="s">
        <v>33</v>
      </c>
      <c r="D39" s="48">
        <v>8.6</v>
      </c>
      <c r="E39" s="27">
        <v>957.31279069767459</v>
      </c>
      <c r="F39" s="39">
        <f t="shared" si="0"/>
        <v>8232.89</v>
      </c>
      <c r="G39" s="39">
        <f t="shared" si="1"/>
        <v>9879.4699999999993</v>
      </c>
      <c r="H39" s="38"/>
      <c r="I39" s="37"/>
      <c r="J39" s="37"/>
      <c r="K39" s="25">
        <f t="shared" si="2"/>
        <v>8232.89</v>
      </c>
      <c r="L39" s="24">
        <f t="shared" si="3"/>
        <v>9879.4699999999993</v>
      </c>
      <c r="M39" s="71"/>
    </row>
    <row r="40" spans="1:13" ht="18.75" customHeight="1" x14ac:dyDescent="0.25">
      <c r="A40" s="55">
        <f t="shared" ref="A40:A41" si="19">A39+1</f>
        <v>7</v>
      </c>
      <c r="B40" s="47" t="s">
        <v>78</v>
      </c>
      <c r="C40" s="75" t="s">
        <v>33</v>
      </c>
      <c r="D40" s="48">
        <v>8.6</v>
      </c>
      <c r="E40" s="27">
        <v>80.75</v>
      </c>
      <c r="F40" s="39">
        <f t="shared" si="0"/>
        <v>694.45</v>
      </c>
      <c r="G40" s="39">
        <f t="shared" si="1"/>
        <v>833.34</v>
      </c>
      <c r="H40" s="38"/>
      <c r="I40" s="37"/>
      <c r="J40" s="37"/>
      <c r="K40" s="25">
        <f t="shared" si="2"/>
        <v>694.45</v>
      </c>
      <c r="L40" s="24">
        <f t="shared" si="3"/>
        <v>833.34</v>
      </c>
      <c r="M40" s="71"/>
    </row>
    <row r="41" spans="1:13" ht="18.75" customHeight="1" x14ac:dyDescent="0.25">
      <c r="A41" s="55">
        <f t="shared" si="19"/>
        <v>8</v>
      </c>
      <c r="B41" s="47" t="s">
        <v>79</v>
      </c>
      <c r="C41" s="75" t="s">
        <v>33</v>
      </c>
      <c r="D41" s="48">
        <v>8.6</v>
      </c>
      <c r="E41" s="27">
        <v>99.626499999999993</v>
      </c>
      <c r="F41" s="39">
        <f t="shared" si="0"/>
        <v>856.79</v>
      </c>
      <c r="G41" s="39">
        <f t="shared" si="1"/>
        <v>1028.1500000000001</v>
      </c>
      <c r="H41" s="38"/>
      <c r="I41" s="37"/>
      <c r="J41" s="37"/>
      <c r="K41" s="25">
        <f t="shared" si="2"/>
        <v>856.79</v>
      </c>
      <c r="L41" s="24">
        <f t="shared" si="3"/>
        <v>1028.1500000000001</v>
      </c>
      <c r="M41" s="71"/>
    </row>
    <row r="42" spans="1:13" ht="18.75" customHeight="1" x14ac:dyDescent="0.25">
      <c r="A42" s="35" t="s">
        <v>12</v>
      </c>
      <c r="B42" s="34" t="s">
        <v>127</v>
      </c>
      <c r="C42" s="33" t="s">
        <v>36</v>
      </c>
      <c r="D42" s="32">
        <v>2.7519999999999998</v>
      </c>
      <c r="E42" s="31"/>
      <c r="F42" s="29"/>
      <c r="G42" s="29"/>
      <c r="H42" s="92">
        <v>172.9</v>
      </c>
      <c r="I42" s="29">
        <f t="shared" ref="I42" si="20">ROUND(H42*D42,2)</f>
        <v>475.82</v>
      </c>
      <c r="J42" s="29">
        <f t="shared" ref="J42:J46" si="21">ROUND(I42*1.2,2)</f>
        <v>570.98</v>
      </c>
      <c r="K42" s="30">
        <f t="shared" ref="K42" si="22">F42+I42</f>
        <v>475.82</v>
      </c>
      <c r="L42" s="29">
        <f t="shared" ref="L42" si="23">G42+J42</f>
        <v>570.98</v>
      </c>
      <c r="M42" s="58"/>
    </row>
    <row r="43" spans="1:13" ht="18.75" customHeight="1" x14ac:dyDescent="0.25">
      <c r="A43" s="55">
        <f>A41+1</f>
        <v>9</v>
      </c>
      <c r="B43" s="47" t="s">
        <v>80</v>
      </c>
      <c r="C43" s="75" t="s">
        <v>33</v>
      </c>
      <c r="D43" s="48">
        <v>8.6</v>
      </c>
      <c r="E43" s="27">
        <v>144.4</v>
      </c>
      <c r="F43" s="39">
        <f t="shared" si="0"/>
        <v>1241.8399999999999</v>
      </c>
      <c r="G43" s="39">
        <f t="shared" si="1"/>
        <v>1490.21</v>
      </c>
      <c r="H43" s="38"/>
      <c r="I43" s="37"/>
      <c r="J43" s="37"/>
      <c r="K43" s="25">
        <f t="shared" si="2"/>
        <v>1241.8399999999999</v>
      </c>
      <c r="L43" s="24">
        <f t="shared" si="3"/>
        <v>1490.21</v>
      </c>
      <c r="M43" s="71"/>
    </row>
    <row r="44" spans="1:13" ht="18.75" customHeight="1" x14ac:dyDescent="0.25">
      <c r="A44" s="35" t="s">
        <v>10</v>
      </c>
      <c r="B44" s="34" t="s">
        <v>112</v>
      </c>
      <c r="C44" s="33" t="s">
        <v>36</v>
      </c>
      <c r="D44" s="32">
        <v>1.29</v>
      </c>
      <c r="E44" s="31"/>
      <c r="F44" s="29"/>
      <c r="G44" s="29"/>
      <c r="H44" s="92">
        <v>1307.2</v>
      </c>
      <c r="I44" s="29">
        <f t="shared" ref="I44" si="24">ROUND(H44*D44,2)</f>
        <v>1686.29</v>
      </c>
      <c r="J44" s="29">
        <f t="shared" si="21"/>
        <v>2023.55</v>
      </c>
      <c r="K44" s="30">
        <f t="shared" si="2"/>
        <v>1686.29</v>
      </c>
      <c r="L44" s="29">
        <f t="shared" si="3"/>
        <v>2023.55</v>
      </c>
      <c r="M44" s="58"/>
    </row>
    <row r="45" spans="1:13" ht="18.75" customHeight="1" x14ac:dyDescent="0.25">
      <c r="A45" s="55">
        <f>A43+1</f>
        <v>10</v>
      </c>
      <c r="B45" s="47" t="s">
        <v>81</v>
      </c>
      <c r="C45" s="75" t="s">
        <v>33</v>
      </c>
      <c r="D45" s="48">
        <v>8.6</v>
      </c>
      <c r="E45" s="27">
        <v>144.4</v>
      </c>
      <c r="F45" s="39">
        <f t="shared" si="0"/>
        <v>1241.8399999999999</v>
      </c>
      <c r="G45" s="39">
        <f t="shared" si="1"/>
        <v>1490.21</v>
      </c>
      <c r="H45" s="38"/>
      <c r="I45" s="37"/>
      <c r="J45" s="37"/>
      <c r="K45" s="25">
        <f t="shared" si="2"/>
        <v>1241.8399999999999</v>
      </c>
      <c r="L45" s="24">
        <f t="shared" si="3"/>
        <v>1490.21</v>
      </c>
      <c r="M45" s="71"/>
    </row>
    <row r="46" spans="1:13" ht="30" customHeight="1" x14ac:dyDescent="0.25">
      <c r="A46" s="35" t="s">
        <v>87</v>
      </c>
      <c r="B46" s="34" t="s">
        <v>113</v>
      </c>
      <c r="C46" s="33" t="s">
        <v>36</v>
      </c>
      <c r="D46" s="32">
        <v>2.81</v>
      </c>
      <c r="E46" s="31"/>
      <c r="F46" s="29"/>
      <c r="G46" s="29"/>
      <c r="H46" s="92">
        <v>627</v>
      </c>
      <c r="I46" s="29">
        <f t="shared" ref="I46" si="25">ROUND(H46*D46,2)</f>
        <v>1761.87</v>
      </c>
      <c r="J46" s="29">
        <f t="shared" si="21"/>
        <v>2114.2399999999998</v>
      </c>
      <c r="K46" s="30">
        <f t="shared" ref="K46" si="26">F46+I46</f>
        <v>1761.87</v>
      </c>
      <c r="L46" s="29">
        <f t="shared" ref="L46" si="27">G46+J46</f>
        <v>2114.2399999999998</v>
      </c>
      <c r="M46" s="58"/>
    </row>
    <row r="47" spans="1:13" s="21" customFormat="1" ht="23.25" customHeight="1" x14ac:dyDescent="0.3">
      <c r="A47" s="134" t="s">
        <v>8</v>
      </c>
      <c r="B47" s="135"/>
      <c r="C47" s="135"/>
      <c r="D47" s="135"/>
      <c r="E47" s="136"/>
      <c r="F47" s="22">
        <f>SUM(F8:F46)</f>
        <v>73055.139999999985</v>
      </c>
      <c r="G47" s="22">
        <f>ROUND(F47*1.2,2)</f>
        <v>87666.17</v>
      </c>
      <c r="H47" s="23"/>
      <c r="I47" s="22">
        <f>SUM(I8:I46)</f>
        <v>719311.62000000011</v>
      </c>
      <c r="J47" s="22">
        <f>ROUND(I47*1.2,2)</f>
        <v>863173.94</v>
      </c>
      <c r="K47" s="22">
        <f>SUM(K8:K46)</f>
        <v>792366.76</v>
      </c>
      <c r="L47" s="22">
        <f>ROUND(K47*1.2,2)</f>
        <v>950840.11</v>
      </c>
    </row>
  </sheetData>
  <mergeCells count="10">
    <mergeCell ref="B6:D6"/>
    <mergeCell ref="A47:E4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Свод АС1</vt:lpstr>
      <vt:lpstr>ФМ1</vt:lpstr>
      <vt:lpstr>ФМ2</vt:lpstr>
      <vt:lpstr>Опоры ОП1</vt:lpstr>
      <vt:lpstr>Фермы Ф1, Ф2</vt:lpstr>
      <vt:lpstr>Смещение закладных</vt:lpstr>
      <vt:lpstr>Площадка</vt:lpstr>
      <vt:lpstr>Водосток</vt:lpstr>
      <vt:lpstr>Водосток!Область_печати</vt:lpstr>
      <vt:lpstr>'Опоры ОП1'!Область_печати</vt:lpstr>
      <vt:lpstr>Площадка!Область_печати</vt:lpstr>
      <vt:lpstr>'Свод АС1'!Область_печати</vt:lpstr>
      <vt:lpstr>'Смещение закладных'!Область_печати</vt:lpstr>
      <vt:lpstr>'Фермы Ф1, Ф2'!Область_печати</vt:lpstr>
      <vt:lpstr>ФМ1!Область_печати</vt:lpstr>
      <vt:lpstr>ФМ2!Область_печати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2024-06-06T08:23:11Z</dcterms:created>
  <dcterms:modified xsi:type="dcterms:W3CDTF">2024-06-18T11:21:51Z</dcterms:modified>
</cp:coreProperties>
</file>