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47EDE23E-6262-43C2-9E12-37358407F9E2}" xr6:coauthVersionLast="47" xr6:coauthVersionMax="47" xr10:uidLastSave="{00000000-0000-0000-0000-000000000000}"/>
  <bookViews>
    <workbookView xWindow="-120" yWindow="-120" windowWidth="51840" windowHeight="21240" tabRatio="811" activeTab="1" xr2:uid="{00000000-000D-0000-FFFF-FFFF00000000}"/>
  </bookViews>
  <sheets>
    <sheet name="Свод НВК3" sheetId="1" r:id="rId1"/>
    <sheet name="В1-3А, В1-4" sheetId="5" r:id="rId2"/>
    <sheet name="В1-4-до Уг.1" sheetId="6" r:id="rId3"/>
    <sheet name="Уг.1-до Уг.2" sheetId="7" r:id="rId4"/>
    <sheet name="Уг.2-до В1нов" sheetId="8" r:id="rId5"/>
    <sheet name="В1-30-В1-31" sheetId="4" r:id="rId6"/>
    <sheet name="В1-1-В1-1А" sheetId="2" r:id="rId7"/>
    <sheet name="В1-2-В1-2А" sheetId="3" r:id="rId8"/>
    <sheet name="В1нов1-В15" sheetId="9" r:id="rId9"/>
    <sheet name="В1нов1-цех121" sheetId="10" r:id="rId10"/>
    <sheet name="В1нов1-В17" sheetId="11" r:id="rId11"/>
    <sheet name="В1-7-В1-8" sheetId="12" r:id="rId12"/>
    <sheet name="Лист1" sheetId="13" r:id="rId13"/>
  </sheets>
  <definedNames>
    <definedName name="_xlnm.Print_Area" localSheetId="6">'В1-1-В1-1А'!$A$1:$L$94</definedName>
    <definedName name="_xlnm.Print_Area" localSheetId="7">'В1-2-В1-2А'!$A$1:$L$105</definedName>
    <definedName name="_xlnm.Print_Area" localSheetId="5">'В1-30-В1-31'!$A$1:$L$117</definedName>
    <definedName name="_xlnm.Print_Area" localSheetId="1">'В1-3А, В1-4'!$A$1:$L$149</definedName>
    <definedName name="_xlnm.Print_Area" localSheetId="2">'В1-4-до Уг.1'!$A$1:$L$38</definedName>
    <definedName name="_xlnm.Print_Area" localSheetId="11">'В1-7-В1-8'!$A$1:$L$27</definedName>
    <definedName name="_xlnm.Print_Area" localSheetId="8">'В1нов1-В15'!$A$1:$L$116</definedName>
    <definedName name="_xlnm.Print_Area" localSheetId="10">'В1нов1-В17'!$A$1:$L$48</definedName>
    <definedName name="_xlnm.Print_Area" localSheetId="9">'В1нов1-цех121'!$A$1:$L$30</definedName>
    <definedName name="_xlnm.Print_Area" localSheetId="0">'Свод НВК3'!$A$1:$H$14</definedName>
    <definedName name="_xlnm.Print_Area" localSheetId="3">'Уг.1-до Уг.2'!$A$1:$L$57</definedName>
    <definedName name="_xlnm.Print_Area" localSheetId="4">'Уг.2-до В1нов'!$A$1:$L$31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9" l="1"/>
  <c r="D32" i="9"/>
  <c r="D82" i="3"/>
  <c r="D17" i="2" l="1"/>
  <c r="D13" i="2"/>
  <c r="D50" i="7"/>
  <c r="E34" i="11"/>
  <c r="H141" i="5" l="1"/>
  <c r="E19" i="5" l="1"/>
  <c r="E18" i="5" s="1"/>
  <c r="E21" i="5"/>
  <c r="E33" i="5" s="1"/>
  <c r="I63" i="5" l="1"/>
  <c r="J63" i="5" s="1"/>
  <c r="L63" i="5" s="1"/>
  <c r="I64" i="5"/>
  <c r="J64" i="5" s="1"/>
  <c r="L64" i="5" s="1"/>
  <c r="K64" i="5" l="1"/>
  <c r="K63" i="5"/>
  <c r="I35" i="11"/>
  <c r="D21" i="12"/>
  <c r="F21" i="12" s="1"/>
  <c r="K21" i="12" s="1"/>
  <c r="D26" i="12"/>
  <c r="I26" i="12" s="1"/>
  <c r="F25" i="12"/>
  <c r="K25" i="12" s="1"/>
  <c r="D24" i="12"/>
  <c r="I24" i="12" s="1"/>
  <c r="F23" i="12"/>
  <c r="K23" i="12" s="1"/>
  <c r="I22" i="12"/>
  <c r="F19" i="12"/>
  <c r="K19" i="12" s="1"/>
  <c r="D18" i="12"/>
  <c r="I18" i="12" s="1"/>
  <c r="F17" i="12"/>
  <c r="K17" i="12" s="1"/>
  <c r="D16" i="12"/>
  <c r="I16" i="12" s="1"/>
  <c r="F15" i="12"/>
  <c r="G15" i="12" s="1"/>
  <c r="L15" i="12" s="1"/>
  <c r="F14" i="12"/>
  <c r="K14" i="12" s="1"/>
  <c r="F13" i="12"/>
  <c r="K13" i="12" s="1"/>
  <c r="F11" i="12"/>
  <c r="K11" i="12" s="1"/>
  <c r="F9" i="12"/>
  <c r="G9" i="12" s="1"/>
  <c r="L9" i="12" s="1"/>
  <c r="E8" i="12"/>
  <c r="F8" i="12" s="1"/>
  <c r="A9" i="12"/>
  <c r="F46" i="11"/>
  <c r="G46" i="11" s="1"/>
  <c r="L46" i="11" s="1"/>
  <c r="I47" i="11"/>
  <c r="K47" i="11" s="1"/>
  <c r="I45" i="11"/>
  <c r="K45" i="11" s="1"/>
  <c r="F44" i="11"/>
  <c r="G44" i="11" s="1"/>
  <c r="L44" i="11" s="1"/>
  <c r="I43" i="11"/>
  <c r="K43" i="11" s="1"/>
  <c r="F42" i="11"/>
  <c r="G42" i="11" s="1"/>
  <c r="L42" i="11" s="1"/>
  <c r="I41" i="11"/>
  <c r="K41" i="11" s="1"/>
  <c r="F40" i="11"/>
  <c r="G40" i="11" s="1"/>
  <c r="L40" i="11" s="1"/>
  <c r="I39" i="11"/>
  <c r="K39" i="11" s="1"/>
  <c r="F38" i="11"/>
  <c r="K38" i="11" s="1"/>
  <c r="F34" i="11"/>
  <c r="K34" i="11" s="1"/>
  <c r="F33" i="11"/>
  <c r="K33" i="11" s="1"/>
  <c r="I32" i="11"/>
  <c r="K32" i="11" s="1"/>
  <c r="F31" i="11"/>
  <c r="G31" i="11" s="1"/>
  <c r="L31" i="11" s="1"/>
  <c r="F24" i="11"/>
  <c r="K24" i="11" s="1"/>
  <c r="D19" i="11"/>
  <c r="I19" i="11" s="1"/>
  <c r="J19" i="11" s="1"/>
  <c r="L19" i="11" s="1"/>
  <c r="D37" i="11"/>
  <c r="I37" i="11" s="1"/>
  <c r="F36" i="11"/>
  <c r="K36" i="11" s="1"/>
  <c r="I30" i="11"/>
  <c r="K30" i="11" s="1"/>
  <c r="D29" i="11"/>
  <c r="I29" i="11" s="1"/>
  <c r="E28" i="11"/>
  <c r="F28" i="11" s="1"/>
  <c r="K28" i="11" s="1"/>
  <c r="D27" i="11"/>
  <c r="I27" i="11" s="1"/>
  <c r="F26" i="11"/>
  <c r="K26" i="11" s="1"/>
  <c r="F23" i="11"/>
  <c r="K23" i="11" s="1"/>
  <c r="F22" i="11"/>
  <c r="K22" i="11" s="1"/>
  <c r="D21" i="11"/>
  <c r="I21" i="11" s="1"/>
  <c r="F20" i="11"/>
  <c r="K20" i="11" s="1"/>
  <c r="F18" i="11"/>
  <c r="K18" i="11" s="1"/>
  <c r="F17" i="11"/>
  <c r="K17" i="11" s="1"/>
  <c r="F16" i="11"/>
  <c r="K16" i="11" s="1"/>
  <c r="F14" i="11"/>
  <c r="G14" i="11" s="1"/>
  <c r="L14" i="11" s="1"/>
  <c r="F13" i="11"/>
  <c r="K13" i="11" s="1"/>
  <c r="F11" i="11"/>
  <c r="K11" i="11" s="1"/>
  <c r="E10" i="11"/>
  <c r="F10" i="11" s="1"/>
  <c r="K10" i="11" s="1"/>
  <c r="F9" i="11"/>
  <c r="A9" i="11"/>
  <c r="A10" i="11" s="1"/>
  <c r="A11" i="11" s="1"/>
  <c r="A13" i="11" s="1"/>
  <c r="A14" i="11" s="1"/>
  <c r="A16" i="11" s="1"/>
  <c r="F8" i="11"/>
  <c r="K8" i="11" s="1"/>
  <c r="I29" i="10"/>
  <c r="K29" i="10" s="1"/>
  <c r="F28" i="10"/>
  <c r="G28" i="10" s="1"/>
  <c r="L28" i="10" s="1"/>
  <c r="I27" i="10"/>
  <c r="J27" i="10" s="1"/>
  <c r="L27" i="10" s="1"/>
  <c r="F26" i="10"/>
  <c r="K26" i="10" s="1"/>
  <c r="F24" i="10"/>
  <c r="K24" i="10" s="1"/>
  <c r="I25" i="10"/>
  <c r="K25" i="10" s="1"/>
  <c r="I21" i="10"/>
  <c r="F20" i="10"/>
  <c r="K20" i="10" s="1"/>
  <c r="F17" i="10"/>
  <c r="K17" i="10" s="1"/>
  <c r="D12" i="10"/>
  <c r="I12" i="10" s="1"/>
  <c r="F11" i="10"/>
  <c r="K11" i="10" s="1"/>
  <c r="F8" i="10"/>
  <c r="K8" i="10" s="1"/>
  <c r="A8" i="10"/>
  <c r="A9" i="10" s="1"/>
  <c r="F19" i="10"/>
  <c r="K19" i="10" s="1"/>
  <c r="D23" i="10"/>
  <c r="I23" i="10" s="1"/>
  <c r="F22" i="10"/>
  <c r="K22" i="10" s="1"/>
  <c r="F16" i="10"/>
  <c r="K16" i="10" s="1"/>
  <c r="F15" i="10"/>
  <c r="G15" i="10" s="1"/>
  <c r="L15" i="10" s="1"/>
  <c r="D14" i="10"/>
  <c r="I14" i="10" s="1"/>
  <c r="K14" i="10" s="1"/>
  <c r="F13" i="10"/>
  <c r="K13" i="10" s="1"/>
  <c r="F10" i="10"/>
  <c r="K10" i="10" s="1"/>
  <c r="F9" i="10"/>
  <c r="G9" i="10" s="1"/>
  <c r="L9" i="10" s="1"/>
  <c r="D99" i="9"/>
  <c r="I99" i="9" s="1"/>
  <c r="D98" i="9"/>
  <c r="I98" i="9" s="1"/>
  <c r="D97" i="9"/>
  <c r="I97" i="9" s="1"/>
  <c r="D107" i="9"/>
  <c r="I107" i="9" s="1"/>
  <c r="D106" i="9"/>
  <c r="D105" i="9"/>
  <c r="I105" i="9" s="1"/>
  <c r="I106" i="9"/>
  <c r="I115" i="9"/>
  <c r="K115" i="9" s="1"/>
  <c r="F114" i="9"/>
  <c r="G114" i="9" s="1"/>
  <c r="L114" i="9" s="1"/>
  <c r="I113" i="9"/>
  <c r="K113" i="9" s="1"/>
  <c r="F112" i="9"/>
  <c r="K112" i="9" s="1"/>
  <c r="H70" i="9"/>
  <c r="I70" i="9" s="1"/>
  <c r="K70" i="9" s="1"/>
  <c r="E69" i="9"/>
  <c r="F69" i="9" s="1"/>
  <c r="H111" i="9"/>
  <c r="I111" i="9" s="1"/>
  <c r="K111" i="9" s="1"/>
  <c r="E110" i="9"/>
  <c r="F110" i="9" s="1"/>
  <c r="K110" i="9" s="1"/>
  <c r="I109" i="9"/>
  <c r="K109" i="9" s="1"/>
  <c r="F108" i="9"/>
  <c r="G108" i="9" s="1"/>
  <c r="L108" i="9" s="1"/>
  <c r="I104" i="9"/>
  <c r="K104" i="9" s="1"/>
  <c r="I103" i="9"/>
  <c r="J103" i="9" s="1"/>
  <c r="L103" i="9" s="1"/>
  <c r="F102" i="9"/>
  <c r="G102" i="9" s="1"/>
  <c r="L102" i="9" s="1"/>
  <c r="I101" i="9"/>
  <c r="K101" i="9" s="1"/>
  <c r="F100" i="9"/>
  <c r="G100" i="9" s="1"/>
  <c r="L100" i="9" s="1"/>
  <c r="I96" i="9"/>
  <c r="K96" i="9" s="1"/>
  <c r="I95" i="9"/>
  <c r="J95" i="9" s="1"/>
  <c r="L95" i="9" s="1"/>
  <c r="F94" i="9"/>
  <c r="K94" i="9" s="1"/>
  <c r="F119" i="5"/>
  <c r="G119" i="5" s="1"/>
  <c r="I86" i="9"/>
  <c r="K86" i="9" s="1"/>
  <c r="F85" i="9"/>
  <c r="G85" i="9" s="1"/>
  <c r="L85" i="9" s="1"/>
  <c r="I84" i="9"/>
  <c r="K84" i="9" s="1"/>
  <c r="F83" i="9"/>
  <c r="G83" i="9" s="1"/>
  <c r="L83" i="9" s="1"/>
  <c r="D82" i="9"/>
  <c r="I82" i="9" s="1"/>
  <c r="D81" i="9"/>
  <c r="I81" i="9" s="1"/>
  <c r="D80" i="9"/>
  <c r="I80" i="9" s="1"/>
  <c r="I79" i="9"/>
  <c r="K79" i="9" s="1"/>
  <c r="I78" i="9"/>
  <c r="J78" i="9" s="1"/>
  <c r="L78" i="9" s="1"/>
  <c r="F77" i="9"/>
  <c r="K77" i="9" s="1"/>
  <c r="I76" i="9"/>
  <c r="K76" i="9" s="1"/>
  <c r="F75" i="9"/>
  <c r="K75" i="9" s="1"/>
  <c r="I74" i="9"/>
  <c r="K74" i="9" s="1"/>
  <c r="F73" i="9"/>
  <c r="G73" i="9" s="1"/>
  <c r="L73" i="9" s="1"/>
  <c r="I72" i="9"/>
  <c r="K72" i="9" s="1"/>
  <c r="F71" i="9"/>
  <c r="G71" i="9" s="1"/>
  <c r="L71" i="9" s="1"/>
  <c r="I68" i="9"/>
  <c r="K68" i="9" s="1"/>
  <c r="F88" i="9"/>
  <c r="K88" i="9" s="1"/>
  <c r="I93" i="9"/>
  <c r="K93" i="9" s="1"/>
  <c r="F92" i="9"/>
  <c r="K92" i="9" s="1"/>
  <c r="I91" i="9"/>
  <c r="K91" i="9" s="1"/>
  <c r="F90" i="9"/>
  <c r="K90" i="9" s="1"/>
  <c r="I89" i="9"/>
  <c r="J89" i="9" s="1"/>
  <c r="L89" i="9" s="1"/>
  <c r="F67" i="9"/>
  <c r="G67" i="9" s="1"/>
  <c r="L67" i="9" s="1"/>
  <c r="E57" i="9"/>
  <c r="I65" i="9"/>
  <c r="K65" i="9" s="1"/>
  <c r="F64" i="9"/>
  <c r="G64" i="9" s="1"/>
  <c r="L64" i="9" s="1"/>
  <c r="I63" i="9"/>
  <c r="K63" i="9" s="1"/>
  <c r="F62" i="9"/>
  <c r="G62" i="9" s="1"/>
  <c r="L62" i="9" s="1"/>
  <c r="D53" i="9"/>
  <c r="I53" i="9" s="1"/>
  <c r="F52" i="9"/>
  <c r="K52" i="9" s="1"/>
  <c r="D51" i="9"/>
  <c r="I51" i="9" s="1"/>
  <c r="F50" i="9"/>
  <c r="K50" i="9" s="1"/>
  <c r="I49" i="9"/>
  <c r="I48" i="9"/>
  <c r="K48" i="9" s="1"/>
  <c r="I47" i="9"/>
  <c r="K47" i="9" s="1"/>
  <c r="I46" i="9"/>
  <c r="K46" i="9" s="1"/>
  <c r="I45" i="9"/>
  <c r="K45" i="9" s="1"/>
  <c r="F44" i="9"/>
  <c r="F32" i="9"/>
  <c r="K32" i="9" s="1"/>
  <c r="I38" i="9"/>
  <c r="J38" i="9" s="1"/>
  <c r="I37" i="9"/>
  <c r="K37" i="9" s="1"/>
  <c r="I36" i="9"/>
  <c r="I35" i="9"/>
  <c r="K35" i="9" s="1"/>
  <c r="I34" i="9"/>
  <c r="J34" i="9" s="1"/>
  <c r="L34" i="9" s="1"/>
  <c r="I33" i="9"/>
  <c r="K33" i="9" s="1"/>
  <c r="D42" i="9"/>
  <c r="I42" i="9" s="1"/>
  <c r="F41" i="9"/>
  <c r="K41" i="9" s="1"/>
  <c r="D40" i="9"/>
  <c r="I40" i="9" s="1"/>
  <c r="F39" i="9"/>
  <c r="K39" i="9" s="1"/>
  <c r="F30" i="9"/>
  <c r="K30" i="9" s="1"/>
  <c r="F29" i="9"/>
  <c r="K29" i="9" s="1"/>
  <c r="D28" i="9"/>
  <c r="I28" i="9" s="1"/>
  <c r="F27" i="9"/>
  <c r="K27" i="9" s="1"/>
  <c r="F26" i="9"/>
  <c r="K26" i="9" s="1"/>
  <c r="F25" i="9"/>
  <c r="K25" i="9" s="1"/>
  <c r="D61" i="9"/>
  <c r="I61" i="9" s="1"/>
  <c r="F60" i="9"/>
  <c r="G60" i="9" s="1"/>
  <c r="L60" i="9" s="1"/>
  <c r="I59" i="9"/>
  <c r="K59" i="9" s="1"/>
  <c r="D58" i="9"/>
  <c r="I58" i="9" s="1"/>
  <c r="F57" i="9"/>
  <c r="G57" i="9" s="1"/>
  <c r="L57" i="9" s="1"/>
  <c r="D56" i="9"/>
  <c r="I56" i="9" s="1"/>
  <c r="F55" i="9"/>
  <c r="K55" i="9" s="1"/>
  <c r="F23" i="9"/>
  <c r="K23" i="9" s="1"/>
  <c r="F22" i="9"/>
  <c r="G22" i="9" s="1"/>
  <c r="L22" i="9" s="1"/>
  <c r="D21" i="9"/>
  <c r="I21" i="9" s="1"/>
  <c r="F20" i="9"/>
  <c r="G20" i="9" s="1"/>
  <c r="L20" i="9" s="1"/>
  <c r="D19" i="9"/>
  <c r="I19" i="9" s="1"/>
  <c r="F18" i="9"/>
  <c r="K18" i="9" s="1"/>
  <c r="F17" i="9"/>
  <c r="K17" i="9" s="1"/>
  <c r="F16" i="9"/>
  <c r="G16" i="9" s="1"/>
  <c r="L16" i="9" s="1"/>
  <c r="F14" i="9"/>
  <c r="K14" i="9" s="1"/>
  <c r="F13" i="9"/>
  <c r="G13" i="9" s="1"/>
  <c r="L13" i="9" s="1"/>
  <c r="F11" i="9"/>
  <c r="K11" i="9" s="1"/>
  <c r="E10" i="9"/>
  <c r="F10" i="9" s="1"/>
  <c r="G10" i="9" s="1"/>
  <c r="L10" i="9" s="1"/>
  <c r="F9" i="9"/>
  <c r="A9" i="9"/>
  <c r="A10" i="9" s="1"/>
  <c r="A11" i="9" s="1"/>
  <c r="A13" i="9" s="1"/>
  <c r="A14" i="9" s="1"/>
  <c r="A16" i="9" s="1"/>
  <c r="F8" i="9"/>
  <c r="K8" i="9" s="1"/>
  <c r="D91" i="3"/>
  <c r="I91" i="3" s="1"/>
  <c r="F90" i="3"/>
  <c r="K90" i="3" s="1"/>
  <c r="D89" i="3"/>
  <c r="I89" i="3" s="1"/>
  <c r="F88" i="3"/>
  <c r="K88" i="3" s="1"/>
  <c r="D60" i="3"/>
  <c r="I60" i="3" s="1"/>
  <c r="D61" i="3"/>
  <c r="I61" i="3" s="1"/>
  <c r="J61" i="3" s="1"/>
  <c r="L61" i="3" s="1"/>
  <c r="D62" i="3"/>
  <c r="I62" i="3" s="1"/>
  <c r="D71" i="3"/>
  <c r="I71" i="3" s="1"/>
  <c r="D72" i="3"/>
  <c r="I72" i="3" s="1"/>
  <c r="J72" i="3" s="1"/>
  <c r="L72" i="3" s="1"/>
  <c r="D73" i="3"/>
  <c r="I73" i="3" s="1"/>
  <c r="D52" i="3"/>
  <c r="I52" i="3" s="1"/>
  <c r="F51" i="3"/>
  <c r="K51" i="3" s="1"/>
  <c r="D50" i="3"/>
  <c r="I50" i="3" s="1"/>
  <c r="F49" i="3"/>
  <c r="K49" i="3" s="1"/>
  <c r="D65" i="4"/>
  <c r="D74" i="4"/>
  <c r="D19" i="4"/>
  <c r="A4" i="1"/>
  <c r="A5" i="1" s="1"/>
  <c r="A6" i="1" s="1"/>
  <c r="A7" i="1" s="1"/>
  <c r="F30" i="8"/>
  <c r="F29" i="8"/>
  <c r="K29" i="8" s="1"/>
  <c r="E26" i="8"/>
  <c r="F26" i="8" s="1"/>
  <c r="E25" i="8"/>
  <c r="F25" i="8" s="1"/>
  <c r="D19" i="8"/>
  <c r="I19" i="8" s="1"/>
  <c r="F70" i="5"/>
  <c r="F68" i="5"/>
  <c r="F82" i="5"/>
  <c r="F80" i="5"/>
  <c r="F45" i="7"/>
  <c r="K45" i="7" s="1"/>
  <c r="F47" i="7"/>
  <c r="K47" i="7" s="1"/>
  <c r="F55" i="7"/>
  <c r="K55" i="7" s="1"/>
  <c r="F53" i="7"/>
  <c r="G53" i="7" s="1"/>
  <c r="L53" i="7" s="1"/>
  <c r="D28" i="8"/>
  <c r="I28" i="8" s="1"/>
  <c r="F27" i="8"/>
  <c r="K27" i="8" s="1"/>
  <c r="F23" i="8"/>
  <c r="K23" i="8" s="1"/>
  <c r="F22" i="8"/>
  <c r="G22" i="8" s="1"/>
  <c r="L22" i="8" s="1"/>
  <c r="D21" i="8"/>
  <c r="I21" i="8" s="1"/>
  <c r="F20" i="8"/>
  <c r="G20" i="8" s="1"/>
  <c r="L20" i="8" s="1"/>
  <c r="F18" i="8"/>
  <c r="K18" i="8" s="1"/>
  <c r="F17" i="8"/>
  <c r="K17" i="8" s="1"/>
  <c r="F16" i="8"/>
  <c r="G16" i="8" s="1"/>
  <c r="L16" i="8" s="1"/>
  <c r="F14" i="8"/>
  <c r="K14" i="8" s="1"/>
  <c r="F13" i="8"/>
  <c r="G13" i="8" s="1"/>
  <c r="L13" i="8" s="1"/>
  <c r="F11" i="8"/>
  <c r="G11" i="8" s="1"/>
  <c r="L11" i="8" s="1"/>
  <c r="E10" i="8"/>
  <c r="F10" i="8" s="1"/>
  <c r="F9" i="8"/>
  <c r="K9" i="8" s="1"/>
  <c r="A9" i="8"/>
  <c r="A10" i="8" s="1"/>
  <c r="A11" i="8" s="1"/>
  <c r="A13" i="8" s="1"/>
  <c r="A14" i="8" s="1"/>
  <c r="A16" i="8" s="1"/>
  <c r="F8" i="8"/>
  <c r="K8" i="8" s="1"/>
  <c r="D56" i="7"/>
  <c r="I56" i="7" s="1"/>
  <c r="D54" i="7"/>
  <c r="I54" i="7" s="1"/>
  <c r="I52" i="7"/>
  <c r="K52" i="7" s="1"/>
  <c r="I51" i="7"/>
  <c r="J51" i="7" s="1"/>
  <c r="L51" i="7" s="1"/>
  <c r="F50" i="7"/>
  <c r="D42" i="7"/>
  <c r="F42" i="7" s="1"/>
  <c r="D48" i="7"/>
  <c r="I48" i="7" s="1"/>
  <c r="D46" i="7"/>
  <c r="I46" i="7" s="1"/>
  <c r="I44" i="7"/>
  <c r="I43" i="7"/>
  <c r="J39" i="11" l="1"/>
  <c r="L39" i="11" s="1"/>
  <c r="G45" i="7"/>
  <c r="L45" i="7" s="1"/>
  <c r="K103" i="9"/>
  <c r="K51" i="7"/>
  <c r="G38" i="11"/>
  <c r="L38" i="11" s="1"/>
  <c r="F116" i="9"/>
  <c r="C10" i="1" s="1"/>
  <c r="K108" i="9"/>
  <c r="K35" i="11"/>
  <c r="J35" i="11"/>
  <c r="L35" i="11" s="1"/>
  <c r="G23" i="12"/>
  <c r="L23" i="12" s="1"/>
  <c r="J24" i="12"/>
  <c r="L24" i="12" s="1"/>
  <c r="K24" i="12"/>
  <c r="K26" i="12"/>
  <c r="J26" i="12"/>
  <c r="L26" i="12" s="1"/>
  <c r="G25" i="12"/>
  <c r="L25" i="12" s="1"/>
  <c r="G21" i="12"/>
  <c r="L21" i="12" s="1"/>
  <c r="A11" i="12"/>
  <c r="A13" i="12" s="1"/>
  <c r="K15" i="12"/>
  <c r="G19" i="12"/>
  <c r="L19" i="12" s="1"/>
  <c r="F27" i="12"/>
  <c r="K9" i="12"/>
  <c r="J16" i="12"/>
  <c r="L16" i="12" s="1"/>
  <c r="K16" i="12"/>
  <c r="I27" i="12"/>
  <c r="K22" i="12"/>
  <c r="J22" i="12"/>
  <c r="L22" i="12" s="1"/>
  <c r="G8" i="12"/>
  <c r="L8" i="12" s="1"/>
  <c r="K8" i="12"/>
  <c r="K18" i="12"/>
  <c r="J18" i="12"/>
  <c r="L18" i="12" s="1"/>
  <c r="G14" i="12"/>
  <c r="L14" i="12" s="1"/>
  <c r="G13" i="12"/>
  <c r="L13" i="12" s="1"/>
  <c r="G11" i="12"/>
  <c r="L11" i="12" s="1"/>
  <c r="G17" i="12"/>
  <c r="L17" i="12" s="1"/>
  <c r="K46" i="11"/>
  <c r="J47" i="11"/>
  <c r="L47" i="11" s="1"/>
  <c r="K44" i="11"/>
  <c r="J45" i="11"/>
  <c r="L45" i="11" s="1"/>
  <c r="K42" i="11"/>
  <c r="J43" i="11"/>
  <c r="L43" i="11" s="1"/>
  <c r="K40" i="11"/>
  <c r="J41" i="11"/>
  <c r="L41" i="11" s="1"/>
  <c r="G34" i="11"/>
  <c r="L34" i="11" s="1"/>
  <c r="G33" i="11"/>
  <c r="L33" i="11" s="1"/>
  <c r="K31" i="11"/>
  <c r="J32" i="11"/>
  <c r="L32" i="11" s="1"/>
  <c r="G24" i="11"/>
  <c r="L24" i="11" s="1"/>
  <c r="K14" i="11"/>
  <c r="K37" i="11"/>
  <c r="J37" i="11"/>
  <c r="L37" i="11" s="1"/>
  <c r="G28" i="11"/>
  <c r="L28" i="11" s="1"/>
  <c r="J27" i="11"/>
  <c r="L27" i="11" s="1"/>
  <c r="K27" i="11"/>
  <c r="G26" i="11"/>
  <c r="L26" i="11" s="1"/>
  <c r="G20" i="11"/>
  <c r="L20" i="11" s="1"/>
  <c r="G11" i="11"/>
  <c r="L11" i="11" s="1"/>
  <c r="F48" i="11"/>
  <c r="G13" i="11"/>
  <c r="L13" i="11" s="1"/>
  <c r="A18" i="11"/>
  <c r="A17" i="11"/>
  <c r="A20" i="11" s="1"/>
  <c r="A22" i="11" s="1"/>
  <c r="A23" i="11" s="1"/>
  <c r="K21" i="11"/>
  <c r="J21" i="11"/>
  <c r="L21" i="11" s="1"/>
  <c r="K29" i="11"/>
  <c r="J29" i="11"/>
  <c r="L29" i="11" s="1"/>
  <c r="I48" i="11"/>
  <c r="G9" i="11"/>
  <c r="L9" i="11" s="1"/>
  <c r="G10" i="11"/>
  <c r="L10" i="11" s="1"/>
  <c r="G18" i="11"/>
  <c r="L18" i="11" s="1"/>
  <c r="K19" i="11"/>
  <c r="G36" i="11"/>
  <c r="L36" i="11" s="1"/>
  <c r="G8" i="11"/>
  <c r="L8" i="11" s="1"/>
  <c r="K9" i="11"/>
  <c r="G17" i="11"/>
  <c r="L17" i="11" s="1"/>
  <c r="G23" i="11"/>
  <c r="L23" i="11" s="1"/>
  <c r="J30" i="11"/>
  <c r="L30" i="11" s="1"/>
  <c r="G16" i="11"/>
  <c r="L16" i="11" s="1"/>
  <c r="G22" i="11"/>
  <c r="L22" i="11" s="1"/>
  <c r="K27" i="10"/>
  <c r="K28" i="10"/>
  <c r="G26" i="10"/>
  <c r="L26" i="10" s="1"/>
  <c r="J29" i="10"/>
  <c r="L29" i="10" s="1"/>
  <c r="G24" i="10"/>
  <c r="L24" i="10" s="1"/>
  <c r="J25" i="10"/>
  <c r="L25" i="10" s="1"/>
  <c r="K21" i="10"/>
  <c r="J21" i="10"/>
  <c r="L21" i="10" s="1"/>
  <c r="G20" i="10"/>
  <c r="L20" i="10" s="1"/>
  <c r="G17" i="10"/>
  <c r="L17" i="10" s="1"/>
  <c r="K12" i="10"/>
  <c r="J12" i="10"/>
  <c r="L12" i="10" s="1"/>
  <c r="G11" i="10"/>
  <c r="L11" i="10" s="1"/>
  <c r="F30" i="10"/>
  <c r="G8" i="10"/>
  <c r="L8" i="10" s="1"/>
  <c r="G16" i="10"/>
  <c r="L16" i="10" s="1"/>
  <c r="G19" i="10"/>
  <c r="L19" i="10" s="1"/>
  <c r="K15" i="10"/>
  <c r="K9" i="10"/>
  <c r="A10" i="10"/>
  <c r="I30" i="10"/>
  <c r="K23" i="10"/>
  <c r="J23" i="10"/>
  <c r="L23" i="10" s="1"/>
  <c r="J14" i="10"/>
  <c r="L14" i="10" s="1"/>
  <c r="G13" i="10"/>
  <c r="L13" i="10" s="1"/>
  <c r="G10" i="10"/>
  <c r="L10" i="10" s="1"/>
  <c r="G22" i="10"/>
  <c r="L22" i="10" s="1"/>
  <c r="J76" i="9"/>
  <c r="L76" i="9" s="1"/>
  <c r="K98" i="9"/>
  <c r="J98" i="9"/>
  <c r="L98" i="9" s="1"/>
  <c r="J97" i="9"/>
  <c r="L97" i="9" s="1"/>
  <c r="K97" i="9"/>
  <c r="K99" i="9"/>
  <c r="J99" i="9"/>
  <c r="L99" i="9" s="1"/>
  <c r="J105" i="9"/>
  <c r="L105" i="9" s="1"/>
  <c r="K105" i="9"/>
  <c r="K106" i="9"/>
  <c r="J106" i="9"/>
  <c r="L106" i="9" s="1"/>
  <c r="K107" i="9"/>
  <c r="J107" i="9"/>
  <c r="L107" i="9" s="1"/>
  <c r="G112" i="9"/>
  <c r="L112" i="9" s="1"/>
  <c r="K114" i="9"/>
  <c r="J113" i="9"/>
  <c r="L113" i="9" s="1"/>
  <c r="J115" i="9"/>
  <c r="L115" i="9" s="1"/>
  <c r="G69" i="9"/>
  <c r="L69" i="9" s="1"/>
  <c r="K69" i="9"/>
  <c r="G110" i="9"/>
  <c r="L110" i="9" s="1"/>
  <c r="J111" i="9"/>
  <c r="L111" i="9" s="1"/>
  <c r="J109" i="9"/>
  <c r="L109" i="9" s="1"/>
  <c r="K100" i="9"/>
  <c r="K102" i="9"/>
  <c r="J104" i="9"/>
  <c r="L104" i="9" s="1"/>
  <c r="J101" i="9"/>
  <c r="L101" i="9" s="1"/>
  <c r="K95" i="9"/>
  <c r="G94" i="9"/>
  <c r="L94" i="9" s="1"/>
  <c r="J96" i="9"/>
  <c r="L96" i="9" s="1"/>
  <c r="G92" i="9"/>
  <c r="L92" i="9" s="1"/>
  <c r="K73" i="9"/>
  <c r="K49" i="9"/>
  <c r="G90" i="9"/>
  <c r="L90" i="9" s="1"/>
  <c r="K71" i="9"/>
  <c r="K78" i="9"/>
  <c r="K85" i="9"/>
  <c r="K83" i="9"/>
  <c r="J86" i="9"/>
  <c r="L86" i="9" s="1"/>
  <c r="J84" i="9"/>
  <c r="L84" i="9" s="1"/>
  <c r="J80" i="9"/>
  <c r="L80" i="9" s="1"/>
  <c r="K80" i="9"/>
  <c r="K81" i="9"/>
  <c r="J81" i="9"/>
  <c r="L81" i="9" s="1"/>
  <c r="K82" i="9"/>
  <c r="J82" i="9"/>
  <c r="L82" i="9" s="1"/>
  <c r="G77" i="9"/>
  <c r="L77" i="9" s="1"/>
  <c r="J79" i="9"/>
  <c r="L79" i="9" s="1"/>
  <c r="G75" i="9"/>
  <c r="L75" i="9" s="1"/>
  <c r="J74" i="9"/>
  <c r="L74" i="9" s="1"/>
  <c r="J72" i="9"/>
  <c r="L72" i="9" s="1"/>
  <c r="J70" i="9"/>
  <c r="L70" i="9" s="1"/>
  <c r="J68" i="9"/>
  <c r="L68" i="9" s="1"/>
  <c r="K67" i="9"/>
  <c r="G88" i="9"/>
  <c r="L88" i="9" s="1"/>
  <c r="J93" i="9"/>
  <c r="L93" i="9" s="1"/>
  <c r="K89" i="9"/>
  <c r="J91" i="9"/>
  <c r="L91" i="9" s="1"/>
  <c r="K64" i="9"/>
  <c r="J65" i="9"/>
  <c r="L65" i="9" s="1"/>
  <c r="K62" i="9"/>
  <c r="J63" i="9"/>
  <c r="L63" i="9" s="1"/>
  <c r="G50" i="9"/>
  <c r="L50" i="9" s="1"/>
  <c r="G39" i="9"/>
  <c r="L39" i="9" s="1"/>
  <c r="K13" i="9"/>
  <c r="K38" i="9"/>
  <c r="J47" i="9"/>
  <c r="L47" i="9" s="1"/>
  <c r="J45" i="9"/>
  <c r="L45" i="9" s="1"/>
  <c r="J51" i="9"/>
  <c r="L51" i="9" s="1"/>
  <c r="K51" i="9"/>
  <c r="G44" i="9"/>
  <c r="L44" i="9" s="1"/>
  <c r="K44" i="9"/>
  <c r="K53" i="9"/>
  <c r="J53" i="9"/>
  <c r="L53" i="9" s="1"/>
  <c r="J46" i="9"/>
  <c r="L46" i="9" s="1"/>
  <c r="J48" i="9"/>
  <c r="L48" i="9" s="1"/>
  <c r="J49" i="9"/>
  <c r="L49" i="9" s="1"/>
  <c r="G52" i="9"/>
  <c r="L52" i="9" s="1"/>
  <c r="G32" i="9"/>
  <c r="L32" i="9" s="1"/>
  <c r="L38" i="9"/>
  <c r="K34" i="9"/>
  <c r="J35" i="9"/>
  <c r="L35" i="9" s="1"/>
  <c r="J36" i="9"/>
  <c r="L36" i="9" s="1"/>
  <c r="K36" i="9"/>
  <c r="J37" i="9"/>
  <c r="L37" i="9" s="1"/>
  <c r="J33" i="9"/>
  <c r="L33" i="9" s="1"/>
  <c r="J40" i="9"/>
  <c r="L40" i="9" s="1"/>
  <c r="K40" i="9"/>
  <c r="K42" i="9"/>
  <c r="J42" i="9"/>
  <c r="L42" i="9" s="1"/>
  <c r="G41" i="9"/>
  <c r="L41" i="9" s="1"/>
  <c r="G27" i="9"/>
  <c r="L27" i="9" s="1"/>
  <c r="K57" i="9"/>
  <c r="J28" i="9"/>
  <c r="L28" i="9" s="1"/>
  <c r="K28" i="9"/>
  <c r="G26" i="9"/>
  <c r="L26" i="9" s="1"/>
  <c r="G30" i="9"/>
  <c r="L30" i="9" s="1"/>
  <c r="G25" i="9"/>
  <c r="L25" i="9" s="1"/>
  <c r="G29" i="9"/>
  <c r="L29" i="9" s="1"/>
  <c r="K20" i="9"/>
  <c r="G11" i="9"/>
  <c r="L11" i="9" s="1"/>
  <c r="K58" i="9"/>
  <c r="J58" i="9"/>
  <c r="L58" i="9" s="1"/>
  <c r="J56" i="9"/>
  <c r="L56" i="9" s="1"/>
  <c r="K56" i="9"/>
  <c r="G55" i="9"/>
  <c r="L55" i="9" s="1"/>
  <c r="K22" i="9"/>
  <c r="K16" i="9"/>
  <c r="G14" i="9"/>
  <c r="L14" i="9" s="1"/>
  <c r="K19" i="9"/>
  <c r="I116" i="9"/>
  <c r="J19" i="9"/>
  <c r="L19" i="9" s="1"/>
  <c r="K21" i="9"/>
  <c r="J21" i="9"/>
  <c r="L21" i="9" s="1"/>
  <c r="A17" i="9"/>
  <c r="K61" i="9"/>
  <c r="J61" i="9"/>
  <c r="L61" i="9" s="1"/>
  <c r="G9" i="9"/>
  <c r="L9" i="9" s="1"/>
  <c r="G18" i="9"/>
  <c r="L18" i="9" s="1"/>
  <c r="G8" i="9"/>
  <c r="L8" i="9" s="1"/>
  <c r="K9" i="9"/>
  <c r="K10" i="9"/>
  <c r="G17" i="9"/>
  <c r="L17" i="9" s="1"/>
  <c r="G23" i="9"/>
  <c r="L23" i="9" s="1"/>
  <c r="J59" i="9"/>
  <c r="L59" i="9" s="1"/>
  <c r="K60" i="9"/>
  <c r="G88" i="3"/>
  <c r="L88" i="3" s="1"/>
  <c r="J89" i="3"/>
  <c r="L89" i="3" s="1"/>
  <c r="K89" i="3"/>
  <c r="K91" i="3"/>
  <c r="J91" i="3"/>
  <c r="L91" i="3" s="1"/>
  <c r="G90" i="3"/>
  <c r="L90" i="3" s="1"/>
  <c r="J60" i="3"/>
  <c r="L60" i="3" s="1"/>
  <c r="K60" i="3"/>
  <c r="K73" i="3"/>
  <c r="J73" i="3"/>
  <c r="L73" i="3" s="1"/>
  <c r="J62" i="3"/>
  <c r="L62" i="3" s="1"/>
  <c r="K62" i="3"/>
  <c r="K61" i="3"/>
  <c r="J71" i="3"/>
  <c r="L71" i="3" s="1"/>
  <c r="K71" i="3"/>
  <c r="K72" i="3"/>
  <c r="G49" i="3"/>
  <c r="L49" i="3" s="1"/>
  <c r="J50" i="3"/>
  <c r="L50" i="3" s="1"/>
  <c r="K50" i="3"/>
  <c r="K52" i="3"/>
  <c r="J52" i="3"/>
  <c r="L52" i="3" s="1"/>
  <c r="G51" i="3"/>
  <c r="L51" i="3" s="1"/>
  <c r="K30" i="8"/>
  <c r="G30" i="8"/>
  <c r="L30" i="8" s="1"/>
  <c r="G29" i="8"/>
  <c r="L29" i="8" s="1"/>
  <c r="G23" i="8"/>
  <c r="L23" i="8" s="1"/>
  <c r="K25" i="8"/>
  <c r="G25" i="8"/>
  <c r="L25" i="8" s="1"/>
  <c r="K26" i="8"/>
  <c r="G26" i="8"/>
  <c r="L26" i="8" s="1"/>
  <c r="K19" i="8"/>
  <c r="J19" i="8"/>
  <c r="L19" i="8" s="1"/>
  <c r="G17" i="8"/>
  <c r="L17" i="8" s="1"/>
  <c r="K53" i="7"/>
  <c r="K22" i="8"/>
  <c r="K16" i="8"/>
  <c r="G8" i="8"/>
  <c r="L8" i="8" s="1"/>
  <c r="G14" i="8"/>
  <c r="L14" i="8" s="1"/>
  <c r="K21" i="8"/>
  <c r="J21" i="8"/>
  <c r="L21" i="8" s="1"/>
  <c r="K10" i="8"/>
  <c r="G10" i="8"/>
  <c r="L10" i="8" s="1"/>
  <c r="J28" i="8"/>
  <c r="L28" i="8" s="1"/>
  <c r="K28" i="8"/>
  <c r="I31" i="8"/>
  <c r="A18" i="8"/>
  <c r="A17" i="8"/>
  <c r="A20" i="8" s="1"/>
  <c r="A22" i="8" s="1"/>
  <c r="A23" i="8" s="1"/>
  <c r="K20" i="8"/>
  <c r="F31" i="8"/>
  <c r="G9" i="8"/>
  <c r="L9" i="8" s="1"/>
  <c r="K11" i="8"/>
  <c r="G18" i="8"/>
  <c r="L18" i="8" s="1"/>
  <c r="G27" i="8"/>
  <c r="L27" i="8" s="1"/>
  <c r="K13" i="8"/>
  <c r="G50" i="7"/>
  <c r="L50" i="7" s="1"/>
  <c r="K50" i="7"/>
  <c r="J54" i="7"/>
  <c r="L54" i="7" s="1"/>
  <c r="K54" i="7"/>
  <c r="K56" i="7"/>
  <c r="J56" i="7"/>
  <c r="L56" i="7" s="1"/>
  <c r="J52" i="7"/>
  <c r="L52" i="7" s="1"/>
  <c r="G55" i="7"/>
  <c r="L55" i="7" s="1"/>
  <c r="J46" i="7"/>
  <c r="L46" i="7" s="1"/>
  <c r="K46" i="7"/>
  <c r="K48" i="7"/>
  <c r="J48" i="7"/>
  <c r="L48" i="7" s="1"/>
  <c r="G47" i="7"/>
  <c r="L47" i="7" s="1"/>
  <c r="G42" i="7"/>
  <c r="L42" i="7" s="1"/>
  <c r="K42" i="7"/>
  <c r="K43" i="7"/>
  <c r="J43" i="7"/>
  <c r="L43" i="7" s="1"/>
  <c r="K44" i="7"/>
  <c r="J44" i="7"/>
  <c r="L44" i="7" s="1"/>
  <c r="G116" i="9" l="1"/>
  <c r="F10" i="1" s="1"/>
  <c r="G30" i="10"/>
  <c r="F11" i="1" s="1"/>
  <c r="C11" i="1"/>
  <c r="J27" i="12"/>
  <c r="G13" i="1" s="1"/>
  <c r="D13" i="1"/>
  <c r="G27" i="12"/>
  <c r="F13" i="1" s="1"/>
  <c r="C13" i="1"/>
  <c r="G31" i="8"/>
  <c r="F6" i="1" s="1"/>
  <c r="C6" i="1"/>
  <c r="J116" i="9"/>
  <c r="G10" i="1" s="1"/>
  <c r="D10" i="1"/>
  <c r="E10" i="1" s="1"/>
  <c r="J30" i="10"/>
  <c r="G11" i="1" s="1"/>
  <c r="D11" i="1"/>
  <c r="J48" i="11"/>
  <c r="G12" i="1" s="1"/>
  <c r="D12" i="1"/>
  <c r="G48" i="11"/>
  <c r="F12" i="1" s="1"/>
  <c r="C12" i="1"/>
  <c r="A14" i="12"/>
  <c r="K27" i="12"/>
  <c r="L27" i="12" s="1"/>
  <c r="A24" i="11"/>
  <c r="A26" i="11" s="1"/>
  <c r="A28" i="11" s="1"/>
  <c r="A31" i="11" s="1"/>
  <c r="A33" i="11" s="1"/>
  <c r="A34" i="11" s="1"/>
  <c r="A36" i="11" s="1"/>
  <c r="A38" i="11" s="1"/>
  <c r="A40" i="11" s="1"/>
  <c r="A42" i="11" s="1"/>
  <c r="A44" i="11" s="1"/>
  <c r="A46" i="11" s="1"/>
  <c r="K48" i="11"/>
  <c r="L48" i="11" s="1"/>
  <c r="A11" i="10"/>
  <c r="A13" i="10" s="1"/>
  <c r="A15" i="10" s="1"/>
  <c r="A16" i="10" s="1"/>
  <c r="K30" i="10"/>
  <c r="L30" i="10" s="1"/>
  <c r="A20" i="9"/>
  <c r="A18" i="9"/>
  <c r="K116" i="9"/>
  <c r="L116" i="9" s="1"/>
  <c r="J31" i="8"/>
  <c r="G6" i="1" s="1"/>
  <c r="D6" i="1"/>
  <c r="A25" i="8"/>
  <c r="A26" i="8" s="1"/>
  <c r="A27" i="8" s="1"/>
  <c r="A29" i="8" s="1"/>
  <c r="A30" i="8" s="1"/>
  <c r="K31" i="8"/>
  <c r="L31" i="8" s="1"/>
  <c r="H11" i="1" l="1"/>
  <c r="E11" i="1"/>
  <c r="H10" i="1"/>
  <c r="E6" i="1"/>
  <c r="H6" i="1"/>
  <c r="E12" i="1"/>
  <c r="H12" i="1"/>
  <c r="A15" i="12"/>
  <c r="A17" i="12" s="1"/>
  <c r="A19" i="12" s="1"/>
  <c r="A21" i="12" s="1"/>
  <c r="A23" i="12" s="1"/>
  <c r="A25" i="12" s="1"/>
  <c r="A17" i="10"/>
  <c r="A19" i="10" s="1"/>
  <c r="A20" i="10" s="1"/>
  <c r="A22" i="10" s="1"/>
  <c r="A24" i="10" s="1"/>
  <c r="A22" i="9"/>
  <c r="A23" i="9" s="1"/>
  <c r="A26" i="10" l="1"/>
  <c r="A28" i="10" s="1"/>
  <c r="A25" i="9"/>
  <c r="A26" i="9" s="1"/>
  <c r="A27" i="9" s="1"/>
  <c r="A29" i="9" s="1"/>
  <c r="A30" i="9" l="1"/>
  <c r="A32" i="9" s="1"/>
  <c r="A39" i="9" s="1"/>
  <c r="A41" i="9" s="1"/>
  <c r="A44" i="9" s="1"/>
  <c r="A50" i="9" s="1"/>
  <c r="A52" i="9" s="1"/>
  <c r="A55" i="9" s="1"/>
  <c r="A57" i="9" s="1"/>
  <c r="A60" i="9" s="1"/>
  <c r="A62" i="9" l="1"/>
  <c r="A64" i="9" s="1"/>
  <c r="A67" i="9" s="1"/>
  <c r="A69" i="9" l="1"/>
  <c r="A71" i="9" s="1"/>
  <c r="A73" i="9" s="1"/>
  <c r="A75" i="9" s="1"/>
  <c r="A77" i="9" s="1"/>
  <c r="A83" i="9" s="1"/>
  <c r="A85" i="9" s="1"/>
  <c r="A88" i="9" s="1"/>
  <c r="A90" i="9" s="1"/>
  <c r="A92" i="9" s="1"/>
  <c r="A94" i="9" s="1"/>
  <c r="A100" i="9" s="1"/>
  <c r="A102" i="9" s="1"/>
  <c r="A108" i="9" s="1"/>
  <c r="A110" i="9" s="1"/>
  <c r="A112" i="9" s="1"/>
  <c r="A114" i="9" s="1"/>
  <c r="D39" i="7" l="1"/>
  <c r="D40" i="7" s="1"/>
  <c r="I36" i="7"/>
  <c r="F35" i="7"/>
  <c r="I34" i="7"/>
  <c r="K34" i="7" s="1"/>
  <c r="F33" i="7"/>
  <c r="D32" i="7"/>
  <c r="I32" i="7" s="1"/>
  <c r="J32" i="7" s="1"/>
  <c r="L32" i="7" s="1"/>
  <c r="D27" i="7"/>
  <c r="I27" i="7" s="1"/>
  <c r="D29" i="7"/>
  <c r="I29" i="7" s="1"/>
  <c r="F25" i="7"/>
  <c r="K25" i="7" s="1"/>
  <c r="D19" i="7"/>
  <c r="I19" i="7" s="1"/>
  <c r="F18" i="7"/>
  <c r="K18" i="7" s="1"/>
  <c r="I40" i="7"/>
  <c r="J40" i="7" s="1"/>
  <c r="L40" i="7" s="1"/>
  <c r="F39" i="7"/>
  <c r="K39" i="7" s="1"/>
  <c r="I38" i="7"/>
  <c r="K38" i="7" s="1"/>
  <c r="F37" i="7"/>
  <c r="K37" i="7" s="1"/>
  <c r="F31" i="7"/>
  <c r="K31" i="7" s="1"/>
  <c r="I30" i="7"/>
  <c r="K30" i="7" s="1"/>
  <c r="E28" i="7"/>
  <c r="F28" i="7" s="1"/>
  <c r="F26" i="7"/>
  <c r="K26" i="7" s="1"/>
  <c r="F23" i="7"/>
  <c r="K23" i="7" s="1"/>
  <c r="F22" i="7"/>
  <c r="K22" i="7" s="1"/>
  <c r="D21" i="7"/>
  <c r="I21" i="7" s="1"/>
  <c r="F20" i="7"/>
  <c r="K20" i="7" s="1"/>
  <c r="F17" i="7"/>
  <c r="G17" i="7" s="1"/>
  <c r="L17" i="7" s="1"/>
  <c r="F16" i="7"/>
  <c r="K16" i="7" s="1"/>
  <c r="F14" i="7"/>
  <c r="G14" i="7" s="1"/>
  <c r="L14" i="7" s="1"/>
  <c r="F13" i="7"/>
  <c r="K13" i="7" s="1"/>
  <c r="F11" i="7"/>
  <c r="G11" i="7" s="1"/>
  <c r="L11" i="7" s="1"/>
  <c r="E10" i="7"/>
  <c r="F10" i="7" s="1"/>
  <c r="G10" i="7" s="1"/>
  <c r="L10" i="7" s="1"/>
  <c r="F9" i="7"/>
  <c r="K9" i="7" s="1"/>
  <c r="A9" i="7"/>
  <c r="A10" i="7" s="1"/>
  <c r="A11" i="7" s="1"/>
  <c r="F8" i="7"/>
  <c r="K8" i="7" s="1"/>
  <c r="D33" i="6"/>
  <c r="I33" i="6" s="1"/>
  <c r="F32" i="6"/>
  <c r="D21" i="6"/>
  <c r="I143" i="5"/>
  <c r="K143" i="5" s="1"/>
  <c r="F142" i="5"/>
  <c r="G142" i="5" s="1"/>
  <c r="L142" i="5" s="1"/>
  <c r="I141" i="5"/>
  <c r="F140" i="5"/>
  <c r="K140" i="5" s="1"/>
  <c r="D139" i="5"/>
  <c r="I139" i="5" s="1"/>
  <c r="F138" i="5"/>
  <c r="K138" i="5" s="1"/>
  <c r="I137" i="5"/>
  <c r="K137" i="5" s="1"/>
  <c r="F136" i="5"/>
  <c r="G136" i="5" s="1"/>
  <c r="L136" i="5" s="1"/>
  <c r="I133" i="5"/>
  <c r="K133" i="5" s="1"/>
  <c r="D132" i="5"/>
  <c r="I132" i="5" s="1"/>
  <c r="D131" i="5"/>
  <c r="I131" i="5" s="1"/>
  <c r="D130" i="5"/>
  <c r="I130" i="5" s="1"/>
  <c r="K130" i="5" s="1"/>
  <c r="I129" i="5"/>
  <c r="K129" i="5" s="1"/>
  <c r="F128" i="5"/>
  <c r="K128" i="5" s="1"/>
  <c r="I127" i="5"/>
  <c r="K127" i="5" s="1"/>
  <c r="F126" i="5"/>
  <c r="G126" i="5" s="1"/>
  <c r="L126" i="5" s="1"/>
  <c r="I125" i="5"/>
  <c r="K125" i="5" s="1"/>
  <c r="F124" i="5"/>
  <c r="G124" i="5" s="1"/>
  <c r="L124" i="5" s="1"/>
  <c r="I118" i="5"/>
  <c r="K118" i="5" s="1"/>
  <c r="F117" i="5"/>
  <c r="G117" i="5" s="1"/>
  <c r="L117" i="5" s="1"/>
  <c r="H122" i="5"/>
  <c r="I122" i="5" s="1"/>
  <c r="F121" i="5"/>
  <c r="I110" i="5"/>
  <c r="K110" i="5" s="1"/>
  <c r="F109" i="5"/>
  <c r="G109" i="5" s="1"/>
  <c r="L109" i="5" s="1"/>
  <c r="I108" i="5"/>
  <c r="K108" i="5" s="1"/>
  <c r="F107" i="5"/>
  <c r="G107" i="5" s="1"/>
  <c r="L107" i="5" s="1"/>
  <c r="D95" i="5"/>
  <c r="I95" i="5" s="1"/>
  <c r="F94" i="5"/>
  <c r="K94" i="5" s="1"/>
  <c r="D92" i="5"/>
  <c r="I92" i="5" s="1"/>
  <c r="I93" i="5"/>
  <c r="K93" i="5" s="1"/>
  <c r="E91" i="5"/>
  <c r="F91" i="5" s="1"/>
  <c r="D90" i="5"/>
  <c r="I90" i="5" s="1"/>
  <c r="F89" i="5"/>
  <c r="K89" i="5" s="1"/>
  <c r="E88" i="5"/>
  <c r="F88" i="5" s="1"/>
  <c r="F87" i="5"/>
  <c r="K87" i="5" s="1"/>
  <c r="D86" i="5"/>
  <c r="I86" i="5" s="1"/>
  <c r="D81" i="5"/>
  <c r="I81" i="5" s="1"/>
  <c r="F55" i="5"/>
  <c r="K55" i="5" s="1"/>
  <c r="F54" i="5"/>
  <c r="G54" i="5" s="1"/>
  <c r="L54" i="5" s="1"/>
  <c r="F51" i="5"/>
  <c r="K51" i="5" s="1"/>
  <c r="F50" i="5"/>
  <c r="K50" i="5" s="1"/>
  <c r="I74" i="5"/>
  <c r="K74" i="5" s="1"/>
  <c r="F73" i="5"/>
  <c r="D83" i="5"/>
  <c r="I83" i="5" s="1"/>
  <c r="K82" i="5"/>
  <c r="K80" i="5"/>
  <c r="I79" i="5"/>
  <c r="K79" i="5" s="1"/>
  <c r="F78" i="5"/>
  <c r="K78" i="5" s="1"/>
  <c r="I77" i="5"/>
  <c r="J77" i="5" s="1"/>
  <c r="I76" i="5"/>
  <c r="K76" i="5" s="1"/>
  <c r="F75" i="5"/>
  <c r="K75" i="5" s="1"/>
  <c r="D71" i="5"/>
  <c r="A13" i="7" l="1"/>
  <c r="A14" i="7" s="1"/>
  <c r="A16" i="7" s="1"/>
  <c r="G33" i="7"/>
  <c r="L33" i="7" s="1"/>
  <c r="F57" i="7"/>
  <c r="I57" i="7"/>
  <c r="K40" i="7"/>
  <c r="K35" i="7"/>
  <c r="G35" i="7"/>
  <c r="L35" i="7" s="1"/>
  <c r="K36" i="7"/>
  <c r="J36" i="7"/>
  <c r="L36" i="7" s="1"/>
  <c r="K33" i="7"/>
  <c r="J34" i="7"/>
  <c r="L34" i="7" s="1"/>
  <c r="K32" i="7"/>
  <c r="G31" i="7"/>
  <c r="L31" i="7" s="1"/>
  <c r="G37" i="7"/>
  <c r="L37" i="7" s="1"/>
  <c r="J30" i="7"/>
  <c r="L30" i="7" s="1"/>
  <c r="G25" i="7"/>
  <c r="L25" i="7" s="1"/>
  <c r="G23" i="7"/>
  <c r="L23" i="7" s="1"/>
  <c r="G18" i="7"/>
  <c r="L18" i="7" s="1"/>
  <c r="K19" i="7"/>
  <c r="J19" i="7"/>
  <c r="L19" i="7" s="1"/>
  <c r="K17" i="7"/>
  <c r="G16" i="7"/>
  <c r="L16" i="7" s="1"/>
  <c r="K11" i="7"/>
  <c r="G39" i="7"/>
  <c r="L39" i="7" s="1"/>
  <c r="G26" i="7"/>
  <c r="L26" i="7" s="1"/>
  <c r="G9" i="7"/>
  <c r="L9" i="7" s="1"/>
  <c r="G20" i="7"/>
  <c r="L20" i="7" s="1"/>
  <c r="K10" i="7"/>
  <c r="G8" i="7"/>
  <c r="L8" i="7" s="1"/>
  <c r="K28" i="7"/>
  <c r="G28" i="7"/>
  <c r="L28" i="7" s="1"/>
  <c r="K27" i="7"/>
  <c r="J27" i="7"/>
  <c r="L27" i="7" s="1"/>
  <c r="K29" i="7"/>
  <c r="J29" i="7"/>
  <c r="L29" i="7" s="1"/>
  <c r="K21" i="7"/>
  <c r="J21" i="7"/>
  <c r="L21" i="7" s="1"/>
  <c r="G13" i="7"/>
  <c r="L13" i="7" s="1"/>
  <c r="K14" i="7"/>
  <c r="G22" i="7"/>
  <c r="L22" i="7" s="1"/>
  <c r="J38" i="7"/>
  <c r="L38" i="7" s="1"/>
  <c r="K32" i="6"/>
  <c r="G32" i="6"/>
  <c r="L32" i="6" s="1"/>
  <c r="K33" i="6"/>
  <c r="J33" i="6"/>
  <c r="L33" i="6" s="1"/>
  <c r="K142" i="5"/>
  <c r="J143" i="5"/>
  <c r="L143" i="5" s="1"/>
  <c r="K141" i="5"/>
  <c r="J141" i="5"/>
  <c r="L141" i="5" s="1"/>
  <c r="G140" i="5"/>
  <c r="L140" i="5" s="1"/>
  <c r="K139" i="5"/>
  <c r="J139" i="5"/>
  <c r="L139" i="5" s="1"/>
  <c r="G138" i="5"/>
  <c r="L138" i="5" s="1"/>
  <c r="K136" i="5"/>
  <c r="J129" i="5"/>
  <c r="L129" i="5" s="1"/>
  <c r="J137" i="5"/>
  <c r="L137" i="5" s="1"/>
  <c r="J133" i="5"/>
  <c r="L133" i="5" s="1"/>
  <c r="J132" i="5"/>
  <c r="L132" i="5" s="1"/>
  <c r="K132" i="5"/>
  <c r="K131" i="5"/>
  <c r="J131" i="5"/>
  <c r="L131" i="5" s="1"/>
  <c r="J130" i="5"/>
  <c r="L130" i="5" s="1"/>
  <c r="G128" i="5"/>
  <c r="L128" i="5" s="1"/>
  <c r="K126" i="5"/>
  <c r="K124" i="5"/>
  <c r="J127" i="5"/>
  <c r="L127" i="5" s="1"/>
  <c r="J125" i="5"/>
  <c r="L125" i="5" s="1"/>
  <c r="J118" i="5"/>
  <c r="L118" i="5" s="1"/>
  <c r="K117" i="5"/>
  <c r="K121" i="5"/>
  <c r="G121" i="5"/>
  <c r="L121" i="5" s="1"/>
  <c r="K122" i="5"/>
  <c r="J122" i="5"/>
  <c r="L122" i="5" s="1"/>
  <c r="K109" i="5"/>
  <c r="J110" i="5"/>
  <c r="L110" i="5" s="1"/>
  <c r="K107" i="5"/>
  <c r="J108" i="5"/>
  <c r="L108" i="5" s="1"/>
  <c r="G89" i="5"/>
  <c r="L89" i="5" s="1"/>
  <c r="K95" i="5"/>
  <c r="J95" i="5"/>
  <c r="L95" i="5" s="1"/>
  <c r="G94" i="5"/>
  <c r="L94" i="5" s="1"/>
  <c r="K92" i="5"/>
  <c r="J92" i="5"/>
  <c r="L92" i="5" s="1"/>
  <c r="G91" i="5"/>
  <c r="L91" i="5" s="1"/>
  <c r="K91" i="5"/>
  <c r="J90" i="5"/>
  <c r="L90" i="5" s="1"/>
  <c r="K90" i="5"/>
  <c r="J93" i="5"/>
  <c r="L93" i="5" s="1"/>
  <c r="K88" i="5"/>
  <c r="G88" i="5"/>
  <c r="L88" i="5" s="1"/>
  <c r="G87" i="5"/>
  <c r="L87" i="5" s="1"/>
  <c r="K86" i="5"/>
  <c r="J86" i="5"/>
  <c r="L86" i="5" s="1"/>
  <c r="K54" i="5"/>
  <c r="D53" i="5"/>
  <c r="I53" i="5" s="1"/>
  <c r="F52" i="5"/>
  <c r="G51" i="5"/>
  <c r="L51" i="5" s="1"/>
  <c r="G55" i="5"/>
  <c r="L55" i="5" s="1"/>
  <c r="G50" i="5"/>
  <c r="L50" i="5" s="1"/>
  <c r="G73" i="5"/>
  <c r="L73" i="5" s="1"/>
  <c r="K73" i="5"/>
  <c r="J74" i="5"/>
  <c r="L74" i="5" s="1"/>
  <c r="G80" i="5"/>
  <c r="L80" i="5" s="1"/>
  <c r="G78" i="5"/>
  <c r="L78" i="5" s="1"/>
  <c r="K77" i="5"/>
  <c r="J81" i="5"/>
  <c r="L81" i="5" s="1"/>
  <c r="K81" i="5"/>
  <c r="K83" i="5"/>
  <c r="J83" i="5"/>
  <c r="L83" i="5" s="1"/>
  <c r="G75" i="5"/>
  <c r="L75" i="5" s="1"/>
  <c r="J76" i="5"/>
  <c r="L76" i="5" s="1"/>
  <c r="L77" i="5"/>
  <c r="J79" i="5"/>
  <c r="L79" i="5" s="1"/>
  <c r="G82" i="5"/>
  <c r="L82" i="5" s="1"/>
  <c r="A17" i="7" l="1"/>
  <c r="A20" i="7" s="1"/>
  <c r="A22" i="7" s="1"/>
  <c r="A23" i="7" s="1"/>
  <c r="A25" i="7" s="1"/>
  <c r="A26" i="7" s="1"/>
  <c r="A28" i="7" s="1"/>
  <c r="A31" i="7" s="1"/>
  <c r="A18" i="7"/>
  <c r="K57" i="7"/>
  <c r="L57" i="7" s="1"/>
  <c r="A33" i="7"/>
  <c r="A35" i="7" s="1"/>
  <c r="A37" i="7" s="1"/>
  <c r="A39" i="7" s="1"/>
  <c r="A42" i="7" s="1"/>
  <c r="A45" i="7" s="1"/>
  <c r="A47" i="7" s="1"/>
  <c r="A50" i="7" s="1"/>
  <c r="A53" i="7" s="1"/>
  <c r="A55" i="7" s="1"/>
  <c r="J57" i="7"/>
  <c r="G5" i="1" s="1"/>
  <c r="D5" i="1"/>
  <c r="G57" i="7"/>
  <c r="F5" i="1" s="1"/>
  <c r="C5" i="1"/>
  <c r="K52" i="5"/>
  <c r="G52" i="5"/>
  <c r="L52" i="5" s="1"/>
  <c r="K53" i="5"/>
  <c r="J53" i="5"/>
  <c r="L53" i="5" s="1"/>
  <c r="D69" i="5" l="1"/>
  <c r="I69" i="5" s="1"/>
  <c r="K69" i="5" s="1"/>
  <c r="F59" i="5"/>
  <c r="G59" i="5" s="1"/>
  <c r="L59" i="5" s="1"/>
  <c r="D58" i="5"/>
  <c r="I58" i="5" s="1"/>
  <c r="F57" i="5"/>
  <c r="K57" i="5" s="1"/>
  <c r="I71" i="5"/>
  <c r="K71" i="5" s="1"/>
  <c r="G70" i="5"/>
  <c r="L70" i="5" s="1"/>
  <c r="K68" i="5"/>
  <c r="I67" i="5"/>
  <c r="J67" i="5" s="1"/>
  <c r="L67" i="5" s="1"/>
  <c r="F66" i="5"/>
  <c r="K66" i="5" s="1"/>
  <c r="I62" i="5"/>
  <c r="I61" i="5"/>
  <c r="I60" i="5"/>
  <c r="K60" i="5" s="1"/>
  <c r="E36" i="5"/>
  <c r="F36" i="5" s="1"/>
  <c r="G36" i="5" s="1"/>
  <c r="L36" i="5" s="1"/>
  <c r="F20" i="5"/>
  <c r="K20" i="5" s="1"/>
  <c r="F40" i="5"/>
  <c r="K40" i="5" s="1"/>
  <c r="E34" i="5"/>
  <c r="F34" i="5" s="1"/>
  <c r="F33" i="5"/>
  <c r="K33" i="5" s="1"/>
  <c r="F32" i="5"/>
  <c r="G32" i="5" s="1"/>
  <c r="L32" i="5" s="1"/>
  <c r="F21" i="5"/>
  <c r="K21" i="5" s="1"/>
  <c r="E17" i="5"/>
  <c r="F17" i="5" s="1"/>
  <c r="E29" i="5"/>
  <c r="F29" i="5" s="1"/>
  <c r="F31" i="5"/>
  <c r="K31" i="5" s="1"/>
  <c r="F30" i="5"/>
  <c r="G30" i="5" s="1"/>
  <c r="L30" i="5" s="1"/>
  <c r="E28" i="5"/>
  <c r="F28" i="5" s="1"/>
  <c r="E23" i="5"/>
  <c r="F23" i="5" s="1"/>
  <c r="D23" i="5"/>
  <c r="F26" i="5"/>
  <c r="G26" i="5" s="1"/>
  <c r="L26" i="5" s="1"/>
  <c r="F25" i="5"/>
  <c r="K25" i="5" s="1"/>
  <c r="F19" i="5"/>
  <c r="K19" i="5" s="1"/>
  <c r="F18" i="5"/>
  <c r="K18" i="5" s="1"/>
  <c r="E16" i="5"/>
  <c r="F16" i="5" s="1"/>
  <c r="G16" i="5" s="1"/>
  <c r="L16" i="5" s="1"/>
  <c r="F14" i="5"/>
  <c r="K14" i="5" s="1"/>
  <c r="D37" i="6"/>
  <c r="I37" i="6" s="1"/>
  <c r="F36" i="6"/>
  <c r="G36" i="6" s="1"/>
  <c r="L36" i="6" s="1"/>
  <c r="I35" i="6"/>
  <c r="K35" i="6" s="1"/>
  <c r="F34" i="6"/>
  <c r="K34" i="6" s="1"/>
  <c r="I31" i="6"/>
  <c r="K31" i="6" s="1"/>
  <c r="D30" i="6"/>
  <c r="I30" i="6" s="1"/>
  <c r="E29" i="6"/>
  <c r="F29" i="6" s="1"/>
  <c r="D28" i="6"/>
  <c r="I28" i="6" s="1"/>
  <c r="F27" i="6"/>
  <c r="K27" i="6" s="1"/>
  <c r="E26" i="6"/>
  <c r="F26" i="6" s="1"/>
  <c r="F25" i="6"/>
  <c r="K25" i="6" s="1"/>
  <c r="F23" i="6"/>
  <c r="K23" i="6" s="1"/>
  <c r="F22" i="6"/>
  <c r="I21" i="6"/>
  <c r="F20" i="6"/>
  <c r="K20" i="6" s="1"/>
  <c r="F19" i="6"/>
  <c r="K19" i="6" s="1"/>
  <c r="F18" i="6"/>
  <c r="G18" i="6" s="1"/>
  <c r="L18" i="6" s="1"/>
  <c r="F16" i="6"/>
  <c r="K16" i="6" s="1"/>
  <c r="F15" i="6"/>
  <c r="F13" i="6"/>
  <c r="F11" i="6"/>
  <c r="K11" i="6" s="1"/>
  <c r="E10" i="6"/>
  <c r="F10" i="6" s="1"/>
  <c r="F9" i="6"/>
  <c r="K9" i="6" s="1"/>
  <c r="A9" i="6"/>
  <c r="A10" i="6" s="1"/>
  <c r="A11" i="6" s="1"/>
  <c r="A13" i="6" s="1"/>
  <c r="A15" i="6" s="1"/>
  <c r="A16" i="6" s="1"/>
  <c r="A18" i="6" s="1"/>
  <c r="A19" i="6" s="1"/>
  <c r="A20" i="6" s="1"/>
  <c r="A22" i="6" s="1"/>
  <c r="A23" i="6" s="1"/>
  <c r="F8" i="6"/>
  <c r="I148" i="5"/>
  <c r="K148" i="5" s="1"/>
  <c r="L147" i="5"/>
  <c r="K147" i="5"/>
  <c r="I146" i="5"/>
  <c r="K146" i="5" s="1"/>
  <c r="I145" i="5"/>
  <c r="K145" i="5" s="1"/>
  <c r="F144" i="5"/>
  <c r="K144" i="5" s="1"/>
  <c r="I135" i="5"/>
  <c r="F134" i="5"/>
  <c r="I120" i="5"/>
  <c r="K120" i="5" s="1"/>
  <c r="I116" i="5"/>
  <c r="K116" i="5" s="1"/>
  <c r="I115" i="5"/>
  <c r="K115" i="5" s="1"/>
  <c r="F114" i="5"/>
  <c r="I113" i="5"/>
  <c r="K113" i="5" s="1"/>
  <c r="I112" i="5"/>
  <c r="K112" i="5" s="1"/>
  <c r="F111" i="5"/>
  <c r="K111" i="5" s="1"/>
  <c r="H106" i="5"/>
  <c r="I106" i="5" s="1"/>
  <c r="K106" i="5" s="1"/>
  <c r="F105" i="5"/>
  <c r="I104" i="5"/>
  <c r="K104" i="5" s="1"/>
  <c r="F103" i="5"/>
  <c r="K103" i="5" s="1"/>
  <c r="I102" i="5"/>
  <c r="K102" i="5" s="1"/>
  <c r="F101" i="5"/>
  <c r="I100" i="5"/>
  <c r="K100" i="5" s="1"/>
  <c r="F99" i="5"/>
  <c r="K99" i="5" s="1"/>
  <c r="I98" i="5"/>
  <c r="K98" i="5" s="1"/>
  <c r="F97" i="5"/>
  <c r="F48" i="5"/>
  <c r="F47" i="5"/>
  <c r="K47" i="5" s="1"/>
  <c r="D46" i="5"/>
  <c r="I46" i="5" s="1"/>
  <c r="F45" i="5"/>
  <c r="F44" i="5"/>
  <c r="K44" i="5" s="1"/>
  <c r="F43" i="5"/>
  <c r="K43" i="5" s="1"/>
  <c r="F41" i="5"/>
  <c r="F13" i="5"/>
  <c r="G13" i="5" s="1"/>
  <c r="L13" i="5" s="1"/>
  <c r="F11" i="5"/>
  <c r="E10" i="5"/>
  <c r="F10" i="5" s="1"/>
  <c r="F9" i="5"/>
  <c r="K9" i="5" s="1"/>
  <c r="A9" i="5"/>
  <c r="A10" i="5" s="1"/>
  <c r="A11" i="5" s="1"/>
  <c r="A13" i="5" s="1"/>
  <c r="F8" i="5"/>
  <c r="H116" i="4"/>
  <c r="I116" i="4" s="1"/>
  <c r="J116" i="4" s="1"/>
  <c r="F116" i="4"/>
  <c r="G116" i="4" s="1"/>
  <c r="E115" i="4"/>
  <c r="F115" i="4" s="1"/>
  <c r="H114" i="4"/>
  <c r="I114" i="4" s="1"/>
  <c r="I113" i="4"/>
  <c r="J113" i="4" s="1"/>
  <c r="F113" i="4"/>
  <c r="G113" i="4" s="1"/>
  <c r="F112" i="4"/>
  <c r="G112" i="4" s="1"/>
  <c r="L112" i="4" s="1"/>
  <c r="H111" i="4"/>
  <c r="I111" i="4" s="1"/>
  <c r="E110" i="4"/>
  <c r="F110" i="4" s="1"/>
  <c r="I109" i="4"/>
  <c r="K109" i="4" s="1"/>
  <c r="F108" i="4"/>
  <c r="I107" i="4"/>
  <c r="F106" i="4"/>
  <c r="K106" i="4" s="1"/>
  <c r="H105" i="4"/>
  <c r="I105" i="4" s="1"/>
  <c r="E104" i="4"/>
  <c r="F104" i="4" s="1"/>
  <c r="H103" i="4"/>
  <c r="I103" i="4" s="1"/>
  <c r="F102" i="4"/>
  <c r="H101" i="4"/>
  <c r="I101" i="4" s="1"/>
  <c r="F100" i="4"/>
  <c r="G100" i="4" s="1"/>
  <c r="L100" i="4" s="1"/>
  <c r="H99" i="4"/>
  <c r="I99" i="4" s="1"/>
  <c r="I98" i="4"/>
  <c r="J98" i="4" s="1"/>
  <c r="L98" i="4" s="1"/>
  <c r="F97" i="4"/>
  <c r="I96" i="4"/>
  <c r="F95" i="4"/>
  <c r="G95" i="4" s="1"/>
  <c r="L95" i="4" s="1"/>
  <c r="H94" i="4"/>
  <c r="I94" i="4" s="1"/>
  <c r="K94" i="4" s="1"/>
  <c r="H93" i="4"/>
  <c r="I93" i="4" s="1"/>
  <c r="F92" i="4"/>
  <c r="H91" i="4"/>
  <c r="I91" i="4" s="1"/>
  <c r="E90" i="4"/>
  <c r="F90" i="4" s="1"/>
  <c r="G90" i="4" s="1"/>
  <c r="L90" i="4" s="1"/>
  <c r="H89" i="4"/>
  <c r="I89" i="4" s="1"/>
  <c r="J89" i="4" s="1"/>
  <c r="L89" i="4" s="1"/>
  <c r="E88" i="4"/>
  <c r="F88" i="4" s="1"/>
  <c r="K88" i="4" s="1"/>
  <c r="H87" i="4"/>
  <c r="I87" i="4" s="1"/>
  <c r="J87" i="4" s="1"/>
  <c r="L87" i="4" s="1"/>
  <c r="I86" i="4"/>
  <c r="F85" i="4"/>
  <c r="K85" i="4" s="1"/>
  <c r="H84" i="4"/>
  <c r="I84" i="4" s="1"/>
  <c r="H83" i="4"/>
  <c r="I83" i="4" s="1"/>
  <c r="J83" i="4" s="1"/>
  <c r="L83" i="4" s="1"/>
  <c r="F82" i="4"/>
  <c r="K82" i="4" s="1"/>
  <c r="H80" i="4"/>
  <c r="I80" i="4" s="1"/>
  <c r="K80" i="4" s="1"/>
  <c r="E79" i="4"/>
  <c r="F79" i="4" s="1"/>
  <c r="K79" i="4" s="1"/>
  <c r="H78" i="4"/>
  <c r="I78" i="4" s="1"/>
  <c r="K78" i="4" s="1"/>
  <c r="D77" i="4"/>
  <c r="F77" i="4" s="1"/>
  <c r="H76" i="4"/>
  <c r="I76" i="4" s="1"/>
  <c r="D75" i="4"/>
  <c r="F75" i="4" s="1"/>
  <c r="G75" i="4" s="1"/>
  <c r="L75" i="4" s="1"/>
  <c r="I74" i="4"/>
  <c r="F73" i="4"/>
  <c r="K73" i="4" s="1"/>
  <c r="D72" i="4"/>
  <c r="I72" i="4" s="1"/>
  <c r="F71" i="4"/>
  <c r="G71" i="4" s="1"/>
  <c r="L71" i="4" s="1"/>
  <c r="D70" i="4"/>
  <c r="I70" i="4" s="1"/>
  <c r="K70" i="4" s="1"/>
  <c r="I69" i="4"/>
  <c r="J69" i="4" s="1"/>
  <c r="L69" i="4" s="1"/>
  <c r="D69" i="4"/>
  <c r="I68" i="4"/>
  <c r="K68" i="4" s="1"/>
  <c r="F67" i="4"/>
  <c r="I65" i="4"/>
  <c r="J65" i="4" s="1"/>
  <c r="L65" i="4" s="1"/>
  <c r="F64" i="4"/>
  <c r="G64" i="4" s="1"/>
  <c r="L64" i="4" s="1"/>
  <c r="D63" i="4"/>
  <c r="I63" i="4" s="1"/>
  <c r="F62" i="4"/>
  <c r="K62" i="4" s="1"/>
  <c r="H61" i="4"/>
  <c r="I61" i="4" s="1"/>
  <c r="K61" i="4" s="1"/>
  <c r="E60" i="4"/>
  <c r="F60" i="4" s="1"/>
  <c r="D58" i="4"/>
  <c r="I58" i="4" s="1"/>
  <c r="D57" i="4"/>
  <c r="I57" i="4" s="1"/>
  <c r="J57" i="4" s="1"/>
  <c r="L57" i="4" s="1"/>
  <c r="D56" i="4"/>
  <c r="I56" i="4" s="1"/>
  <c r="K56" i="4" s="1"/>
  <c r="F55" i="4"/>
  <c r="G55" i="4" s="1"/>
  <c r="L55" i="4" s="1"/>
  <c r="D54" i="4"/>
  <c r="I54" i="4" s="1"/>
  <c r="K54" i="4" s="1"/>
  <c r="F53" i="4"/>
  <c r="K53" i="4" s="1"/>
  <c r="L52" i="4"/>
  <c r="K52" i="4"/>
  <c r="F51" i="4"/>
  <c r="K51" i="4" s="1"/>
  <c r="F50" i="4"/>
  <c r="K50" i="4" s="1"/>
  <c r="D49" i="4"/>
  <c r="I49" i="4" s="1"/>
  <c r="F48" i="4"/>
  <c r="K48" i="4" s="1"/>
  <c r="D47" i="4"/>
  <c r="I47" i="4" s="1"/>
  <c r="F46" i="4"/>
  <c r="K46" i="4" s="1"/>
  <c r="F45" i="4"/>
  <c r="G45" i="4" s="1"/>
  <c r="L45" i="4" s="1"/>
  <c r="F44" i="4"/>
  <c r="K44" i="4" s="1"/>
  <c r="I41" i="4"/>
  <c r="K41" i="4" s="1"/>
  <c r="F40" i="4"/>
  <c r="K40" i="4" s="1"/>
  <c r="I39" i="4"/>
  <c r="K39" i="4" s="1"/>
  <c r="F38" i="4"/>
  <c r="K38" i="4" s="1"/>
  <c r="I37" i="4"/>
  <c r="D37" i="4"/>
  <c r="F36" i="4"/>
  <c r="G36" i="4" s="1"/>
  <c r="L36" i="4" s="1"/>
  <c r="I35" i="4"/>
  <c r="K35" i="4" s="1"/>
  <c r="F34" i="4"/>
  <c r="G34" i="4" s="1"/>
  <c r="L34" i="4" s="1"/>
  <c r="D33" i="4"/>
  <c r="I33" i="4" s="1"/>
  <c r="K33" i="4" s="1"/>
  <c r="F32" i="4"/>
  <c r="I31" i="4"/>
  <c r="J31" i="4" s="1"/>
  <c r="L31" i="4" s="1"/>
  <c r="D30" i="4"/>
  <c r="I30" i="4" s="1"/>
  <c r="F29" i="4"/>
  <c r="G29" i="4" s="1"/>
  <c r="L29" i="4" s="1"/>
  <c r="D28" i="4"/>
  <c r="I28" i="4" s="1"/>
  <c r="J28" i="4" s="1"/>
  <c r="L28" i="4" s="1"/>
  <c r="F27" i="4"/>
  <c r="K27" i="4" s="1"/>
  <c r="E26" i="4"/>
  <c r="F26" i="4" s="1"/>
  <c r="E25" i="4"/>
  <c r="F25" i="4" s="1"/>
  <c r="F23" i="4"/>
  <c r="F22" i="4"/>
  <c r="G22" i="4" s="1"/>
  <c r="L22" i="4" s="1"/>
  <c r="F21" i="4"/>
  <c r="K21" i="4" s="1"/>
  <c r="F20" i="4"/>
  <c r="K20" i="4" s="1"/>
  <c r="I19" i="4"/>
  <c r="J19" i="4" s="1"/>
  <c r="L19" i="4" s="1"/>
  <c r="F18" i="4"/>
  <c r="K18" i="4" s="1"/>
  <c r="D17" i="4"/>
  <c r="I17" i="4" s="1"/>
  <c r="J17" i="4" s="1"/>
  <c r="L17" i="4" s="1"/>
  <c r="F16" i="4"/>
  <c r="G16" i="4" s="1"/>
  <c r="L16" i="4" s="1"/>
  <c r="F15" i="4"/>
  <c r="K15" i="4" s="1"/>
  <c r="F14" i="4"/>
  <c r="K14" i="4" s="1"/>
  <c r="F12" i="4"/>
  <c r="F10" i="4"/>
  <c r="K10" i="4" s="1"/>
  <c r="E9" i="4"/>
  <c r="F9" i="4" s="1"/>
  <c r="K9" i="4" s="1"/>
  <c r="A9" i="4"/>
  <c r="A10" i="4" s="1"/>
  <c r="A12" i="4" s="1"/>
  <c r="A14" i="4" s="1"/>
  <c r="A15" i="4" s="1"/>
  <c r="A16" i="4" s="1"/>
  <c r="A18" i="4" s="1"/>
  <c r="A20" i="4" s="1"/>
  <c r="A21" i="4" s="1"/>
  <c r="A22" i="4" s="1"/>
  <c r="A23" i="4" s="1"/>
  <c r="A25" i="4" s="1"/>
  <c r="A26" i="4" s="1"/>
  <c r="A27" i="4" s="1"/>
  <c r="A29" i="4" s="1"/>
  <c r="A32" i="4" s="1"/>
  <c r="A34" i="4" s="1"/>
  <c r="A36" i="4" s="1"/>
  <c r="A38" i="4" s="1"/>
  <c r="A40" i="4" s="1"/>
  <c r="A44" i="4" s="1"/>
  <c r="A45" i="4" s="1"/>
  <c r="A46" i="4" s="1"/>
  <c r="A48" i="4" s="1"/>
  <c r="A50" i="4" s="1"/>
  <c r="A51" i="4" s="1"/>
  <c r="A53" i="4" s="1"/>
  <c r="A55" i="4" s="1"/>
  <c r="A60" i="4" s="1"/>
  <c r="A62" i="4" s="1"/>
  <c r="A64" i="4" s="1"/>
  <c r="A67" i="4" s="1"/>
  <c r="A71" i="4" s="1"/>
  <c r="A73" i="4" s="1"/>
  <c r="A75" i="4" s="1"/>
  <c r="A77" i="4" s="1"/>
  <c r="A79" i="4" s="1"/>
  <c r="A82" i="4" s="1"/>
  <c r="A85" i="4" s="1"/>
  <c r="A88" i="4" s="1"/>
  <c r="A90" i="4" s="1"/>
  <c r="A92" i="4" s="1"/>
  <c r="A95" i="4" s="1"/>
  <c r="A97" i="4" s="1"/>
  <c r="A100" i="4" s="1"/>
  <c r="A102" i="4" s="1"/>
  <c r="A104" i="4" s="1"/>
  <c r="A106" i="4" s="1"/>
  <c r="A108" i="4" s="1"/>
  <c r="A110" i="4" s="1"/>
  <c r="A112" i="4" s="1"/>
  <c r="A115" i="4" s="1"/>
  <c r="F8" i="4"/>
  <c r="G8" i="4" s="1"/>
  <c r="L8" i="4" s="1"/>
  <c r="I103" i="3"/>
  <c r="K103" i="3" s="1"/>
  <c r="F102" i="3"/>
  <c r="G102" i="3" s="1"/>
  <c r="L102" i="3" s="1"/>
  <c r="H101" i="3"/>
  <c r="I101" i="3" s="1"/>
  <c r="K101" i="3" s="1"/>
  <c r="F100" i="3"/>
  <c r="D99" i="3"/>
  <c r="I99" i="3" s="1"/>
  <c r="J99" i="3" s="1"/>
  <c r="L99" i="3" s="1"/>
  <c r="D98" i="3"/>
  <c r="I98" i="3" s="1"/>
  <c r="J98" i="3" s="1"/>
  <c r="L98" i="3" s="1"/>
  <c r="D97" i="3"/>
  <c r="I97" i="3" s="1"/>
  <c r="I96" i="3"/>
  <c r="J96" i="3" s="1"/>
  <c r="L96" i="3" s="1"/>
  <c r="F95" i="3"/>
  <c r="K95" i="3" s="1"/>
  <c r="I94" i="3"/>
  <c r="F93" i="3"/>
  <c r="K93" i="3" s="1"/>
  <c r="I87" i="3"/>
  <c r="K87" i="3" s="1"/>
  <c r="H86" i="3"/>
  <c r="I86" i="3" s="1"/>
  <c r="J86" i="3" s="1"/>
  <c r="L86" i="3" s="1"/>
  <c r="I85" i="3"/>
  <c r="I84" i="3"/>
  <c r="I83" i="3"/>
  <c r="K83" i="3" s="1"/>
  <c r="F82" i="3"/>
  <c r="K82" i="3" s="1"/>
  <c r="I80" i="3"/>
  <c r="F79" i="3"/>
  <c r="G79" i="3" s="1"/>
  <c r="L79" i="3" s="1"/>
  <c r="D78" i="3"/>
  <c r="F77" i="3"/>
  <c r="K77" i="3" s="1"/>
  <c r="F76" i="3"/>
  <c r="K76" i="3" s="1"/>
  <c r="H75" i="3"/>
  <c r="I75" i="3" s="1"/>
  <c r="E74" i="3"/>
  <c r="F74" i="3" s="1"/>
  <c r="K74" i="3" s="1"/>
  <c r="I70" i="3"/>
  <c r="K70" i="3" s="1"/>
  <c r="F69" i="3"/>
  <c r="I68" i="3"/>
  <c r="K68" i="3" s="1"/>
  <c r="F67" i="3"/>
  <c r="K67" i="3" s="1"/>
  <c r="H66" i="3"/>
  <c r="I66" i="3" s="1"/>
  <c r="K66" i="3" s="1"/>
  <c r="F65" i="3"/>
  <c r="I64" i="3"/>
  <c r="K64" i="3" s="1"/>
  <c r="F63" i="3"/>
  <c r="G63" i="3" s="1"/>
  <c r="L63" i="3" s="1"/>
  <c r="I59" i="3"/>
  <c r="K59" i="3" s="1"/>
  <c r="F58" i="3"/>
  <c r="G58" i="3" s="1"/>
  <c r="L58" i="3" s="1"/>
  <c r="I57" i="3"/>
  <c r="K57" i="3" s="1"/>
  <c r="F56" i="3"/>
  <c r="G56" i="3" s="1"/>
  <c r="L56" i="3" s="1"/>
  <c r="I55" i="3"/>
  <c r="K55" i="3" s="1"/>
  <c r="F54" i="3"/>
  <c r="G54" i="3" s="1"/>
  <c r="L54" i="3" s="1"/>
  <c r="I48" i="3"/>
  <c r="J48" i="3" s="1"/>
  <c r="L48" i="3" s="1"/>
  <c r="H47" i="3"/>
  <c r="I47" i="3" s="1"/>
  <c r="I46" i="3"/>
  <c r="I45" i="3"/>
  <c r="I44" i="3"/>
  <c r="K44" i="3" s="1"/>
  <c r="D43" i="3"/>
  <c r="F43" i="3" s="1"/>
  <c r="G43" i="3" s="1"/>
  <c r="L43" i="3" s="1"/>
  <c r="D41" i="3"/>
  <c r="I41" i="3" s="1"/>
  <c r="J41" i="3" s="1"/>
  <c r="L41" i="3" s="1"/>
  <c r="F40" i="3"/>
  <c r="K40" i="3" s="1"/>
  <c r="D39" i="3"/>
  <c r="I39" i="3" s="1"/>
  <c r="F38" i="3"/>
  <c r="G38" i="3" s="1"/>
  <c r="L38" i="3" s="1"/>
  <c r="F37" i="3"/>
  <c r="K37" i="3" s="1"/>
  <c r="I36" i="3"/>
  <c r="K36" i="3" s="1"/>
  <c r="D35" i="3"/>
  <c r="I35" i="3" s="1"/>
  <c r="K35" i="3" s="1"/>
  <c r="E34" i="3"/>
  <c r="F34" i="3" s="1"/>
  <c r="D33" i="3"/>
  <c r="I33" i="3" s="1"/>
  <c r="F32" i="3"/>
  <c r="G32" i="3" s="1"/>
  <c r="L32" i="3" s="1"/>
  <c r="E31" i="3"/>
  <c r="F31" i="3" s="1"/>
  <c r="F30" i="3"/>
  <c r="K30" i="3" s="1"/>
  <c r="F28" i="3"/>
  <c r="K28" i="3" s="1"/>
  <c r="F27" i="3"/>
  <c r="G27" i="3" s="1"/>
  <c r="L27" i="3" s="1"/>
  <c r="F26" i="3"/>
  <c r="K26" i="3" s="1"/>
  <c r="D25" i="3"/>
  <c r="I25" i="3" s="1"/>
  <c r="F24" i="3"/>
  <c r="G24" i="3" s="1"/>
  <c r="L24" i="3" s="1"/>
  <c r="D23" i="3"/>
  <c r="I23" i="3" s="1"/>
  <c r="F22" i="3"/>
  <c r="K22" i="3" s="1"/>
  <c r="F21" i="3"/>
  <c r="K21" i="3" s="1"/>
  <c r="F20" i="3"/>
  <c r="G20" i="3" s="1"/>
  <c r="L20" i="3" s="1"/>
  <c r="F19" i="3"/>
  <c r="K19" i="3" s="1"/>
  <c r="F18" i="3"/>
  <c r="F17" i="3"/>
  <c r="G17" i="3" s="1"/>
  <c r="L17" i="3" s="1"/>
  <c r="D16" i="3"/>
  <c r="I16" i="3" s="1"/>
  <c r="F15" i="3"/>
  <c r="K15" i="3" s="1"/>
  <c r="D14" i="3"/>
  <c r="I14" i="3" s="1"/>
  <c r="K14" i="3" s="1"/>
  <c r="F13" i="3"/>
  <c r="K13" i="3" s="1"/>
  <c r="F12" i="3"/>
  <c r="F11" i="3"/>
  <c r="G11" i="3" s="1"/>
  <c r="L11" i="3" s="1"/>
  <c r="F9" i="3"/>
  <c r="A9" i="3"/>
  <c r="A11" i="3" s="1"/>
  <c r="A12" i="3" s="1"/>
  <c r="A13" i="3" s="1"/>
  <c r="A15" i="3" s="1"/>
  <c r="A17" i="3" s="1"/>
  <c r="A18" i="3" s="1"/>
  <c r="A19" i="3" s="1"/>
  <c r="A20" i="3" s="1"/>
  <c r="A21" i="3" s="1"/>
  <c r="A22" i="3" s="1"/>
  <c r="A24" i="3" s="1"/>
  <c r="A26" i="3" s="1"/>
  <c r="A27" i="3" s="1"/>
  <c r="A28" i="3" s="1"/>
  <c r="A30" i="3" s="1"/>
  <c r="A31" i="3" s="1"/>
  <c r="A32" i="3" s="1"/>
  <c r="A34" i="3" s="1"/>
  <c r="A37" i="3" s="1"/>
  <c r="A38" i="3" s="1"/>
  <c r="A40" i="3" s="1"/>
  <c r="A43" i="3" s="1"/>
  <c r="F8" i="3"/>
  <c r="I93" i="2"/>
  <c r="K93" i="2" s="1"/>
  <c r="I92" i="2"/>
  <c r="J92" i="2" s="1"/>
  <c r="F92" i="2"/>
  <c r="I91" i="2"/>
  <c r="F90" i="2"/>
  <c r="K90" i="2" s="1"/>
  <c r="I89" i="2"/>
  <c r="F88" i="2"/>
  <c r="G88" i="2" s="1"/>
  <c r="L88" i="2" s="1"/>
  <c r="H87" i="2"/>
  <c r="I87" i="2" s="1"/>
  <c r="E86" i="2"/>
  <c r="F86" i="2" s="1"/>
  <c r="G86" i="2" s="1"/>
  <c r="L86" i="2" s="1"/>
  <c r="D85" i="2"/>
  <c r="I85" i="2" s="1"/>
  <c r="J85" i="2" s="1"/>
  <c r="L85" i="2" s="1"/>
  <c r="F84" i="2"/>
  <c r="K84" i="2" s="1"/>
  <c r="F83" i="2"/>
  <c r="G83" i="2" s="1"/>
  <c r="I82" i="2"/>
  <c r="J82" i="2" s="1"/>
  <c r="L82" i="2" s="1"/>
  <c r="F81" i="2"/>
  <c r="I80" i="2"/>
  <c r="J80" i="2" s="1"/>
  <c r="L80" i="2" s="1"/>
  <c r="F79" i="2"/>
  <c r="H78" i="2"/>
  <c r="I78" i="2" s="1"/>
  <c r="J78" i="2" s="1"/>
  <c r="L78" i="2" s="1"/>
  <c r="E77" i="2"/>
  <c r="F77" i="2" s="1"/>
  <c r="K77" i="2" s="1"/>
  <c r="E76" i="2"/>
  <c r="F76" i="2" s="1"/>
  <c r="K76" i="2" s="1"/>
  <c r="H75" i="2"/>
  <c r="D75" i="2"/>
  <c r="F74" i="2"/>
  <c r="K74" i="2" s="1"/>
  <c r="H73" i="2"/>
  <c r="D73" i="2"/>
  <c r="F72" i="2"/>
  <c r="H70" i="2"/>
  <c r="I70" i="2" s="1"/>
  <c r="J70" i="2" s="1"/>
  <c r="L70" i="2" s="1"/>
  <c r="E69" i="2"/>
  <c r="F69" i="2" s="1"/>
  <c r="K69" i="2" s="1"/>
  <c r="H68" i="2"/>
  <c r="I68" i="2" s="1"/>
  <c r="J68" i="2" s="1"/>
  <c r="L68" i="2" s="1"/>
  <c r="F67" i="2"/>
  <c r="K67" i="2" s="1"/>
  <c r="H66" i="2"/>
  <c r="I66" i="2" s="1"/>
  <c r="E65" i="2"/>
  <c r="F65" i="2" s="1"/>
  <c r="H64" i="2"/>
  <c r="I64" i="2" s="1"/>
  <c r="K64" i="2" s="1"/>
  <c r="F63" i="2"/>
  <c r="H62" i="2"/>
  <c r="I62" i="2" s="1"/>
  <c r="J62" i="2" s="1"/>
  <c r="L62" i="2" s="1"/>
  <c r="E61" i="2"/>
  <c r="F61" i="2" s="1"/>
  <c r="K61" i="2" s="1"/>
  <c r="I60" i="2"/>
  <c r="K60" i="2" s="1"/>
  <c r="F59" i="2"/>
  <c r="G59" i="2" s="1"/>
  <c r="L59" i="2" s="1"/>
  <c r="H58" i="2"/>
  <c r="I58" i="2" s="1"/>
  <c r="K58" i="2" s="1"/>
  <c r="E57" i="2"/>
  <c r="F57" i="2" s="1"/>
  <c r="H56" i="2"/>
  <c r="I56" i="2" s="1"/>
  <c r="E55" i="2"/>
  <c r="F55" i="2" s="1"/>
  <c r="G55" i="2" s="1"/>
  <c r="L55" i="2" s="1"/>
  <c r="H54" i="2"/>
  <c r="I54" i="2" s="1"/>
  <c r="J54" i="2" s="1"/>
  <c r="L54" i="2" s="1"/>
  <c r="E53" i="2"/>
  <c r="F53" i="2" s="1"/>
  <c r="K53" i="2" s="1"/>
  <c r="I52" i="2"/>
  <c r="K52" i="2" s="1"/>
  <c r="F51" i="2"/>
  <c r="K51" i="2" s="1"/>
  <c r="H50" i="2"/>
  <c r="I50" i="2" s="1"/>
  <c r="K50" i="2" s="1"/>
  <c r="E49" i="2"/>
  <c r="F49" i="2" s="1"/>
  <c r="H48" i="2"/>
  <c r="I48" i="2" s="1"/>
  <c r="E47" i="2"/>
  <c r="F47" i="2" s="1"/>
  <c r="G47" i="2" s="1"/>
  <c r="L47" i="2" s="1"/>
  <c r="H46" i="2"/>
  <c r="I46" i="2" s="1"/>
  <c r="J46" i="2" s="1"/>
  <c r="L46" i="2" s="1"/>
  <c r="E45" i="2"/>
  <c r="F45" i="2" s="1"/>
  <c r="K45" i="2" s="1"/>
  <c r="D44" i="2"/>
  <c r="I44" i="2" s="1"/>
  <c r="K44" i="2" s="1"/>
  <c r="F43" i="2"/>
  <c r="G43" i="2" s="1"/>
  <c r="L43" i="2" s="1"/>
  <c r="D41" i="2"/>
  <c r="I41" i="2" s="1"/>
  <c r="F40" i="2"/>
  <c r="K40" i="2" s="1"/>
  <c r="I39" i="2"/>
  <c r="F38" i="2"/>
  <c r="G38" i="2" s="1"/>
  <c r="L38" i="2" s="1"/>
  <c r="I37" i="2"/>
  <c r="K37" i="2" s="1"/>
  <c r="I36" i="2"/>
  <c r="K36" i="2" s="1"/>
  <c r="F35" i="2"/>
  <c r="K35" i="2" s="1"/>
  <c r="I34" i="2"/>
  <c r="K34" i="2" s="1"/>
  <c r="D34" i="2"/>
  <c r="F33" i="2"/>
  <c r="K33" i="2" s="1"/>
  <c r="D32" i="2"/>
  <c r="I32" i="2" s="1"/>
  <c r="F31" i="2"/>
  <c r="K31" i="2" s="1"/>
  <c r="F29" i="2"/>
  <c r="F28" i="2"/>
  <c r="K28" i="2" s="1"/>
  <c r="D27" i="2"/>
  <c r="I27" i="2" s="1"/>
  <c r="F26" i="2"/>
  <c r="K26" i="2" s="1"/>
  <c r="D25" i="2"/>
  <c r="I25" i="2" s="1"/>
  <c r="F24" i="2"/>
  <c r="K24" i="2" s="1"/>
  <c r="F23" i="2"/>
  <c r="F22" i="2"/>
  <c r="G22" i="2" s="1"/>
  <c r="L22" i="2" s="1"/>
  <c r="D20" i="2"/>
  <c r="I20" i="2" s="1"/>
  <c r="K20" i="2" s="1"/>
  <c r="F19" i="2"/>
  <c r="G19" i="2" s="1"/>
  <c r="L19" i="2" s="1"/>
  <c r="D18" i="2"/>
  <c r="I18" i="2" s="1"/>
  <c r="K18" i="2" s="1"/>
  <c r="F17" i="2"/>
  <c r="D16" i="2"/>
  <c r="I16" i="2" s="1"/>
  <c r="K16" i="2" s="1"/>
  <c r="F15" i="2"/>
  <c r="D14" i="2"/>
  <c r="I14" i="2" s="1"/>
  <c r="K14" i="2" s="1"/>
  <c r="F13" i="2"/>
  <c r="G13" i="2" s="1"/>
  <c r="L13" i="2" s="1"/>
  <c r="F11" i="2"/>
  <c r="G11" i="2" s="1"/>
  <c r="L11" i="2" s="1"/>
  <c r="F10" i="2"/>
  <c r="G10" i="2" s="1"/>
  <c r="L10" i="2" s="1"/>
  <c r="E9" i="2"/>
  <c r="F9" i="2" s="1"/>
  <c r="G9" i="2" s="1"/>
  <c r="L9" i="2" s="1"/>
  <c r="A9" i="2"/>
  <c r="A10" i="2" s="1"/>
  <c r="A11" i="2" s="1"/>
  <c r="A13" i="2" s="1"/>
  <c r="A15" i="2" s="1"/>
  <c r="A17" i="2" s="1"/>
  <c r="A19" i="2" s="1"/>
  <c r="A22" i="2" s="1"/>
  <c r="A23" i="2" s="1"/>
  <c r="A24" i="2" s="1"/>
  <c r="A26" i="2" s="1"/>
  <c r="A28" i="2" s="1"/>
  <c r="A29" i="2" s="1"/>
  <c r="A31" i="2" s="1"/>
  <c r="A33" i="2" s="1"/>
  <c r="A35" i="2" s="1"/>
  <c r="A38" i="2" s="1"/>
  <c r="A40" i="2" s="1"/>
  <c r="A43" i="2" s="1"/>
  <c r="A45" i="2" s="1"/>
  <c r="A47" i="2" s="1"/>
  <c r="A49" i="2" s="1"/>
  <c r="A51" i="2" s="1"/>
  <c r="A53" i="2" s="1"/>
  <c r="A55" i="2" s="1"/>
  <c r="A57" i="2" s="1"/>
  <c r="A59" i="2" s="1"/>
  <c r="A61" i="2" s="1"/>
  <c r="A63" i="2" s="1"/>
  <c r="A65" i="2" s="1"/>
  <c r="A67" i="2" s="1"/>
  <c r="A69" i="2" s="1"/>
  <c r="A72" i="2" s="1"/>
  <c r="A74" i="2" s="1"/>
  <c r="A76" i="2" s="1"/>
  <c r="A77" i="2" s="1"/>
  <c r="A79" i="2" s="1"/>
  <c r="A81" i="2" s="1"/>
  <c r="A84" i="2" s="1"/>
  <c r="A86" i="2" s="1"/>
  <c r="A88" i="2" s="1"/>
  <c r="A90" i="2" s="1"/>
  <c r="A92" i="2" s="1"/>
  <c r="F8" i="2"/>
  <c r="A8" i="1"/>
  <c r="A9" i="1" s="1"/>
  <c r="K59" i="2" l="1"/>
  <c r="K80" i="2"/>
  <c r="K92" i="2"/>
  <c r="K19" i="2"/>
  <c r="G20" i="4"/>
  <c r="L20" i="4" s="1"/>
  <c r="K13" i="2"/>
  <c r="G40" i="2"/>
  <c r="L40" i="2" s="1"/>
  <c r="G51" i="2"/>
  <c r="L51" i="2" s="1"/>
  <c r="I75" i="2"/>
  <c r="K75" i="2" s="1"/>
  <c r="G45" i="2"/>
  <c r="L45" i="2" s="1"/>
  <c r="G88" i="4"/>
  <c r="L88" i="4" s="1"/>
  <c r="K22" i="2"/>
  <c r="G51" i="4"/>
  <c r="L51" i="4" s="1"/>
  <c r="K54" i="2"/>
  <c r="G38" i="4"/>
  <c r="L38" i="4" s="1"/>
  <c r="K10" i="2"/>
  <c r="J37" i="2"/>
  <c r="L37" i="2" s="1"/>
  <c r="J52" i="2"/>
  <c r="L52" i="2" s="1"/>
  <c r="G61" i="2"/>
  <c r="L61" i="2" s="1"/>
  <c r="G74" i="2"/>
  <c r="L74" i="2" s="1"/>
  <c r="K90" i="4"/>
  <c r="I73" i="2"/>
  <c r="J73" i="2" s="1"/>
  <c r="L73" i="2" s="1"/>
  <c r="G26" i="2"/>
  <c r="L26" i="2" s="1"/>
  <c r="G92" i="2"/>
  <c r="L92" i="2" s="1"/>
  <c r="J35" i="4"/>
  <c r="L35" i="4" s="1"/>
  <c r="J70" i="4"/>
  <c r="L70" i="4" s="1"/>
  <c r="K70" i="2"/>
  <c r="J33" i="4"/>
  <c r="L33" i="4" s="1"/>
  <c r="G62" i="4"/>
  <c r="L62" i="4" s="1"/>
  <c r="K95" i="4"/>
  <c r="G106" i="4"/>
  <c r="L106" i="4" s="1"/>
  <c r="K38" i="2"/>
  <c r="K43" i="2"/>
  <c r="K64" i="4"/>
  <c r="K82" i="2"/>
  <c r="G44" i="4"/>
  <c r="L44" i="4" s="1"/>
  <c r="G48" i="4"/>
  <c r="L48" i="4" s="1"/>
  <c r="G24" i="2"/>
  <c r="L24" i="2" s="1"/>
  <c r="J34" i="2"/>
  <c r="L34" i="2" s="1"/>
  <c r="K62" i="2"/>
  <c r="G40" i="4"/>
  <c r="L40" i="4" s="1"/>
  <c r="G50" i="4"/>
  <c r="L50" i="4" s="1"/>
  <c r="G53" i="4"/>
  <c r="L53" i="4" s="1"/>
  <c r="G82" i="4"/>
  <c r="L82" i="4" s="1"/>
  <c r="K112" i="4"/>
  <c r="G10" i="4"/>
  <c r="L10" i="4" s="1"/>
  <c r="J20" i="2"/>
  <c r="L20" i="2" s="1"/>
  <c r="K27" i="2"/>
  <c r="J27" i="2"/>
  <c r="L27" i="2" s="1"/>
  <c r="K76" i="4"/>
  <c r="J76" i="4"/>
  <c r="L76" i="4" s="1"/>
  <c r="G110" i="4"/>
  <c r="L110" i="4" s="1"/>
  <c r="K110" i="4"/>
  <c r="K105" i="4"/>
  <c r="J105" i="4"/>
  <c r="L105" i="4" s="1"/>
  <c r="G15" i="4"/>
  <c r="L15" i="4" s="1"/>
  <c r="J41" i="4"/>
  <c r="L41" i="4" s="1"/>
  <c r="J54" i="4"/>
  <c r="L54" i="4" s="1"/>
  <c r="J68" i="4"/>
  <c r="L68" i="4" s="1"/>
  <c r="K87" i="4"/>
  <c r="F94" i="2"/>
  <c r="C8" i="1" s="1"/>
  <c r="G8" i="2"/>
  <c r="L8" i="2" s="1"/>
  <c r="J18" i="2"/>
  <c r="L18" i="2" s="1"/>
  <c r="K11" i="2"/>
  <c r="G31" i="2"/>
  <c r="L31" i="2" s="1"/>
  <c r="G35" i="2"/>
  <c r="L35" i="2" s="1"/>
  <c r="K46" i="2"/>
  <c r="J60" i="2"/>
  <c r="L60" i="2" s="1"/>
  <c r="K88" i="2"/>
  <c r="G53" i="2"/>
  <c r="L53" i="2" s="1"/>
  <c r="G69" i="2"/>
  <c r="L69" i="2" s="1"/>
  <c r="G84" i="2"/>
  <c r="L84" i="2" s="1"/>
  <c r="K55" i="4"/>
  <c r="K71" i="4"/>
  <c r="K75" i="4"/>
  <c r="G79" i="4"/>
  <c r="L79" i="4" s="1"/>
  <c r="K83" i="4"/>
  <c r="K68" i="2"/>
  <c r="J93" i="2"/>
  <c r="L93" i="2" s="1"/>
  <c r="K16" i="4"/>
  <c r="K98" i="4"/>
  <c r="K9" i="2"/>
  <c r="J16" i="2"/>
  <c r="L16" i="2" s="1"/>
  <c r="G28" i="2"/>
  <c r="L28" i="2" s="1"/>
  <c r="G33" i="2"/>
  <c r="L33" i="2" s="1"/>
  <c r="G90" i="2"/>
  <c r="L90" i="2" s="1"/>
  <c r="K36" i="4"/>
  <c r="K69" i="4"/>
  <c r="K8" i="3"/>
  <c r="F105" i="3"/>
  <c r="C9" i="1" s="1"/>
  <c r="L113" i="4"/>
  <c r="A49" i="3"/>
  <c r="A51" i="3" s="1"/>
  <c r="A54" i="3" s="1"/>
  <c r="A56" i="3" s="1"/>
  <c r="A58" i="3" s="1"/>
  <c r="A63" i="3" s="1"/>
  <c r="A65" i="3" s="1"/>
  <c r="A67" i="3" s="1"/>
  <c r="A69" i="3" s="1"/>
  <c r="A74" i="3" s="1"/>
  <c r="A76" i="3" s="1"/>
  <c r="A77" i="3" s="1"/>
  <c r="A79" i="3" s="1"/>
  <c r="A82" i="3" s="1"/>
  <c r="A88" i="3" s="1"/>
  <c r="A90" i="3" s="1"/>
  <c r="A93" i="3" s="1"/>
  <c r="A95" i="3" s="1"/>
  <c r="A100" i="3" s="1"/>
  <c r="A102" i="3" s="1"/>
  <c r="K29" i="4"/>
  <c r="K57" i="4"/>
  <c r="G73" i="4"/>
  <c r="L73" i="4" s="1"/>
  <c r="K100" i="4"/>
  <c r="K31" i="4"/>
  <c r="K28" i="4"/>
  <c r="J109" i="4"/>
  <c r="L109" i="4" s="1"/>
  <c r="K85" i="2"/>
  <c r="A10" i="1"/>
  <c r="A11" i="1" s="1"/>
  <c r="A12" i="1" s="1"/>
  <c r="A13" i="1" s="1"/>
  <c r="J35" i="3"/>
  <c r="L35" i="3" s="1"/>
  <c r="K48" i="3"/>
  <c r="J68" i="3"/>
  <c r="L68" i="3" s="1"/>
  <c r="G76" i="3"/>
  <c r="L76" i="3" s="1"/>
  <c r="K56" i="3"/>
  <c r="J87" i="3"/>
  <c r="L87" i="3" s="1"/>
  <c r="K17" i="3"/>
  <c r="G22" i="3"/>
  <c r="L22" i="3" s="1"/>
  <c r="J55" i="3"/>
  <c r="L55" i="3" s="1"/>
  <c r="K63" i="3"/>
  <c r="K79" i="3"/>
  <c r="J64" i="3"/>
  <c r="L64" i="3" s="1"/>
  <c r="G30" i="3"/>
  <c r="L30" i="3" s="1"/>
  <c r="G37" i="3"/>
  <c r="L37" i="3" s="1"/>
  <c r="K58" i="3"/>
  <c r="I78" i="3"/>
  <c r="K78" i="3" s="1"/>
  <c r="G93" i="3"/>
  <c r="L93" i="3" s="1"/>
  <c r="G26" i="3"/>
  <c r="L26" i="3" s="1"/>
  <c r="K38" i="3"/>
  <c r="K43" i="3"/>
  <c r="K98" i="3"/>
  <c r="K32" i="3"/>
  <c r="G40" i="3"/>
  <c r="L40" i="3" s="1"/>
  <c r="J59" i="3"/>
  <c r="L59" i="3" s="1"/>
  <c r="G67" i="3"/>
  <c r="L67" i="3" s="1"/>
  <c r="K11" i="3"/>
  <c r="K24" i="3"/>
  <c r="K27" i="3"/>
  <c r="K54" i="3"/>
  <c r="J57" i="3"/>
  <c r="L57" i="3" s="1"/>
  <c r="K86" i="3"/>
  <c r="K96" i="3"/>
  <c r="J103" i="3"/>
  <c r="L103" i="3" s="1"/>
  <c r="J66" i="3"/>
  <c r="L66" i="3" s="1"/>
  <c r="G8" i="3"/>
  <c r="L8" i="3" s="1"/>
  <c r="G19" i="3"/>
  <c r="L19" i="3" s="1"/>
  <c r="K20" i="3"/>
  <c r="G13" i="3"/>
  <c r="L13" i="3" s="1"/>
  <c r="G21" i="4"/>
  <c r="L21" i="4" s="1"/>
  <c r="K19" i="4"/>
  <c r="G18" i="4"/>
  <c r="L18" i="4" s="1"/>
  <c r="J35" i="6"/>
  <c r="L35" i="6" s="1"/>
  <c r="A25" i="6"/>
  <c r="A26" i="6" s="1"/>
  <c r="A27" i="6" s="1"/>
  <c r="A29" i="6" s="1"/>
  <c r="G16" i="6"/>
  <c r="L16" i="6" s="1"/>
  <c r="K36" i="6"/>
  <c r="G23" i="6"/>
  <c r="L23" i="6" s="1"/>
  <c r="K18" i="6"/>
  <c r="K70" i="5"/>
  <c r="I65" i="5"/>
  <c r="J65" i="5" s="1"/>
  <c r="J69" i="5"/>
  <c r="L69" i="5" s="1"/>
  <c r="K59" i="5"/>
  <c r="K67" i="5"/>
  <c r="K58" i="5"/>
  <c r="J58" i="5"/>
  <c r="L58" i="5" s="1"/>
  <c r="G57" i="5"/>
  <c r="L57" i="5" s="1"/>
  <c r="K62" i="5"/>
  <c r="J62" i="5"/>
  <c r="L62" i="5" s="1"/>
  <c r="K61" i="5"/>
  <c r="J61" i="5"/>
  <c r="L61" i="5" s="1"/>
  <c r="G66" i="5"/>
  <c r="L66" i="5" s="1"/>
  <c r="G68" i="5"/>
  <c r="L68" i="5" s="1"/>
  <c r="A14" i="5"/>
  <c r="A16" i="5" s="1"/>
  <c r="A17" i="5" s="1"/>
  <c r="A18" i="5" s="1"/>
  <c r="A19" i="5" s="1"/>
  <c r="A20" i="5" s="1"/>
  <c r="A21" i="5" s="1"/>
  <c r="A23" i="5" s="1"/>
  <c r="A28" i="5" s="1"/>
  <c r="A29" i="5" s="1"/>
  <c r="A30" i="5" s="1"/>
  <c r="A31" i="5" s="1"/>
  <c r="A32" i="5" s="1"/>
  <c r="A33" i="5" s="1"/>
  <c r="A34" i="5" s="1"/>
  <c r="A36" i="5" s="1"/>
  <c r="A40" i="5" s="1"/>
  <c r="A43" i="5" s="1"/>
  <c r="J71" i="5"/>
  <c r="L71" i="5" s="1"/>
  <c r="J60" i="5"/>
  <c r="L60" i="5" s="1"/>
  <c r="K36" i="5"/>
  <c r="G20" i="5"/>
  <c r="L20" i="5" s="1"/>
  <c r="G40" i="5"/>
  <c r="L40" i="5" s="1"/>
  <c r="K34" i="5"/>
  <c r="G34" i="5"/>
  <c r="L34" i="5" s="1"/>
  <c r="K32" i="5"/>
  <c r="G33" i="5"/>
  <c r="L33" i="5" s="1"/>
  <c r="G21" i="5"/>
  <c r="L21" i="5" s="1"/>
  <c r="K17" i="5"/>
  <c r="G17" i="5"/>
  <c r="L17" i="5" s="1"/>
  <c r="K30" i="5"/>
  <c r="G31" i="5"/>
  <c r="L31" i="5" s="1"/>
  <c r="K29" i="5"/>
  <c r="G29" i="5"/>
  <c r="L29" i="5" s="1"/>
  <c r="K28" i="5"/>
  <c r="G28" i="5"/>
  <c r="L28" i="5" s="1"/>
  <c r="J102" i="5"/>
  <c r="L102" i="5" s="1"/>
  <c r="J113" i="5"/>
  <c r="L113" i="5" s="1"/>
  <c r="J120" i="5"/>
  <c r="L120" i="5" s="1"/>
  <c r="J116" i="5"/>
  <c r="L116" i="5" s="1"/>
  <c r="J146" i="5"/>
  <c r="L146" i="5" s="1"/>
  <c r="K26" i="5"/>
  <c r="G103" i="5"/>
  <c r="L103" i="5" s="1"/>
  <c r="K13" i="5"/>
  <c r="K23" i="5"/>
  <c r="G23" i="5"/>
  <c r="L23" i="5" s="1"/>
  <c r="G25" i="5"/>
  <c r="L25" i="5" s="1"/>
  <c r="G19" i="5"/>
  <c r="L19" i="5" s="1"/>
  <c r="G18" i="5"/>
  <c r="L18" i="5" s="1"/>
  <c r="K16" i="5"/>
  <c r="K135" i="5"/>
  <c r="J135" i="5"/>
  <c r="L135" i="5" s="1"/>
  <c r="J98" i="5"/>
  <c r="L98" i="5" s="1"/>
  <c r="J104" i="5"/>
  <c r="L104" i="5" s="1"/>
  <c r="G111" i="5"/>
  <c r="L111" i="5" s="1"/>
  <c r="J148" i="5"/>
  <c r="L148" i="5" s="1"/>
  <c r="J100" i="5"/>
  <c r="L100" i="5" s="1"/>
  <c r="G43" i="5"/>
  <c r="L43" i="5" s="1"/>
  <c r="G99" i="5"/>
  <c r="L99" i="5" s="1"/>
  <c r="J115" i="5"/>
  <c r="L115" i="5" s="1"/>
  <c r="G144" i="5"/>
  <c r="L144" i="5" s="1"/>
  <c r="K17" i="2"/>
  <c r="G17" i="2"/>
  <c r="L17" i="2" s="1"/>
  <c r="K56" i="2"/>
  <c r="J56" i="2"/>
  <c r="L56" i="2" s="1"/>
  <c r="K32" i="2"/>
  <c r="J32" i="2"/>
  <c r="L32" i="2" s="1"/>
  <c r="K65" i="2"/>
  <c r="G65" i="2"/>
  <c r="L65" i="2" s="1"/>
  <c r="K48" i="2"/>
  <c r="J48" i="2"/>
  <c r="L48" i="2" s="1"/>
  <c r="K25" i="2"/>
  <c r="J25" i="2"/>
  <c r="L25" i="2" s="1"/>
  <c r="J66" i="2"/>
  <c r="L66" i="2" s="1"/>
  <c r="K66" i="2"/>
  <c r="G94" i="2"/>
  <c r="F8" i="1" s="1"/>
  <c r="J41" i="2"/>
  <c r="L41" i="2" s="1"/>
  <c r="K41" i="2"/>
  <c r="K81" i="2"/>
  <c r="G81" i="2"/>
  <c r="L81" i="2" s="1"/>
  <c r="K8" i="2"/>
  <c r="J44" i="2"/>
  <c r="L44" i="2" s="1"/>
  <c r="J50" i="2"/>
  <c r="L50" i="2" s="1"/>
  <c r="J58" i="2"/>
  <c r="L58" i="2" s="1"/>
  <c r="K63" i="2"/>
  <c r="G63" i="2"/>
  <c r="L63" i="2" s="1"/>
  <c r="K72" i="2"/>
  <c r="G72" i="2"/>
  <c r="L72" i="2" s="1"/>
  <c r="K78" i="2"/>
  <c r="K87" i="2"/>
  <c r="J87" i="2"/>
  <c r="L87" i="2" s="1"/>
  <c r="K16" i="3"/>
  <c r="J16" i="3"/>
  <c r="L16" i="3" s="1"/>
  <c r="K33" i="3"/>
  <c r="J33" i="3"/>
  <c r="L33" i="3" s="1"/>
  <c r="K41" i="3"/>
  <c r="K45" i="3"/>
  <c r="J45" i="3"/>
  <c r="L45" i="3" s="1"/>
  <c r="G82" i="3"/>
  <c r="L82" i="3" s="1"/>
  <c r="G23" i="4"/>
  <c r="L23" i="4" s="1"/>
  <c r="K23" i="4"/>
  <c r="K30" i="4"/>
  <c r="J30" i="4"/>
  <c r="L30" i="4" s="1"/>
  <c r="G60" i="4"/>
  <c r="L60" i="4" s="1"/>
  <c r="K60" i="4"/>
  <c r="K12" i="3"/>
  <c r="G12" i="3"/>
  <c r="L12" i="3" s="1"/>
  <c r="K69" i="3"/>
  <c r="G69" i="3"/>
  <c r="L69" i="3" s="1"/>
  <c r="K85" i="3"/>
  <c r="J85" i="3"/>
  <c r="L85" i="3" s="1"/>
  <c r="K97" i="3"/>
  <c r="J97" i="3"/>
  <c r="L97" i="3" s="1"/>
  <c r="G12" i="4"/>
  <c r="L12" i="4" s="1"/>
  <c r="K12" i="4"/>
  <c r="I94" i="2"/>
  <c r="D8" i="1" s="1"/>
  <c r="J14" i="2"/>
  <c r="L14" i="2" s="1"/>
  <c r="K23" i="2"/>
  <c r="G23" i="2"/>
  <c r="L23" i="2" s="1"/>
  <c r="K29" i="2"/>
  <c r="G29" i="2"/>
  <c r="L29" i="2" s="1"/>
  <c r="J36" i="2"/>
  <c r="L36" i="2" s="1"/>
  <c r="K47" i="2"/>
  <c r="K55" i="2"/>
  <c r="G67" i="2"/>
  <c r="L67" i="2" s="1"/>
  <c r="G76" i="2"/>
  <c r="L76" i="2" s="1"/>
  <c r="K79" i="2"/>
  <c r="G79" i="2"/>
  <c r="L79" i="2" s="1"/>
  <c r="K9" i="3"/>
  <c r="G9" i="3"/>
  <c r="L9" i="3" s="1"/>
  <c r="K31" i="3"/>
  <c r="G31" i="3"/>
  <c r="L31" i="3" s="1"/>
  <c r="K46" i="3"/>
  <c r="J46" i="3"/>
  <c r="L46" i="3" s="1"/>
  <c r="J74" i="4"/>
  <c r="L74" i="4" s="1"/>
  <c r="K74" i="4"/>
  <c r="K89" i="2"/>
  <c r="J89" i="2"/>
  <c r="L89" i="2" s="1"/>
  <c r="J94" i="3"/>
  <c r="L94" i="3" s="1"/>
  <c r="K94" i="3"/>
  <c r="K47" i="4"/>
  <c r="J47" i="4"/>
  <c r="L47" i="4" s="1"/>
  <c r="K49" i="2"/>
  <c r="G49" i="2"/>
  <c r="L49" i="2" s="1"/>
  <c r="K57" i="2"/>
  <c r="G57" i="2"/>
  <c r="L57" i="2" s="1"/>
  <c r="J14" i="3"/>
  <c r="L14" i="3" s="1"/>
  <c r="K25" i="3"/>
  <c r="J25" i="3"/>
  <c r="L25" i="3" s="1"/>
  <c r="K34" i="3"/>
  <c r="G34" i="3"/>
  <c r="L34" i="3" s="1"/>
  <c r="K39" i="3"/>
  <c r="J39" i="3"/>
  <c r="L39" i="3" s="1"/>
  <c r="K65" i="3"/>
  <c r="G65" i="3"/>
  <c r="L65" i="3" s="1"/>
  <c r="G25" i="4"/>
  <c r="L25" i="4" s="1"/>
  <c r="K25" i="4"/>
  <c r="J63" i="4"/>
  <c r="L63" i="4" s="1"/>
  <c r="K63" i="4"/>
  <c r="K15" i="2"/>
  <c r="G15" i="2"/>
  <c r="L15" i="2" s="1"/>
  <c r="K91" i="2"/>
  <c r="J91" i="2"/>
  <c r="L91" i="2" s="1"/>
  <c r="K23" i="3"/>
  <c r="J23" i="3"/>
  <c r="L23" i="3" s="1"/>
  <c r="K47" i="3"/>
  <c r="J47" i="3"/>
  <c r="L47" i="3" s="1"/>
  <c r="K84" i="3"/>
  <c r="J84" i="3"/>
  <c r="L84" i="3" s="1"/>
  <c r="G26" i="4"/>
  <c r="L26" i="4" s="1"/>
  <c r="K26" i="4"/>
  <c r="K32" i="4"/>
  <c r="G32" i="4"/>
  <c r="L32" i="4" s="1"/>
  <c r="J49" i="4"/>
  <c r="L49" i="4" s="1"/>
  <c r="K49" i="4"/>
  <c r="K39" i="2"/>
  <c r="J39" i="2"/>
  <c r="L39" i="2" s="1"/>
  <c r="J64" i="2"/>
  <c r="L64" i="2" s="1"/>
  <c r="J75" i="2"/>
  <c r="L75" i="2" s="1"/>
  <c r="G77" i="2"/>
  <c r="L77" i="2" s="1"/>
  <c r="K86" i="2"/>
  <c r="K18" i="3"/>
  <c r="G18" i="3"/>
  <c r="L18" i="3" s="1"/>
  <c r="K75" i="3"/>
  <c r="J75" i="3"/>
  <c r="L75" i="3" s="1"/>
  <c r="K80" i="3"/>
  <c r="J80" i="3"/>
  <c r="L80" i="3" s="1"/>
  <c r="K100" i="3"/>
  <c r="G100" i="3"/>
  <c r="L100" i="3" s="1"/>
  <c r="K37" i="4"/>
  <c r="J37" i="4"/>
  <c r="L37" i="4" s="1"/>
  <c r="J58" i="4"/>
  <c r="L58" i="4" s="1"/>
  <c r="K58" i="4"/>
  <c r="K84" i="4"/>
  <c r="J84" i="4"/>
  <c r="L84" i="4" s="1"/>
  <c r="K91" i="4"/>
  <c r="J91" i="4"/>
  <c r="L91" i="4" s="1"/>
  <c r="K99" i="4"/>
  <c r="J99" i="4"/>
  <c r="L99" i="4" s="1"/>
  <c r="K104" i="4"/>
  <c r="G104" i="4"/>
  <c r="L104" i="4" s="1"/>
  <c r="K92" i="4"/>
  <c r="G92" i="4"/>
  <c r="L92" i="4" s="1"/>
  <c r="K102" i="3"/>
  <c r="G27" i="4"/>
  <c r="L27" i="4" s="1"/>
  <c r="K34" i="4"/>
  <c r="J39" i="4"/>
  <c r="L39" i="4" s="1"/>
  <c r="G46" i="4"/>
  <c r="L46" i="4" s="1"/>
  <c r="J56" i="4"/>
  <c r="L56" i="4" s="1"/>
  <c r="K65" i="4"/>
  <c r="K72" i="4"/>
  <c r="J72" i="4"/>
  <c r="L72" i="4" s="1"/>
  <c r="K86" i="4"/>
  <c r="J86" i="4"/>
  <c r="L86" i="4" s="1"/>
  <c r="K93" i="4"/>
  <c r="J93" i="4"/>
  <c r="L93" i="4" s="1"/>
  <c r="I117" i="4"/>
  <c r="D7" i="1" s="1"/>
  <c r="K17" i="4"/>
  <c r="K77" i="4"/>
  <c r="G77" i="4"/>
  <c r="L77" i="4" s="1"/>
  <c r="K97" i="4"/>
  <c r="G97" i="4"/>
  <c r="L97" i="4" s="1"/>
  <c r="K101" i="4"/>
  <c r="J101" i="4"/>
  <c r="L101" i="4" s="1"/>
  <c r="G15" i="3"/>
  <c r="L15" i="3" s="1"/>
  <c r="G21" i="3"/>
  <c r="L21" i="3" s="1"/>
  <c r="G28" i="3"/>
  <c r="L28" i="3" s="1"/>
  <c r="J36" i="3"/>
  <c r="L36" i="3" s="1"/>
  <c r="J44" i="3"/>
  <c r="L44" i="3" s="1"/>
  <c r="J70" i="3"/>
  <c r="L70" i="3" s="1"/>
  <c r="G74" i="3"/>
  <c r="L74" i="3" s="1"/>
  <c r="G77" i="3"/>
  <c r="L77" i="3" s="1"/>
  <c r="J83" i="3"/>
  <c r="L83" i="3" s="1"/>
  <c r="K99" i="3"/>
  <c r="J101" i="3"/>
  <c r="L101" i="3" s="1"/>
  <c r="G14" i="4"/>
  <c r="L14" i="4" s="1"/>
  <c r="K67" i="4"/>
  <c r="G67" i="4"/>
  <c r="L67" i="4" s="1"/>
  <c r="K102" i="4"/>
  <c r="G102" i="4"/>
  <c r="L102" i="4" s="1"/>
  <c r="K111" i="4"/>
  <c r="J111" i="4"/>
  <c r="L111" i="4" s="1"/>
  <c r="G95" i="3"/>
  <c r="L95" i="3" s="1"/>
  <c r="F117" i="4"/>
  <c r="C7" i="1" s="1"/>
  <c r="K8" i="4"/>
  <c r="G9" i="4"/>
  <c r="L9" i="4" s="1"/>
  <c r="K22" i="4"/>
  <c r="K45" i="4"/>
  <c r="J61" i="4"/>
  <c r="L61" i="4" s="1"/>
  <c r="J78" i="4"/>
  <c r="L78" i="4" s="1"/>
  <c r="K103" i="4"/>
  <c r="J103" i="4"/>
  <c r="L103" i="4" s="1"/>
  <c r="K115" i="4"/>
  <c r="G115" i="4"/>
  <c r="L115" i="4" s="1"/>
  <c r="G45" i="5"/>
  <c r="L45" i="5" s="1"/>
  <c r="K45" i="5"/>
  <c r="K107" i="4"/>
  <c r="J107" i="4"/>
  <c r="L107" i="4" s="1"/>
  <c r="K41" i="5"/>
  <c r="G41" i="5"/>
  <c r="L41" i="5" s="1"/>
  <c r="K46" i="5"/>
  <c r="J46" i="5"/>
  <c r="L46" i="5" s="1"/>
  <c r="K21" i="6"/>
  <c r="J21" i="6"/>
  <c r="L21" i="6" s="1"/>
  <c r="I38" i="6"/>
  <c r="D4" i="1" s="1"/>
  <c r="J80" i="4"/>
  <c r="L80" i="4" s="1"/>
  <c r="K89" i="4"/>
  <c r="J94" i="4"/>
  <c r="L94" i="4" s="1"/>
  <c r="K37" i="6"/>
  <c r="J37" i="6"/>
  <c r="L37" i="6" s="1"/>
  <c r="K96" i="4"/>
  <c r="J96" i="4"/>
  <c r="L96" i="4" s="1"/>
  <c r="K113" i="4"/>
  <c r="L116" i="4"/>
  <c r="K108" i="4"/>
  <c r="G108" i="4"/>
  <c r="L108" i="4" s="1"/>
  <c r="K114" i="4"/>
  <c r="J114" i="4"/>
  <c r="L114" i="4" s="1"/>
  <c r="K10" i="5"/>
  <c r="G10" i="5"/>
  <c r="L10" i="5" s="1"/>
  <c r="K48" i="5"/>
  <c r="G48" i="5"/>
  <c r="L48" i="5" s="1"/>
  <c r="G85" i="4"/>
  <c r="L85" i="4" s="1"/>
  <c r="K116" i="4"/>
  <c r="K11" i="5"/>
  <c r="G11" i="5"/>
  <c r="L11" i="5" s="1"/>
  <c r="K30" i="6"/>
  <c r="J30" i="6"/>
  <c r="L30" i="6" s="1"/>
  <c r="K119" i="5"/>
  <c r="L119" i="5"/>
  <c r="K13" i="6"/>
  <c r="G13" i="6"/>
  <c r="L13" i="6" s="1"/>
  <c r="K22" i="6"/>
  <c r="G22" i="6"/>
  <c r="L22" i="6" s="1"/>
  <c r="G9" i="5"/>
  <c r="L9" i="5" s="1"/>
  <c r="J106" i="5"/>
  <c r="L106" i="5" s="1"/>
  <c r="G8" i="5"/>
  <c r="L8" i="5" s="1"/>
  <c r="G47" i="5"/>
  <c r="L47" i="5" s="1"/>
  <c r="K114" i="5"/>
  <c r="G114" i="5"/>
  <c r="L114" i="5" s="1"/>
  <c r="K134" i="5"/>
  <c r="G134" i="5"/>
  <c r="L134" i="5" s="1"/>
  <c r="K15" i="6"/>
  <c r="G15" i="6"/>
  <c r="L15" i="6" s="1"/>
  <c r="K28" i="6"/>
  <c r="J28" i="6"/>
  <c r="L28" i="6" s="1"/>
  <c r="K8" i="5"/>
  <c r="G14" i="5"/>
  <c r="L14" i="5" s="1"/>
  <c r="G44" i="5"/>
  <c r="L44" i="5" s="1"/>
  <c r="K10" i="6"/>
  <c r="G10" i="6"/>
  <c r="L10" i="6" s="1"/>
  <c r="K97" i="5"/>
  <c r="G97" i="5"/>
  <c r="L97" i="5" s="1"/>
  <c r="K101" i="5"/>
  <c r="G101" i="5"/>
  <c r="L101" i="5" s="1"/>
  <c r="K105" i="5"/>
  <c r="G105" i="5"/>
  <c r="L105" i="5" s="1"/>
  <c r="F38" i="6"/>
  <c r="C4" i="1" s="1"/>
  <c r="K26" i="6"/>
  <c r="G26" i="6"/>
  <c r="L26" i="6" s="1"/>
  <c r="K29" i="6"/>
  <c r="G29" i="6"/>
  <c r="L29" i="6" s="1"/>
  <c r="G11" i="6"/>
  <c r="L11" i="6" s="1"/>
  <c r="G27" i="6"/>
  <c r="L27" i="6" s="1"/>
  <c r="G34" i="6"/>
  <c r="L34" i="6" s="1"/>
  <c r="G9" i="6"/>
  <c r="L9" i="6" s="1"/>
  <c r="G20" i="6"/>
  <c r="L20" i="6" s="1"/>
  <c r="G25" i="6"/>
  <c r="L25" i="6" s="1"/>
  <c r="J112" i="5"/>
  <c r="L112" i="5" s="1"/>
  <c r="J145" i="5"/>
  <c r="L145" i="5" s="1"/>
  <c r="G8" i="6"/>
  <c r="L8" i="6" s="1"/>
  <c r="G19" i="6"/>
  <c r="L19" i="6" s="1"/>
  <c r="J31" i="6"/>
  <c r="L31" i="6" s="1"/>
  <c r="K8" i="6"/>
  <c r="K65" i="5" l="1"/>
  <c r="K73" i="2"/>
  <c r="E4" i="1"/>
  <c r="L65" i="5"/>
  <c r="I105" i="3"/>
  <c r="D9" i="1" s="1"/>
  <c r="E9" i="1" s="1"/>
  <c r="K149" i="5"/>
  <c r="J78" i="3"/>
  <c r="L78" i="3" s="1"/>
  <c r="K105" i="3"/>
  <c r="L105" i="3" s="1"/>
  <c r="A32" i="6"/>
  <c r="A34" i="6" s="1"/>
  <c r="A36" i="6" s="1"/>
  <c r="A44" i="5"/>
  <c r="A41" i="5"/>
  <c r="I149" i="5"/>
  <c r="D3" i="1" s="1"/>
  <c r="G117" i="4"/>
  <c r="F7" i="1" s="1"/>
  <c r="J117" i="4"/>
  <c r="G7" i="1" s="1"/>
  <c r="K94" i="2"/>
  <c r="L94" i="2" s="1"/>
  <c r="K38" i="6"/>
  <c r="L38" i="6" s="1"/>
  <c r="J38" i="6"/>
  <c r="G4" i="1" s="1"/>
  <c r="G38" i="6"/>
  <c r="K117" i="4"/>
  <c r="L117" i="4" s="1"/>
  <c r="G105" i="3"/>
  <c r="E5" i="1"/>
  <c r="J94" i="2"/>
  <c r="G8" i="1" s="1"/>
  <c r="H5" i="1" l="1"/>
  <c r="F9" i="1"/>
  <c r="H13" i="1"/>
  <c r="F4" i="1"/>
  <c r="H4" i="1" s="1"/>
  <c r="J105" i="3"/>
  <c r="G9" i="1" s="1"/>
  <c r="A45" i="5"/>
  <c r="A47" i="5" s="1"/>
  <c r="L149" i="5"/>
  <c r="F149" i="5"/>
  <c r="E13" i="1"/>
  <c r="E7" i="1"/>
  <c r="H7" i="1"/>
  <c r="J149" i="5"/>
  <c r="D14" i="1"/>
  <c r="H9" i="1" l="1"/>
  <c r="G3" i="1"/>
  <c r="G14" i="1" s="1"/>
  <c r="G149" i="5"/>
  <c r="F3" i="1" s="1"/>
  <c r="C3" i="1"/>
  <c r="E3" i="1" s="1"/>
  <c r="A48" i="5"/>
  <c r="A50" i="5" s="1"/>
  <c r="A51" i="5" s="1"/>
  <c r="H8" i="1"/>
  <c r="C14" i="1" l="1"/>
  <c r="A52" i="5"/>
  <c r="A54" i="5" s="1"/>
  <c r="A55" i="5" s="1"/>
  <c r="A57" i="5" s="1"/>
  <c r="A59" i="5" s="1"/>
  <c r="A66" i="5" s="1"/>
  <c r="H3" i="1"/>
  <c r="H14" i="1" s="1"/>
  <c r="F14" i="1"/>
  <c r="E8" i="1"/>
  <c r="E14" i="1" s="1"/>
  <c r="A68" i="5" l="1"/>
  <c r="A70" i="5" s="1"/>
  <c r="A73" i="5" s="1"/>
  <c r="A75" i="5" s="1"/>
  <c r="A78" i="5" s="1"/>
  <c r="A80" i="5" s="1"/>
  <c r="A82" i="5" s="1"/>
  <c r="A85" i="5" s="1"/>
  <c r="A87" i="5" s="1"/>
  <c r="A88" i="5" s="1"/>
  <c r="A89" i="5" s="1"/>
  <c r="A91" i="5" s="1"/>
  <c r="A94" i="5" s="1"/>
  <c r="A97" i="5" s="1"/>
  <c r="A99" i="5" s="1"/>
  <c r="A101" i="5" s="1"/>
  <c r="A103" i="5" s="1"/>
  <c r="A105" i="5" l="1"/>
  <c r="A107" i="5" l="1"/>
  <c r="A109" i="5" s="1"/>
  <c r="A111" i="5" s="1"/>
  <c r="A114" i="5" s="1"/>
  <c r="A117" i="5" s="1"/>
  <c r="A119" i="5" s="1"/>
  <c r="A121" i="5" s="1"/>
  <c r="A124" i="5" s="1"/>
  <c r="A126" i="5" s="1"/>
  <c r="A128" i="5" s="1"/>
  <c r="A134" i="5" s="1"/>
  <c r="A136" i="5" s="1"/>
  <c r="A138" i="5" s="1"/>
  <c r="A140" i="5" s="1"/>
  <c r="A142" i="5" s="1"/>
  <c r="A144" i="5" s="1"/>
  <c r="A147" i="5" s="1"/>
</calcChain>
</file>

<file path=xl/sharedStrings.xml><?xml version="1.0" encoding="utf-8"?>
<sst xmlns="http://schemas.openxmlformats.org/spreadsheetml/2006/main" count="2111" uniqueCount="611">
  <si>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</si>
  <si>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</si>
  <si>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</si>
  <si>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</si>
  <si>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</si>
  <si>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</si>
  <si>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</si>
  <si>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</si>
  <si>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</si>
  <si>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</si>
  <si>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</si>
  <si>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</si>
  <si>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</si>
  <si>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</si>
  <si>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</si>
  <si>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</si>
  <si>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</si>
  <si>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</si>
  <si>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</si>
  <si>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131-23-НВК3. Переустройство хозпитьевого водопровода (В1) на участке В1-1 – В1-1А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</si>
  <si>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</si>
  <si>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</si>
  <si>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</si>
  <si>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</si>
  <si>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</si>
  <si>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</si>
  <si>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</si>
  <si>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</si>
  <si>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</si>
  <si>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Восстановление дорожных покрытий</t>
  </si>
  <si>
    <t>Устройство оснований щебеночных (t=20см)</t>
  </si>
  <si>
    <t xml:space="preserve"> стоимость из ГП1</t>
  </si>
  <si>
    <t>5.1</t>
  </si>
  <si>
    <t>Щебень гранитный для автодорог 5-20мм</t>
  </si>
  <si>
    <t>Устройство покрытий асфальтобетонных (t=5см)</t>
  </si>
  <si>
    <t>м2</t>
  </si>
  <si>
    <t>6.1</t>
  </si>
  <si>
    <t>Асфальтобетон дорожный среднезернистый Тип В Марка III</t>
  </si>
  <si>
    <t>т</t>
  </si>
  <si>
    <t>Проливка битумом</t>
  </si>
  <si>
    <t>7.1</t>
  </si>
  <si>
    <t>Битумы нефтяные</t>
  </si>
  <si>
    <t>Устройство покрытий асфальтобетонных (t=7см)</t>
  </si>
  <si>
    <t>стоимости из ГП1 с кор толщины покрытия</t>
  </si>
  <si>
    <t>8.1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</si>
  <si>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</si>
  <si>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</si>
  <si>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</si>
  <si>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Устройство песчаного основания h=0,1м под трубы вручную</t>
  </si>
  <si>
    <t>11.1</t>
  </si>
  <si>
    <t>Песок природный  средний</t>
  </si>
  <si>
    <t>Обратная засыпка песком вручную h=0,3 м</t>
  </si>
  <si>
    <t>12.1</t>
  </si>
  <si>
    <t>Уплотнение грунта пневматическими трамбовками</t>
  </si>
  <si>
    <t>Погрузка лишнего грунта в автосамосвалы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</si>
  <si>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</si>
  <si>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</si>
  <si>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</si>
  <si>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</si>
  <si>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 xml:space="preserve">Прокладка труб стальных с полиэтиленовым защитным покрытием ВУС ø325х8,0 (футляр) </t>
  </si>
  <si>
    <t>16.1</t>
  </si>
  <si>
    <t xml:space="preserve">Труба стальная с полиэтиленовым защитным покрытием ВУС ф325х8мм </t>
  </si>
  <si>
    <t>Протаскивание в футляр полиэтиленовых труб  с установкой колец опорно-направляющего ОНК-110</t>
  </si>
  <si>
    <t>17.1</t>
  </si>
  <si>
    <t>17.2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</si>
  <si>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</si>
  <si>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</si>
  <si>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</si>
  <si>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18.1</t>
  </si>
  <si>
    <t>Муфта защитная полиэтиленовая L=150,0 мм D=140 мм  (для труб D=160 мм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</si>
  <si>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</si>
  <si>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</si>
  <si>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</si>
  <si>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Монтаж водопровода В1 в подвальном помещении здания</t>
  </si>
  <si>
    <t>Прокладка трубы полиэтиленовой ПЭ100 SDR17-110х6,6</t>
  </si>
  <si>
    <t>сметная стоимость</t>
  </si>
  <si>
    <t>20.1</t>
  </si>
  <si>
    <t>Установка задвижки с обрезиненным клином Kell DN 100</t>
  </si>
  <si>
    <t>21.1</t>
  </si>
  <si>
    <t>Задвижка с обрезиненным клином Kell DN 100</t>
  </si>
  <si>
    <t xml:space="preserve">Цена по счету </t>
  </si>
  <si>
    <t>Установка фильтра магнитного фланцевого чугунного DN 100</t>
  </si>
  <si>
    <t>22.1</t>
  </si>
  <si>
    <t>Фильтр магнитный фланцевый чугунный DN 100</t>
  </si>
  <si>
    <t>Установка муфты соединительной фланцевой диаметром 110мм</t>
  </si>
  <si>
    <t>23.1</t>
  </si>
  <si>
    <t>Муфта соединительная фланцевая диаметром 110мм</t>
  </si>
  <si>
    <t>Установка втулки под фланец ПЭ100 диаметром 110мм</t>
  </si>
  <si>
    <t>24.1</t>
  </si>
  <si>
    <t>Втулка под фланец ПЭ100 диаметром 110мм</t>
  </si>
  <si>
    <t>Установка счетчика холодной и горячей воды Декаст СТВХ-100</t>
  </si>
  <si>
    <t>25.1</t>
  </si>
  <si>
    <t>Счетчик холодной и горячей воды Декаст СТВХ-100</t>
  </si>
  <si>
    <t>Установка клапана обратного поворотного CV16.01 диаметр 114мм</t>
  </si>
  <si>
    <t>26.1</t>
  </si>
  <si>
    <t>Клапан обратный поворотный CV16.01 диаметр 114мм</t>
  </si>
  <si>
    <t>Установка тройника электросварного 90 град диаметр 110мм</t>
  </si>
  <si>
    <t>27.1</t>
  </si>
  <si>
    <t>Тройник электросварной 90 град диаметр 110мм</t>
  </si>
  <si>
    <t>Установка отвода ПЭ100 электросварного 90 град диаметр 110мм</t>
  </si>
  <si>
    <t xml:space="preserve"> из раздела НВК2</t>
  </si>
  <si>
    <t>28.1</t>
  </si>
  <si>
    <t>Отвод ПЭ100 электросварной 90 град диаметр 110мм</t>
  </si>
  <si>
    <t>Установка муфты электросварной ПЭ100 диаметром 110мм</t>
  </si>
  <si>
    <t>29.1</t>
  </si>
  <si>
    <t>Муфта электросварная ПЭ100 диаметром 110мм</t>
  </si>
  <si>
    <t>Установка муфты редукционной ПЭ100 SDR11 диам. 125х110мм (Elofit)</t>
  </si>
  <si>
    <t>30.1</t>
  </si>
  <si>
    <t>Муфта редукционная ПЭ100 SDR11 диам. 125х110мм (Elofit)</t>
  </si>
  <si>
    <t xml:space="preserve">Установка фланца стального для ПЭ100 диам.125мм </t>
  </si>
  <si>
    <t>31.1</t>
  </si>
  <si>
    <t xml:space="preserve">Фланец стальной для ПЭ100 диам.125мм </t>
  </si>
  <si>
    <t>Установка втулки под фланец ПЭ100 диаметром 125мм</t>
  </si>
  <si>
    <t>32.1</t>
  </si>
  <si>
    <t>Втулка под фланец ПЭ100 диаметром 125мм</t>
  </si>
  <si>
    <t xml:space="preserve">Установка фланца переходного чугунного диам.120х80мм </t>
  </si>
  <si>
    <t>33.1</t>
  </si>
  <si>
    <t xml:space="preserve">Фланец переходной чугунный диам.120х80мм </t>
  </si>
  <si>
    <t>Изготовление и установка опорных конструкций - подвесов к потолку:</t>
  </si>
  <si>
    <t>Монтаж трубы стальной профильной 30 х 15 х1,5</t>
  </si>
  <si>
    <t>34.1</t>
  </si>
  <si>
    <t>Труба стальная профильная 30 х 15 х1,5</t>
  </si>
  <si>
    <t>35.1</t>
  </si>
  <si>
    <t>Сверление отверстий в ж/б перекрытиях для установки шпилек из арматуры Ф10</t>
  </si>
  <si>
    <t>Установка шпильки из арматуры М10</t>
  </si>
  <si>
    <t>37.1</t>
  </si>
  <si>
    <t>Шпилька из арматуры М10</t>
  </si>
  <si>
    <t>Огрунтовка опорных конструкций- подвесов в один слой грунтовкой ГФ-021</t>
  </si>
  <si>
    <t>38.1</t>
  </si>
  <si>
    <t>Грунтовка ГФ021</t>
  </si>
  <si>
    <t>кг</t>
  </si>
  <si>
    <t>Окраска опорных конструкций- подвесов в двая слоя эмалью ПФ-15</t>
  </si>
  <si>
    <t>39.1</t>
  </si>
  <si>
    <t>Эмаль ПФ-15</t>
  </si>
  <si>
    <t>Монтаж водопровода В1 в здании гаража</t>
  </si>
  <si>
    <t>Монтаж трубы полиэтиленовой ПЭ100 SDR17-110х6,6</t>
  </si>
  <si>
    <t>40.1</t>
  </si>
  <si>
    <t>Монтаж муфты редукционной диам. 110*90мм GF</t>
  </si>
  <si>
    <t>41.1</t>
  </si>
  <si>
    <t>Муфта редукционная диам. 110*90мм GF</t>
  </si>
  <si>
    <t xml:space="preserve">Монтаж стального фланца под ПЭ100 диам.90мм </t>
  </si>
  <si>
    <t>42.1</t>
  </si>
  <si>
    <t xml:space="preserve">Стальной фланец под ПЭ100 диам.90мм </t>
  </si>
  <si>
    <t>Монтаж втулки под фланец ПЭ100 диаметром 110мм</t>
  </si>
  <si>
    <t>43.1</t>
  </si>
  <si>
    <t>Втулка под фланец d=100 мм SDR 17</t>
  </si>
  <si>
    <t>Монтаж отвода ПЭ100 электросварной 90 град диаметр 110мм</t>
  </si>
  <si>
    <t>44.1</t>
  </si>
  <si>
    <t xml:space="preserve">Итого </t>
  </si>
  <si>
    <t>131-23-НВК3. Переустройство хозпитьевого водопровода (В1) на участке В1-2 – В1-2А</t>
  </si>
  <si>
    <t>Разборка дорожных ж/б плит  (3м*1,75м*0,17м)</t>
  </si>
  <si>
    <t>Погрузка демонтированных плит на строительной площадке</t>
  </si>
  <si>
    <t>стоимости из 217 пути</t>
  </si>
  <si>
    <t xml:space="preserve">Обратная засыпка грунта бульдозером </t>
  </si>
  <si>
    <t>Планировка площадей: механизированным способом</t>
  </si>
  <si>
    <t xml:space="preserve">Разработка грунта в котловане под колодцы механизированным способом </t>
  </si>
  <si>
    <t xml:space="preserve">Доработка грунта дна колодцев вручную </t>
  </si>
  <si>
    <t>Устройство щебеночного основания под колодец h=0,1м</t>
  </si>
  <si>
    <t>стоимость из НВК5</t>
  </si>
  <si>
    <t>Щебень</t>
  </si>
  <si>
    <t>цена по счету</t>
  </si>
  <si>
    <t>Обсыпка песком колодцев</t>
  </si>
  <si>
    <t>13.1</t>
  </si>
  <si>
    <t>Обратная засыпка грунтом колодцев</t>
  </si>
  <si>
    <t>Сварка труб Ф530х8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</si>
  <si>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</si>
  <si>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</si>
  <si>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</si>
  <si>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8мм (футляр) </t>
  </si>
  <si>
    <t>Труба стальная с полиэтиленовым защитным покрытием ВУС 530х 8мм</t>
  </si>
  <si>
    <t>Протаскивание трубы ПЭ100 SDR17 315х18,7 с установкой колец опорно-направляющего ОНК-315/530</t>
  </si>
  <si>
    <t>Труба ПЭ100 SDR17 PN 10 315х18,7</t>
  </si>
  <si>
    <t>20.2</t>
  </si>
  <si>
    <t>Опорно-направляющее кольцо ОНК-315 для трубы Дн=315 мм</t>
  </si>
  <si>
    <t>Заделка концов футляра 530х8мм</t>
  </si>
  <si>
    <t>футляр</t>
  </si>
  <si>
    <t>Прокладка труб полиэтиленовых напорных ПЭ100 SDR17 ø315х18,7 «питьевая»</t>
  </si>
  <si>
    <t>Устройство колодца из сборных ж.б. элементов В1-2</t>
  </si>
  <si>
    <t>Устройство круглых сборных железобетонных канализационных колодцев  в мокрых грунтах</t>
  </si>
  <si>
    <t>Плита днища ПН20-1</t>
  </si>
  <si>
    <t>24.2</t>
  </si>
  <si>
    <t>Кольцо колодезное стеновое КС20-9</t>
  </si>
  <si>
    <t>24.3</t>
  </si>
  <si>
    <t xml:space="preserve">Плита перекрытия колодца ПП20-2 </t>
  </si>
  <si>
    <t>24.4</t>
  </si>
  <si>
    <t>Кольцо доборное колодезное КС7-1,5</t>
  </si>
  <si>
    <t>Стоимость из счета</t>
  </si>
  <si>
    <t>24.5</t>
  </si>
  <si>
    <t>Люк чугунный тяжелый тип Т (В)</t>
  </si>
  <si>
    <t>Установка трубопроводной арматуры в колодцах В1-2</t>
  </si>
  <si>
    <t>Установка задвижки чугунной с обрезиненнным клином невыдвижным шпинделем фланцевая М38-300 (DN300) Ру1,6 Мпа (16 кгс/см2) 30ч39р</t>
  </si>
  <si>
    <t>Задвижка чугунная с обрезиненнным клином невыдвижным шпинделем фланцевая М38-300 (DN300) Ру1,6 Мпа (16 кгс/см2) 30ч39р</t>
  </si>
  <si>
    <t>Установка втулки под фланец ПЭ100 SDR17 d 315мм PN10 кгс/см2</t>
  </si>
  <si>
    <t>Втулка под фланец ПЭ100 SDR17 d 315мм PN10 кгс/см2</t>
  </si>
  <si>
    <t>Установка ответного фланца свободного стального Dy 300 мм (для труб ф315 мм</t>
  </si>
  <si>
    <t>Фланец свободный стальной Dу 300 мм (для труб ∅315 мм)</t>
  </si>
  <si>
    <t>Болт М20х65 (32 шт.)</t>
  </si>
  <si>
    <t>Гайка М20 (32шт.)</t>
  </si>
  <si>
    <t>Шайба М20 (64 шт.)</t>
  </si>
  <si>
    <t>Установка задвижки чугунной клиновой с обрезиненнным клином 30ч39р Ду 100 1.6 Мпа</t>
  </si>
  <si>
    <t>Задвижка чугунная клиновая с обрезиненнным клином 30ч39р Ду 100 1.6 Мпа</t>
  </si>
  <si>
    <t>Установка ответного фланцевого адаптера (ПФРК) UNIVERSAL DN300 (315-332)</t>
  </si>
  <si>
    <t>Ответный фланцевый адаптер (ПФРК) UNIVERSAL DN300 (315-332)</t>
  </si>
  <si>
    <t>Установка втулки под фланец свободный металлический ПЭ100 SDR17 d 110мм</t>
  </si>
  <si>
    <t>Установка стального фланца для ПЭ d110/DN100, PN10/16</t>
  </si>
  <si>
    <t>Стальной фланец для ПЭ d110/DN100, PN10/16</t>
  </si>
  <si>
    <t>Болт М16х65 (16 шт.)</t>
  </si>
  <si>
    <t>Гайка М16 (16шт.)</t>
  </si>
  <si>
    <t>Шайба М16 (32 шт.)</t>
  </si>
  <si>
    <t>Установка тройника с пожарной подставкой фланцевого ППТФ чугунного ВЧШГ с ЦПП Ду 300х300 боковая врезка 125 с подставкой под гидрант</t>
  </si>
  <si>
    <t>Тройник с пожарной подставкой фланцевый ППТФ чугунный ВЧШГ с ЦПП Ду 300х300 боковая врезка 125 с подставкой под гидрант</t>
  </si>
  <si>
    <r>
      <t xml:space="preserve">Установка гидранта ГП-Н-2,0м (сталь) условный проход 125мм +прокладка под гидрант усиленной </t>
    </r>
    <r>
      <rPr>
        <sz val="11"/>
        <color rgb="FFFF0000"/>
        <rFont val="Times New Roman"/>
        <family val="1"/>
        <charset val="204"/>
      </rPr>
      <t>(материал Заказчика)</t>
    </r>
  </si>
  <si>
    <t>из 217 пути</t>
  </si>
  <si>
    <t>Прокладка трубы полиэтиленовой ПЭ100 SDR17-110х6,6 "питьевой"</t>
  </si>
  <si>
    <t>Установка отвода 90 град ПЭ100 SDR11 с ЗН</t>
  </si>
  <si>
    <t>Устройство колодца из сборных ж.б. элементов В1-2А</t>
  </si>
  <si>
    <t>36.1</t>
  </si>
  <si>
    <t xml:space="preserve">Плита днища колодца ПН10-1 </t>
  </si>
  <si>
    <t xml:space="preserve">Кольцо колодезное стеновое КС10-9 </t>
  </si>
  <si>
    <t xml:space="preserve">Плита перекрытия колодца ПП10-2 </t>
  </si>
  <si>
    <t>л</t>
  </si>
  <si>
    <t>Установка трубопроводной арматуры в колодцах В1-2А</t>
  </si>
  <si>
    <t>Установка фланца свободного стального Dy 300 мм (для труб ф315 мм)</t>
  </si>
  <si>
    <t>38.2</t>
  </si>
  <si>
    <t>38.3</t>
  </si>
  <si>
    <t>Гайка М20 (32 шт.)</t>
  </si>
  <si>
    <t>38.4</t>
  </si>
  <si>
    <t>Шайба М20(64 шт.)</t>
  </si>
  <si>
    <t>Установка фланцевого адаптера (ПФРК) UNIVERSAL DN300 (315-332)</t>
  </si>
  <si>
    <t>Фланцевый адаптер (ПФРК) UNIVERSAL DN300 (315-332)</t>
  </si>
  <si>
    <t>131-23-НВК3. Переустройство хозпитьевого водопровода (В1) на участке В1-30 – В1-31</t>
  </si>
  <si>
    <t>стоимости из ГП</t>
  </si>
  <si>
    <t>Прочие работы</t>
  </si>
  <si>
    <t>Обратная засыпка песком вручную</t>
  </si>
  <si>
    <t>Погрузка  грунта в автосамосвалы</t>
  </si>
  <si>
    <t>Перемещение до 1км недостающего грунта для обратной засыпки</t>
  </si>
  <si>
    <t>Сварка труб Ф325х8 (изготовление футляра)</t>
  </si>
  <si>
    <t>Стоимость из 217 трансбордер, ТС1, п.166 (с кор. по диаметру)</t>
  </si>
  <si>
    <t>Труба полиэтиленовая напорная ПЭ100  SDR17  ø110х6,6 «питьевая»</t>
  </si>
  <si>
    <t>16.2</t>
  </si>
  <si>
    <t>Муфта защитная полиэтиленовоя L=150,0 мм D=140 мм  (для труб D=110 мм)</t>
  </si>
  <si>
    <t>Монтаж фланца свободного металлического Dу 100 мм (для труб ø110 мм)</t>
  </si>
  <si>
    <t>Фланец свободный металлический Dу 100 мм (для труб ø100 мм)</t>
  </si>
  <si>
    <t>Монтаж втулки ПЭ100 SDR 17 под фланец d=110 мм PN10 кгс/см² (для труб ø110 мм)</t>
  </si>
  <si>
    <t>Установка камеры на участке В1-30</t>
  </si>
  <si>
    <t>Устройство щебеночного основания под камеру</t>
  </si>
  <si>
    <t>Обратная засыпка котлована песком</t>
  </si>
  <si>
    <t>Установка камеры</t>
  </si>
  <si>
    <t xml:space="preserve">Устройство бетонной подготовки </t>
  </si>
  <si>
    <t>Бетон БСТ М350 В25 F100 W6 П4</t>
  </si>
  <si>
    <t>Устройство железобетонных фундаментов</t>
  </si>
  <si>
    <t>стоимость из трансбордера</t>
  </si>
  <si>
    <t>Бетон БСТ В25 П4   F150 W6</t>
  </si>
  <si>
    <t>29.2</t>
  </si>
  <si>
    <t>Арматура А500 ф16</t>
  </si>
  <si>
    <t>стоимость из АС4</t>
  </si>
  <si>
    <t>29.3</t>
  </si>
  <si>
    <t xml:space="preserve">Арматура А500 ф8 </t>
  </si>
  <si>
    <t>Возведение стен камер из ж/б конструкций</t>
  </si>
  <si>
    <t>Установка блоков ФБС 9.3.6 на фундамент камеры</t>
  </si>
  <si>
    <t>Блоки ФБС 9.3.6</t>
  </si>
  <si>
    <t>Обмазка грунтовкой блоков ФБС фундамента камеры</t>
  </si>
  <si>
    <t>стоимость из ТС1</t>
  </si>
  <si>
    <t xml:space="preserve">Праймер Технониколь </t>
  </si>
  <si>
    <t>Обмазка мастикой битумной блоков ФБС фундамента камеры в 2 слоя</t>
  </si>
  <si>
    <t xml:space="preserve">Мастика битумная Технониколь </t>
  </si>
  <si>
    <t>Изготовление монолитной армированной верхней плиты камеры</t>
  </si>
  <si>
    <t>33.2</t>
  </si>
  <si>
    <t>33.3</t>
  </si>
  <si>
    <t>Обмазка грунтовкой верхней плиты камеры</t>
  </si>
  <si>
    <t>Обмазка мастикой битумной верхней плиты камеры в 2 слоя</t>
  </si>
  <si>
    <t>Установка кольца доборного К-7-1,5 (2шт)</t>
  </si>
  <si>
    <t>Установка плиты ВП28-12 с 1 отверстием (2 шт.)</t>
  </si>
  <si>
    <t>Плита ВП28-12 с 1 отверстием</t>
  </si>
  <si>
    <t>Установка опорно-укрывного элемента (ОУЭ) с люком тип Т на камере</t>
  </si>
  <si>
    <t>Опорно-укрывногй элемент (ОУЭ) с люком тип Т</t>
  </si>
  <si>
    <t>Монтаж оборудования камеры</t>
  </si>
  <si>
    <t>Установка креста фланцевого с пожарной подставкой ППКФ 300, PN10 чугун</t>
  </si>
  <si>
    <t>Крест фланцевый с пожарной подставкой ППКФ 300, PN10 чугун</t>
  </si>
  <si>
    <t>39.2</t>
  </si>
  <si>
    <t>Прокладка резиновая DN 300 с ручкой усиленной</t>
  </si>
  <si>
    <t>Установка задвижки с обрезинен. клином DN 300 PN10</t>
  </si>
  <si>
    <t>Задвижка с обрезинен. клином DN 300 PN10</t>
  </si>
  <si>
    <t>40.2</t>
  </si>
  <si>
    <t>Установка перехода фланцевого ХФ 300х100 чугун с ЦПП</t>
  </si>
  <si>
    <t>Переход фланцевый ХФ 300х100 чугун с ЦПП</t>
  </si>
  <si>
    <t>Установка тройника чугунного ТФ 300х100х300 PN10 фланцевый с ЦПП</t>
  </si>
  <si>
    <t>Тройник чугунный ТФ 300х100х300 PN10 фланцевый с ЦПП</t>
  </si>
  <si>
    <t>43.2</t>
  </si>
  <si>
    <t>Установка втулки под фланец ПЭ100 SDR17 d 110</t>
  </si>
  <si>
    <t>Втулка под фланец ПЭ100 SDR17 d 110</t>
  </si>
  <si>
    <t>45.1</t>
  </si>
  <si>
    <t>45.2</t>
  </si>
  <si>
    <t>Прокладка резиновая DN 100 с ручкой усиленной</t>
  </si>
  <si>
    <t>Установка редукционного перехода эл.сварного d110*63 SDR11</t>
  </si>
  <si>
    <t>46.1</t>
  </si>
  <si>
    <t>Редукционный переход эл.сварного d110*63 SDR11</t>
  </si>
  <si>
    <t>Установка переходника патрубок-резьба (нар.) 063х2" SDR11</t>
  </si>
  <si>
    <t>47.1</t>
  </si>
  <si>
    <t>Переходник патрубок-резьба (нар.) 063х2" SDR11</t>
  </si>
  <si>
    <t>Установка муфты эл. сварной d110 SDR11 GF</t>
  </si>
  <si>
    <t>48.1</t>
  </si>
  <si>
    <t>Муфта эл. сварная d110 SDR11 GF</t>
  </si>
  <si>
    <t>Прокладка трубы ПЭ100 SDR17 10 атм. 315х18,7 питьевая</t>
  </si>
  <si>
    <t>49.1</t>
  </si>
  <si>
    <t>Установка втулки под фланец ПЭ100 SDR17 d 315</t>
  </si>
  <si>
    <t>50.1</t>
  </si>
  <si>
    <t>Втулка под фланец ПЭ100 SDR17 d 315</t>
  </si>
  <si>
    <t>Установка муфты d315 SDR17 GF</t>
  </si>
  <si>
    <t>51.1</t>
  </si>
  <si>
    <t>Муфта d315 SDR17 GF</t>
  </si>
  <si>
    <t>Установка стального фланца для ПЭ d315/DN300, PN10</t>
  </si>
  <si>
    <t>52.1</t>
  </si>
  <si>
    <t>Стальной фланец для ПЭ d315/DN300, PN10</t>
  </si>
  <si>
    <t>52.2</t>
  </si>
  <si>
    <t>Установка крана шарового Ø63</t>
  </si>
  <si>
    <t>53.1</t>
  </si>
  <si>
    <t>Кран шаровый Ø63</t>
  </si>
  <si>
    <t>131-23-НВК3. Переустройство хозпитьевого водопровода на участке В1-3А и В1-4</t>
  </si>
  <si>
    <t>Разборка дорожных покрытий для устройства котлованов</t>
  </si>
  <si>
    <t>Демонтаж дорожного бордюра</t>
  </si>
  <si>
    <t>шт./м</t>
  </si>
  <si>
    <t>19 /19</t>
  </si>
  <si>
    <t>стоимость путь 417 ГП, п. 189</t>
  </si>
  <si>
    <t>Разборка асфальтобетонного покрытия  (h) 0,19м</t>
  </si>
  <si>
    <t>Ранее этих работ не было, стоимости из ГП</t>
  </si>
  <si>
    <t xml:space="preserve">Разборка щебеночного основания </t>
  </si>
  <si>
    <t>Погрузка демонтированного дорожного бордюра в автосамосвалы</t>
  </si>
  <si>
    <t>Ранее этих работ не было, стоимости из 217 пути</t>
  </si>
  <si>
    <t>Ранее этих работ не было, стоимость принята по цене монтаж * 0,8</t>
  </si>
  <si>
    <t>Демонтаж тройника чугунного фланцевого ТФ 300х150</t>
  </si>
  <si>
    <t>Демонтаж задвижки Ду100мм</t>
  </si>
  <si>
    <t>Ранее этих работ не было, стоимость принята по цене монтаж * 0,8 (НВК2, (В1) к цеху 121/18, п 19)</t>
  </si>
  <si>
    <t>Демонтаж крестовины 2-х плоскостной Ду 300х150х100</t>
  </si>
  <si>
    <t>Ранее этих работ не было, стоимость принята по цене монтаж * 0,8 (НВК2, (В1) к цеху 121/18, п 30)</t>
  </si>
  <si>
    <t>стоимость путь 417 НВК5</t>
  </si>
  <si>
    <t>Сметная стоимость</t>
  </si>
  <si>
    <t>Демонтаж ж/б изделий колодцев В1-3А:</t>
  </si>
  <si>
    <t xml:space="preserve">    -Демонтаж люка чугунного тяжелый тип Т(В)</t>
  </si>
  <si>
    <t>21.2</t>
  </si>
  <si>
    <t>Демонтаж ж/б изделий колодцев В1-4:</t>
  </si>
  <si>
    <t>стоимость путь 217 НВК, п.26</t>
  </si>
  <si>
    <t xml:space="preserve">    -Демонтаж кладки из кирпича</t>
  </si>
  <si>
    <t xml:space="preserve">Отвозка строительного мусора на расстояние до 
30 км автосамосвалом КАМАЗ-5511 г.п. 10 т </t>
  </si>
  <si>
    <t xml:space="preserve">Земляные работы для устройства колодца </t>
  </si>
  <si>
    <t>м³</t>
  </si>
  <si>
    <t>Устройство щебеночного основания под колодец В1-3А</t>
  </si>
  <si>
    <t>Обсыпка песком колодца</t>
  </si>
  <si>
    <t>Обратная засыпка котлована грунтом</t>
  </si>
  <si>
    <t>Земляные работы для устройства траншеи</t>
  </si>
  <si>
    <t>стоимость путь 217 НВК</t>
  </si>
  <si>
    <t xml:space="preserve">Обсыпка из песка труб в траншее </t>
  </si>
  <si>
    <t>Обратная засыпка траншеи грунтом</t>
  </si>
  <si>
    <t>Сварка труб Ф530х8 с защитным покрытием ВУС изоляцией (изготовление футляра)</t>
  </si>
  <si>
    <t>Прокладка трубы ВУС, ЦПП стальной электросварной ф530х8мм (футляр)</t>
  </si>
  <si>
    <t>Труба стальная электросварная прямошовная ø530х8,0  (футляр)</t>
  </si>
  <si>
    <t>Стоимость из НВК3 на уч. В1-2 – В1-2А</t>
  </si>
  <si>
    <t>п.м.</t>
  </si>
  <si>
    <t>Опорно-направляющее кольцо ОНК-315/530 для трубы Дн=315 мм</t>
  </si>
  <si>
    <t>Заполнение межтрубного пространства цементно-песчаным раствором М100</t>
  </si>
  <si>
    <t>Монтаж ж/б изделий колодцев</t>
  </si>
  <si>
    <t>Плита днища колодца ПН20-1</t>
  </si>
  <si>
    <t xml:space="preserve">Кольцо стеновое КС20-9 </t>
  </si>
  <si>
    <t xml:space="preserve">шт. </t>
  </si>
  <si>
    <t>Плита перекрытия колодца ПП20-2 с центральным отверстием</t>
  </si>
  <si>
    <t>Установка люка чугунного тяжелого тип Т (В)</t>
  </si>
  <si>
    <t>Люк чугунный тяжелый Т(С250)</t>
  </si>
  <si>
    <t>Устройство кладки из кирпича</t>
  </si>
  <si>
    <t>стоимость из путь 217, АС1, п. 9</t>
  </si>
  <si>
    <t>Кирпич КР-р-по 250×120×88/1,4НФ/150/2,0/50</t>
  </si>
  <si>
    <t>стоимость из путь 217, АС1, п. 3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</si>
  <si>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</si>
  <si>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</si>
  <si>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</si>
  <si>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</si>
  <si>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>Установка тройника чугунного ТФ 300х150х300 PN10 фланцевый с ЦПП</t>
  </si>
  <si>
    <t>Тройник чугунный фланцевый ТФ 300х150</t>
  </si>
  <si>
    <t>Установка задвижки с обрезинен. клином DN 300 PN10 короткая (тип МЗВ) со штурвалом</t>
  </si>
  <si>
    <t>Задвижка D 300 мм</t>
  </si>
  <si>
    <t>Установка задвижки с обрезинен. клином DN 150 PN10/16 короткая (тип МЗВ) со штурвалом</t>
  </si>
  <si>
    <t>Задвижка D 150 мм</t>
  </si>
  <si>
    <t xml:space="preserve">Установка фланцевого адаптера (ПФРК) UNIVERSAL DN300 </t>
  </si>
  <si>
    <t>54.1</t>
  </si>
  <si>
    <t>Адаптер фланцевый  (ПФРК) UNIVERSAL DN300 (315-332)</t>
  </si>
  <si>
    <t>Установка фланцевого адаптера (ПФРК) UNIVERSAL DN150</t>
  </si>
  <si>
    <t>55.1</t>
  </si>
  <si>
    <t>Адаптер фланцевый  (ПФРК) UNIVERSAL DN150 (159-182)</t>
  </si>
  <si>
    <t>Установка стального фланца для ПЭ d315/DN300, PN10 (без покрытия)</t>
  </si>
  <si>
    <t>56.1</t>
  </si>
  <si>
    <t>56.2</t>
  </si>
  <si>
    <t>Болт М20х100 DIN 933 c шестигранной головкой, полной резьбой покр. цинк (24 шт.)</t>
  </si>
  <si>
    <t>Прокладка из паронита А-300-10 для фланца ∅300 мм, PN1,0 Мпа</t>
  </si>
  <si>
    <t>57.1</t>
  </si>
  <si>
    <t>Втулка ПЭ100 SDR 17 под фланец d=315 мм PN10 кгс/см2</t>
  </si>
  <si>
    <t xml:space="preserve">Установка стального фланца для DN150 PN10/16 приварного ГОСТ 33259-15 (ГОСТ 12820-80)  </t>
  </si>
  <si>
    <t>58.1</t>
  </si>
  <si>
    <t>Фланец свободный стальной Dу 150 мм (для труб ∅160 мм)</t>
  </si>
  <si>
    <t>Прокладка из паронита А-150-10 для фланца ∅150 мм, PN1,0 Мпа</t>
  </si>
  <si>
    <t>Установка втулки под фланец ПЭ100 SDR17 d 150</t>
  </si>
  <si>
    <t>59.1</t>
  </si>
  <si>
    <t>Втулка ПЭ100 SDR 17 под фланец d=160 мм PN10 кгс/см2</t>
  </si>
  <si>
    <t xml:space="preserve">Установка муфты эл. сварной GF ПЭ100 SDR11 d150 </t>
  </si>
  <si>
    <t>60.1</t>
  </si>
  <si>
    <t xml:space="preserve">Муфта эл. сварная GF ПЭ100 SDR11 d150 </t>
  </si>
  <si>
    <t>Установка муфты 365 защитной для ЖБИ прохода</t>
  </si>
  <si>
    <t>61.1</t>
  </si>
  <si>
    <t>Муфта защитная ПЭ D=365 мм L=150,0 мм  (для труб ø315 мм)</t>
  </si>
  <si>
    <t>62.1</t>
  </si>
  <si>
    <t>Установка задвижки с обрезинен. клином DN 100 PN10/16 короткая (тип МЗВ) со штурвалом</t>
  </si>
  <si>
    <t>63.1</t>
  </si>
  <si>
    <t>Задвижка с обрезинен. клином DN 100 PN10/16 короткая (тип МЗВ) со штурвалом</t>
  </si>
  <si>
    <t>стоимость из счета</t>
  </si>
  <si>
    <t>64.1</t>
  </si>
  <si>
    <t>стоимость из НВК4</t>
  </si>
  <si>
    <t>Гайка М20 DIN 934 покр. цинк (24 шт.)</t>
  </si>
  <si>
    <t>Шайба М20 DIN 125 покр.цинк (48 шт.)</t>
  </si>
  <si>
    <t>65.1</t>
  </si>
  <si>
    <t>Установка стального фланца для ПЭ d110/DN100, PN10/16 окрашенного (синий)</t>
  </si>
  <si>
    <t>66.1</t>
  </si>
  <si>
    <t xml:space="preserve">Стальной фланец под ПЭ100 диам.100мм </t>
  </si>
  <si>
    <t>Установка втулки под фланец ПЭ100 SDR17 d 100</t>
  </si>
  <si>
    <t>стоимость из НВК3</t>
  </si>
  <si>
    <t>67.1</t>
  </si>
  <si>
    <t>Установка отвода 90*110 ПЭ100 SDR11 GF</t>
  </si>
  <si>
    <t>68.1</t>
  </si>
  <si>
    <t>69.1</t>
  </si>
  <si>
    <t>131-23-НВК3. Переустройство хозпитьевого водопровода (В1) на участке В1-4 до Уг.1</t>
  </si>
  <si>
    <t>Демонтаж дорожного бордюра БР 100.30.15</t>
  </si>
  <si>
    <t>Демонтажные работы</t>
  </si>
  <si>
    <t>Демонтаж трубы чугунной Ду 326*11,9мм</t>
  </si>
  <si>
    <t>10.1</t>
  </si>
  <si>
    <t>Труба стальная с полиэтиленовым защитным покрытием ВУС 530х8мм</t>
  </si>
  <si>
    <t>Установка муфты защитной полиэтиленовой L=150,0 мм D=365 мм для прохода труб сквозь бетонную стену колодца (для труб D=315 мм)</t>
  </si>
  <si>
    <t>Муфта защитная полиэтиленовая D=365 мм L=150,0 мм  (для труб ø315 мм)</t>
  </si>
  <si>
    <t>Демонтаж колодца и тех узла колодца В-3А</t>
  </si>
  <si>
    <t>Демонтаж гильзы из трубы стальной L=0,3м Ду200мм</t>
  </si>
  <si>
    <t>Демонтаж гильзы из трубы стальной L=0,3м Ду350мм</t>
  </si>
  <si>
    <t xml:space="preserve">    -Демонтаж бетонного основания</t>
  </si>
  <si>
    <t>Демонтаж ж/б изделий колодцев В1-3А</t>
  </si>
  <si>
    <t>Демонтаж колодца и тех узла колодца В-4А</t>
  </si>
  <si>
    <t>Демонтаж трубы чугунной Ду 326</t>
  </si>
  <si>
    <t>Демонтаж трубы чугунной Ду 150</t>
  </si>
  <si>
    <t>Демонтаж задвижки чугунной с обрезиненным клином  DN150 PN10 короткой со штурвалом</t>
  </si>
  <si>
    <t>Демонтаж гильзы из трубы стальной L=0,3м Ду150мм</t>
  </si>
  <si>
    <t>Демонтаж отвода стального Ду 114</t>
  </si>
  <si>
    <t>Демонтаж ж/б изделий колодцев  В1-4</t>
  </si>
  <si>
    <t>23.2</t>
  </si>
  <si>
    <t>13.2</t>
  </si>
  <si>
    <t>13.3</t>
  </si>
  <si>
    <t>Разработка грунта в траншее механизированным способом (экскаватором с ковшом емк. 0,4 м3)</t>
  </si>
  <si>
    <t>Устройство колодцев В1-3А</t>
  </si>
  <si>
    <t>Кольцо опорное КО-7</t>
  </si>
  <si>
    <t>Устройство колодцев В1-4А</t>
  </si>
  <si>
    <t>Плита перекрытия колодца ПП10-2</t>
  </si>
  <si>
    <t xml:space="preserve">Разработка техногенного грунта в траншее механизированным способом (экскаватором с ковшом емк. 0,4 м3) </t>
  </si>
  <si>
    <t xml:space="preserve">Доработка грунта в траншее вручную </t>
  </si>
  <si>
    <t>Монтаж тех узла колодца В1-3А</t>
  </si>
  <si>
    <t>Установка муфты 315 защитной для ЖБИ прохода</t>
  </si>
  <si>
    <t>Установка муфты 150 защитной для ЖБИ прохода</t>
  </si>
  <si>
    <t>Муфта защитная  (для труб ø150 мм)</t>
  </si>
  <si>
    <t>Монтаж тех узла колодца В1-4</t>
  </si>
  <si>
    <t>Прокладка трубы стальной L=0,3м DN200мм</t>
  </si>
  <si>
    <t>Труба стальная L=0,3м DN200мм</t>
  </si>
  <si>
    <t>Прокладка из паронита А-100-10 для фланца ∅100 мм, PN1,0 Мпа</t>
  </si>
  <si>
    <t>34.2</t>
  </si>
  <si>
    <t>34.3</t>
  </si>
  <si>
    <t>34.4</t>
  </si>
  <si>
    <t>34.5</t>
  </si>
  <si>
    <t>34.6</t>
  </si>
  <si>
    <t>47.2</t>
  </si>
  <si>
    <t>57.2</t>
  </si>
  <si>
    <t>63.2</t>
  </si>
  <si>
    <t>63.3</t>
  </si>
  <si>
    <t>63.4</t>
  </si>
  <si>
    <t>63.5</t>
  </si>
  <si>
    <t>69.2</t>
  </si>
  <si>
    <t>70.1</t>
  </si>
  <si>
    <t>Погрузка демонтированных элементов (бордюр)</t>
  </si>
  <si>
    <t>Прокладка трубы ПЭ100 SDR17 315х18,7 в траншее</t>
  </si>
  <si>
    <t>131-23-НВК3. Переустройство хозпитьевого водопровода (В1) на участке Уг1 до Уг.2</t>
  </si>
  <si>
    <t>Этого участка не было в КП</t>
  </si>
  <si>
    <t xml:space="preserve">Устройство щебеночного основания под колодец </t>
  </si>
  <si>
    <t>Пробивка отверстий в колодцах под футляр</t>
  </si>
  <si>
    <t>Установка отвода ПЭ100 электросварного 90 град диаметр 315мм</t>
  </si>
  <si>
    <t>Отвод ПЭ100 электросварной 90 град диаметр 315мм</t>
  </si>
  <si>
    <t>Установка муфты эл. сварной GF ПЭ100 SDR11 d315</t>
  </si>
  <si>
    <t>Муфта эл. сварная GF ПЭ100 SDR11 d315</t>
  </si>
  <si>
    <t>Уг1 до Уг.2</t>
  </si>
  <si>
    <t>В1-4 до Уг.1</t>
  </si>
  <si>
    <t>В1-1 – В1-1А +Подвал+Гараж</t>
  </si>
  <si>
    <t>9.1</t>
  </si>
  <si>
    <t>14.1</t>
  </si>
  <si>
    <t>14.2</t>
  </si>
  <si>
    <t>Плита днища ПН15-1</t>
  </si>
  <si>
    <t>Кольцо стеновое КС15-9</t>
  </si>
  <si>
    <t>Устройство колодца Уг.1</t>
  </si>
  <si>
    <t>Устройство колодца Уг.2</t>
  </si>
  <si>
    <t>131-23-НВК3. Переустройство хозпитьевого водопровода (В1) на участке Уг.2 до В1нов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</si>
  <si>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</si>
  <si>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</si>
  <si>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</si>
  <si>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</si>
  <si>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</si>
  <si>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131-23-НВК3. Переустройство хозпитьевого водопровода (В1) на участке В1-нов.1 и В1-5</t>
  </si>
  <si>
    <t>В1-нов.1 и В1-5</t>
  </si>
  <si>
    <t>Обсыпка из песком колодцев</t>
  </si>
  <si>
    <t>Земляные работы для устройства колодцев</t>
  </si>
  <si>
    <t>29.4</t>
  </si>
  <si>
    <t>33.4</t>
  </si>
  <si>
    <t>38.5</t>
  </si>
  <si>
    <t>42.2</t>
  </si>
  <si>
    <t>42.3</t>
  </si>
  <si>
    <t>42.4</t>
  </si>
  <si>
    <t>Обсыпка из песком труб</t>
  </si>
  <si>
    <t>Устройство колодца В1-5</t>
  </si>
  <si>
    <t>Плита днища ПН10</t>
  </si>
  <si>
    <t>Кольцо колодезное стеновое КС10-9</t>
  </si>
  <si>
    <t xml:space="preserve">Плита перекрытия колодца ПП10 </t>
  </si>
  <si>
    <t>17.3</t>
  </si>
  <si>
    <t>17.4</t>
  </si>
  <si>
    <t>17.5</t>
  </si>
  <si>
    <t>17.6</t>
  </si>
  <si>
    <t>Кольцо доборное колодезное КС7.6</t>
  </si>
  <si>
    <t>Устройство колодца В1-нов1</t>
  </si>
  <si>
    <t>Кольцо колодезное стеновое КС15-9</t>
  </si>
  <si>
    <t>Плита перекрытия колодца ПП15</t>
  </si>
  <si>
    <t>20.3</t>
  </si>
  <si>
    <t>20.4</t>
  </si>
  <si>
    <t>20.5</t>
  </si>
  <si>
    <t xml:space="preserve">Прокладка труб стальных с полиэтиленовым защитным покрытием ВУС 377х 7мм (футляр) </t>
  </si>
  <si>
    <t>Труба стальная с полиэтиленовым защитным покрытием ВУС 377х7мм</t>
  </si>
  <si>
    <t>Протаскивание трубы ПЭ100 SDR17 160х6,6 с установкой колец опорно-направляющего ОНК-160/370</t>
  </si>
  <si>
    <t>Труба ПЭ100 SDR17 PN 10 160х6,6</t>
  </si>
  <si>
    <t>Опорно-направляющее кольцо ОНК-160 для трубы Дн=160 мм</t>
  </si>
  <si>
    <t>Прокладка трубы ПЭ100 SDR17 160х6,6 в траншее</t>
  </si>
  <si>
    <t>Муфта защитная полиэтиленовая  (для труб ø160 мм)</t>
  </si>
  <si>
    <t>Установка муфты защитной полиэтиленовой  D=140 мм для прохода труб сквозь бетонную стену колодца (для труб D=160 мм)</t>
  </si>
  <si>
    <t>Монтаж тех узла колодца В1-5</t>
  </si>
  <si>
    <t>Установка отвода ПЭ100 SDR11 90* d160 (Elofit) арт.12EME160</t>
  </si>
  <si>
    <t>Отвод ПЭ100 SDR11 90* d160 (Elofit) арт.12EME160</t>
  </si>
  <si>
    <t>Установка муфты ПЭ100 SDR11 d160 (Elofit)</t>
  </si>
  <si>
    <t>Муфта ПЭ100 SDR11 d160 (Elofit)</t>
  </si>
  <si>
    <t>Установка муфты редукционной ПЭ100 SDR11 d160*100 (Elofit) арт. 12EME160</t>
  </si>
  <si>
    <t>Муфта редукционная ПЭ100 SDR11 d160*100 (Elofit) арт. 12EME160</t>
  </si>
  <si>
    <t>Установка фланцевого адаптера для стальных труб и SML (ПФРК) DN100 (103-119)</t>
  </si>
  <si>
    <t>Фланцевый адаптер для стальных труб и SML (ПФРК) DN100 (103-119)</t>
  </si>
  <si>
    <t>Болт М16х65 (8 шт.)</t>
  </si>
  <si>
    <t>Гайка М16 (8шт.)</t>
  </si>
  <si>
    <t>Шайба М16 (16 шт.)</t>
  </si>
  <si>
    <t>33.5</t>
  </si>
  <si>
    <t>Установка муфты 110 защитной для ЖБИ прохода</t>
  </si>
  <si>
    <t>Муфта защитная  (для труб ø110 мм)</t>
  </si>
  <si>
    <t>Монтаж тех. узла колодца В1-нов.1</t>
  </si>
  <si>
    <t>Установка крестовины чугунного ТФ 300х150х300 PN10 фланцевый с ЦПП</t>
  </si>
  <si>
    <t>41.2</t>
  </si>
  <si>
    <t>41.3</t>
  </si>
  <si>
    <t>41.4</t>
  </si>
  <si>
    <t>41.5</t>
  </si>
  <si>
    <t>Гайка М16 (32шт.)</t>
  </si>
  <si>
    <t>Шайба М16 (64 шт.)</t>
  </si>
  <si>
    <t>Болт М16 (32 шт.)</t>
  </si>
  <si>
    <t>Болт М20х100   (36 шт.)</t>
  </si>
  <si>
    <t>Гайка М20  (36 шт.)</t>
  </si>
  <si>
    <t>Шайба М20  покр.цинк (72 шт.)</t>
  </si>
  <si>
    <t>131-23-НВК3. Переустройство хозпитьевого водопровода (В1) на участке В1-нов.1- цех №121/18</t>
  </si>
  <si>
    <t>В1-нов.1- цех №121/18</t>
  </si>
  <si>
    <t>Разработка грунта в траншее вручную</t>
  </si>
  <si>
    <t>4.1</t>
  </si>
  <si>
    <t>Пробивка отверстий 250*250 в ж/б полах толщ 270мм для установки гильзы</t>
  </si>
  <si>
    <t>Установка отвода ПЭ100 SDR11 90* d160 (Elofit)</t>
  </si>
  <si>
    <t>Отвода ПЭ100 SDR11 90* d160 (Elofit)</t>
  </si>
  <si>
    <t>131-23-НВК3. Переустройство хозпитьевого водопровода (В1) на участке В1-нов.1 до В1-7</t>
  </si>
  <si>
    <t>В1-нов.1 до В1-7</t>
  </si>
  <si>
    <t>Пробивка отверстий 540х540 в колодцах под футляр</t>
  </si>
  <si>
    <t>Установка гильзы из трубы стальной Ду 530*8мм</t>
  </si>
  <si>
    <t>Установка отвода ПЭ100 SDR11 45* d315мм</t>
  </si>
  <si>
    <t>Отвод ПЭ100 SDR11 45* d315мм</t>
  </si>
  <si>
    <t>Установка отвода ПЭ100 SDR11 22* d315мм</t>
  </si>
  <si>
    <t>Отвод ПЭ100 SDR11 22* d315мм</t>
  </si>
  <si>
    <t>Установка отвода ПЭ100 SDR11 90* d315мм</t>
  </si>
  <si>
    <t>Отвод ПЭ100 SDR11 90* d315мм</t>
  </si>
  <si>
    <t>НВК4</t>
  </si>
  <si>
    <t>131-23-НВК3. Защита существующей трубы водопровода на участке В1-7 до В1-8</t>
  </si>
  <si>
    <t>В1-7 до В1-8 (Защита сущ. трубы)</t>
  </si>
  <si>
    <t>Обратная засыпка траншеи  песком</t>
  </si>
  <si>
    <t>Укладка плит</t>
  </si>
  <si>
    <t xml:space="preserve">Укладка плит ВП 28-12 (2800х1200х220) </t>
  </si>
  <si>
    <t xml:space="preserve">Плита ВП 28-12 (2800х1200х220) </t>
  </si>
  <si>
    <t>Труба металлическая Ду.250*6мм L=0,5мм</t>
  </si>
  <si>
    <t xml:space="preserve"> </t>
  </si>
  <si>
    <t>Кольцо доборное КС7-1,5</t>
  </si>
  <si>
    <t>Смотровые ямы</t>
  </si>
  <si>
    <t xml:space="preserve"> т</t>
  </si>
  <si>
    <t>ГСН КП 417</t>
  </si>
  <si>
    <t>Установка гильзы из металлической трубы Ду.250*6мм L=0,5м</t>
  </si>
  <si>
    <t>Лестница-стремянка С1-07 (29,2кг)</t>
  </si>
  <si>
    <t>стоимость работ Ф250мм + 30% на разницу трубы</t>
  </si>
  <si>
    <t>Смотровые ямы К на толщину слоя /1,05*1,19)</t>
  </si>
  <si>
    <t xml:space="preserve">стоимость из 217 пути </t>
  </si>
  <si>
    <t>2 шт</t>
  </si>
  <si>
    <t>1 шт d160</t>
  </si>
  <si>
    <t>2 шт .стоимость из НВК4 (К1), п.174</t>
  </si>
  <si>
    <t>61,97 стоимость из 217 пути</t>
  </si>
  <si>
    <t>нет в вор</t>
  </si>
  <si>
    <t>1,48 сметная стоимость</t>
  </si>
  <si>
    <t>2шт. Название</t>
  </si>
  <si>
    <t>d160</t>
  </si>
  <si>
    <t>нет</t>
  </si>
  <si>
    <t>разработка</t>
  </si>
  <si>
    <t>8,87 стоимость из ТС2</t>
  </si>
  <si>
    <t>нет стоимость из ТС1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</si>
</sst>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000"/>
    <numFmt numFmtId="168" formatCode="_-* #,##0.0_-;\-* #,##0.0_-;_-* &quot;-&quot;??_-;_-@_-"/>
    <numFmt numFmtId="169" formatCode="0.0"/>
    <numFmt numFmtId="170" formatCode="0.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2"/>
      <color rgb="FFC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9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10" fillId="6" borderId="0" xfId="0" applyFont="1" applyFill="1"/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3" fontId="4" fillId="5" borderId="1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0" fontId="2" fillId="0" borderId="0" xfId="0" applyFont="1"/>
    <xf numFmtId="43" fontId="11" fillId="5" borderId="1" xfId="1" applyFont="1" applyFill="1" applyBorder="1" applyAlignment="1">
      <alignment horizontal="center" vertical="center" wrapText="1"/>
    </xf>
    <xf numFmtId="167" fontId="5" fillId="7" borderId="1" xfId="0" applyNumberFormat="1" applyFont="1" applyFill="1" applyBorder="1" applyAlignment="1">
      <alignment vertical="center" wrapText="1"/>
    </xf>
    <xf numFmtId="49" fontId="12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3" fontId="4" fillId="5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7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0" fontId="5" fillId="5" borderId="1" xfId="2" applyFont="1" applyFill="1" applyBorder="1" applyAlignment="1">
      <alignment horizontal="center" vertical="center" wrapText="1"/>
    </xf>
    <xf numFmtId="168" fontId="4" fillId="5" borderId="1" xfId="1" applyNumberFormat="1" applyFont="1" applyFill="1" applyBorder="1" applyAlignment="1">
      <alignment vertical="center"/>
    </xf>
    <xf numFmtId="43" fontId="5" fillId="7" borderId="1" xfId="1" applyFont="1" applyFill="1" applyBorder="1" applyAlignment="1">
      <alignment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7" borderId="12" xfId="3" applyFont="1" applyFill="1" applyBorder="1" applyAlignment="1">
      <alignment horizontal="left" vertical="center" wrapText="1"/>
    </xf>
    <xf numFmtId="165" fontId="4" fillId="7" borderId="1" xfId="1" applyNumberFormat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168" fontId="5" fillId="7" borderId="1" xfId="1" applyNumberFormat="1" applyFont="1" applyFill="1" applyBorder="1" applyAlignment="1">
      <alignment horizontal="right" vertical="center"/>
    </xf>
    <xf numFmtId="43" fontId="5" fillId="5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horizontal="right" vertical="center"/>
    </xf>
    <xf numFmtId="165" fontId="5" fillId="7" borderId="1" xfId="1" applyNumberFormat="1" applyFont="1" applyFill="1" applyBorder="1" applyAlignment="1">
      <alignment horizontal="right" vertical="center"/>
    </xf>
    <xf numFmtId="0" fontId="5" fillId="5" borderId="1" xfId="2" applyFont="1" applyFill="1" applyBorder="1" applyAlignment="1">
      <alignment horizontal="left" vertical="center" wrapText="1"/>
    </xf>
    <xf numFmtId="168" fontId="5" fillId="7" borderId="1" xfId="1" applyNumberFormat="1" applyFont="1" applyFill="1" applyBorder="1" applyAlignment="1">
      <alignment vertical="center" wrapText="1"/>
    </xf>
    <xf numFmtId="165" fontId="5" fillId="7" borderId="1" xfId="1" applyNumberFormat="1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43" fontId="15" fillId="0" borderId="1" xfId="1" applyFont="1" applyBorder="1"/>
    <xf numFmtId="165" fontId="16" fillId="0" borderId="0" xfId="1" applyNumberFormat="1" applyFont="1"/>
    <xf numFmtId="0" fontId="17" fillId="0" borderId="0" xfId="0" applyFont="1"/>
    <xf numFmtId="0" fontId="16" fillId="0" borderId="0" xfId="0" applyFont="1"/>
    <xf numFmtId="43" fontId="0" fillId="0" borderId="0" xfId="1" applyFont="1"/>
    <xf numFmtId="165" fontId="0" fillId="0" borderId="0" xfId="1" applyNumberFormat="1" applyFont="1"/>
    <xf numFmtId="0" fontId="5" fillId="7" borderId="1" xfId="0" applyFont="1" applyFill="1" applyBorder="1" applyAlignment="1">
      <alignment horizont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6" fillId="5" borderId="12" xfId="3" applyFont="1" applyFill="1" applyBorder="1" applyAlignment="1">
      <alignment horizontal="left" vertical="center" wrapText="1"/>
    </xf>
    <xf numFmtId="43" fontId="4" fillId="7" borderId="1" xfId="1" applyFont="1" applyFill="1" applyBorder="1" applyAlignment="1">
      <alignment horizontal="center"/>
    </xf>
    <xf numFmtId="165" fontId="5" fillId="5" borderId="1" xfId="1" applyNumberFormat="1" applyFont="1" applyFill="1" applyBorder="1" applyAlignment="1">
      <alignment vertical="center" wrapText="1"/>
    </xf>
    <xf numFmtId="43" fontId="4" fillId="7" borderId="1" xfId="1" applyFont="1" applyFill="1" applyBorder="1" applyAlignment="1">
      <alignment horizontal="center" vertical="center"/>
    </xf>
    <xf numFmtId="43" fontId="15" fillId="0" borderId="1" xfId="1" applyFont="1" applyBorder="1" applyAlignment="1">
      <alignment horizontal="center"/>
    </xf>
    <xf numFmtId="165" fontId="16" fillId="0" borderId="0" xfId="1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5" borderId="12" xfId="3" applyFont="1" applyFill="1" applyBorder="1" applyAlignment="1">
      <alignment horizontal="left" vertical="center" wrapText="1"/>
    </xf>
    <xf numFmtId="43" fontId="19" fillId="5" borderId="1" xfId="1" applyFont="1" applyFill="1" applyBorder="1" applyAlignment="1">
      <alignment horizontal="center" vertical="center" wrapText="1"/>
    </xf>
    <xf numFmtId="169" fontId="5" fillId="7" borderId="1" xfId="0" applyNumberFormat="1" applyFont="1" applyFill="1" applyBorder="1" applyAlignment="1">
      <alignment vertical="center" wrapText="1"/>
    </xf>
    <xf numFmtId="0" fontId="6" fillId="5" borderId="1" xfId="3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15" fillId="0" borderId="1" xfId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21" fillId="0" borderId="0" xfId="0" applyFont="1"/>
    <xf numFmtId="0" fontId="6" fillId="0" borderId="1" xfId="3" applyFont="1" applyBorder="1" applyAlignment="1">
      <alignment horizontal="left" vertical="center" wrapText="1"/>
    </xf>
    <xf numFmtId="165" fontId="16" fillId="0" borderId="0" xfId="1" applyNumberFormat="1" applyFont="1" applyAlignment="1">
      <alignment vertical="center"/>
    </xf>
    <xf numFmtId="43" fontId="5" fillId="0" borderId="1" xfId="1" applyFont="1" applyFill="1" applyBorder="1" applyAlignment="1">
      <alignment horizontal="center" vertical="center" wrapText="1"/>
    </xf>
    <xf numFmtId="0" fontId="7" fillId="8" borderId="0" xfId="0" applyFont="1" applyFill="1" applyAlignment="1">
      <alignment vertical="center"/>
    </xf>
    <xf numFmtId="164" fontId="7" fillId="0" borderId="0" xfId="0" applyNumberFormat="1" applyFont="1"/>
    <xf numFmtId="0" fontId="0" fillId="0" borderId="0" xfId="0" applyFont="1"/>
    <xf numFmtId="43" fontId="18" fillId="5" borderId="1" xfId="1" applyFont="1" applyFill="1" applyBorder="1" applyAlignment="1">
      <alignment horizontal="center" vertical="center" wrapText="1"/>
    </xf>
    <xf numFmtId="165" fontId="5" fillId="7" borderId="1" xfId="1" applyNumberFormat="1" applyFont="1" applyFill="1" applyBorder="1" applyAlignment="1">
      <alignment vertical="center"/>
    </xf>
    <xf numFmtId="0" fontId="5" fillId="0" borderId="12" xfId="3" applyFont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4" fontId="4" fillId="5" borderId="1" xfId="0" applyNumberFormat="1" applyFont="1" applyFill="1" applyBorder="1" applyAlignment="1">
      <alignment vertical="center" wrapText="1"/>
    </xf>
    <xf numFmtId="2" fontId="5" fillId="9" borderId="1" xfId="0" applyNumberFormat="1" applyFont="1" applyFill="1" applyBorder="1" applyAlignment="1">
      <alignment vertical="center" wrapText="1"/>
    </xf>
    <xf numFmtId="0" fontId="7" fillId="6" borderId="0" xfId="0" applyFont="1" applyFill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2" fontId="5" fillId="1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/>
    </xf>
    <xf numFmtId="170" fontId="5" fillId="10" borderId="1" xfId="0" applyNumberFormat="1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4" fillId="10" borderId="1" xfId="1" applyNumberFormat="1" applyFont="1" applyFill="1" applyBorder="1" applyAlignment="1">
      <alignment vertical="center"/>
    </xf>
    <xf numFmtId="0" fontId="5" fillId="10" borderId="12" xfId="3" applyFont="1" applyFill="1" applyBorder="1" applyAlignment="1">
      <alignment horizontal="left" vertical="center" wrapText="1"/>
    </xf>
    <xf numFmtId="1" fontId="5" fillId="10" borderId="1" xfId="0" applyNumberFormat="1" applyFont="1" applyFill="1" applyBorder="1" applyAlignment="1">
      <alignment horizontal="right" vertical="center" wrapText="1"/>
    </xf>
    <xf numFmtId="0" fontId="5" fillId="10" borderId="1" xfId="3" applyFont="1" applyFill="1" applyBorder="1" applyAlignment="1">
      <alignment horizontal="left" vertical="center" wrapText="1"/>
    </xf>
    <xf numFmtId="1" fontId="5" fillId="10" borderId="1" xfId="0" applyNumberFormat="1" applyFont="1" applyFill="1" applyBorder="1" applyAlignment="1">
      <alignment vertical="center" wrapText="1"/>
    </xf>
    <xf numFmtId="2" fontId="5" fillId="1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169" fontId="5" fillId="0" borderId="1" xfId="0" applyNumberFormat="1" applyFont="1" applyFill="1" applyBorder="1" applyAlignment="1">
      <alignment vertical="center" wrapText="1"/>
    </xf>
    <xf numFmtId="169" fontId="5" fillId="0" borderId="1" xfId="0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/>
    </xf>
    <xf numFmtId="168" fontId="4" fillId="0" borderId="1" xfId="1" applyNumberFormat="1" applyFont="1" applyFill="1" applyBorder="1" applyAlignment="1">
      <alignment vertical="center"/>
    </xf>
    <xf numFmtId="2" fontId="5" fillId="0" borderId="2" xfId="0" applyNumberFormat="1" applyFont="1" applyFill="1" applyBorder="1" applyAlignment="1">
      <alignment vertical="center" wrapText="1"/>
    </xf>
    <xf numFmtId="168" fontId="5" fillId="0" borderId="1" xfId="1" applyNumberFormat="1" applyFont="1" applyFill="1" applyBorder="1" applyAlignment="1">
      <alignment horizontal="right" vertical="center"/>
    </xf>
    <xf numFmtId="43" fontId="5" fillId="0" borderId="1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3" fontId="5" fillId="5" borderId="3" xfId="1" applyFont="1" applyFill="1" applyBorder="1" applyAlignment="1">
      <alignment horizontal="center" vertical="center" wrapText="1"/>
    </xf>
    <xf numFmtId="43" fontId="5" fillId="5" borderId="6" xfId="1" applyFont="1" applyFill="1" applyBorder="1" applyAlignment="1">
      <alignment horizontal="center" vertical="center" wrapText="1"/>
    </xf>
    <xf numFmtId="0" fontId="20" fillId="0" borderId="12" xfId="3" applyFont="1" applyBorder="1" applyAlignment="1">
      <alignment horizontal="right" vertical="center" wrapText="1"/>
    </xf>
    <xf numFmtId="0" fontId="20" fillId="0" borderId="13" xfId="3" applyFont="1" applyBorder="1" applyAlignment="1">
      <alignment horizontal="right" vertical="center" wrapText="1"/>
    </xf>
    <xf numFmtId="0" fontId="20" fillId="0" borderId="2" xfId="3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4" fillId="0" borderId="12" xfId="3" applyFont="1" applyBorder="1" applyAlignment="1">
      <alignment horizontal="right" wrapText="1"/>
    </xf>
    <xf numFmtId="0" fontId="14" fillId="0" borderId="13" xfId="3" applyFont="1" applyBorder="1" applyAlignment="1">
      <alignment horizontal="right" wrapText="1"/>
    </xf>
    <xf numFmtId="0" fontId="14" fillId="0" borderId="2" xfId="3" applyFont="1" applyBorder="1" applyAlignment="1">
      <alignment horizontal="right" wrapText="1"/>
    </xf>
    <xf numFmtId="0" fontId="13" fillId="5" borderId="12" xfId="2" applyFont="1" applyFill="1" applyBorder="1" applyAlignment="1">
      <alignment horizontal="left" vertical="center" wrapText="1"/>
    </xf>
    <xf numFmtId="0" fontId="13" fillId="5" borderId="2" xfId="2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63" t="s">
        <v>0</v>
      </c>
      <c r="B1" s="163" t="s">
        <v>1</v>
      </c>
      <c r="C1" s="164" t="s">
        <v>2</v>
      </c>
      <c r="D1" s="164"/>
      <c r="E1" s="164"/>
      <c r="F1" s="165" t="s">
        <v>3</v>
      </c>
      <c r="G1" s="165"/>
      <c r="H1" s="165"/>
    </row>
    <row r="2" spans="1:11" ht="28.5" x14ac:dyDescent="0.25">
      <c r="A2" s="163"/>
      <c r="B2" s="163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501</v>
      </c>
      <c r="C3" s="7">
        <f>'В1-3А, В1-4'!F149</f>
        <v>1022535.6399999994</v>
      </c>
      <c r="D3" s="8">
        <f>'В1-3А, В1-4'!I149</f>
        <v>885393.83000000007</v>
      </c>
      <c r="E3" s="9">
        <f>C3+D3</f>
        <v>1907929.4699999995</v>
      </c>
      <c r="F3" s="10">
        <f>'В1-3А, В1-4'!G149</f>
        <v>1227042.77</v>
      </c>
      <c r="G3" s="11">
        <f>'В1-3А, В1-4'!J149</f>
        <v>1062472.6000000001</v>
      </c>
      <c r="H3" s="12">
        <f>F3+G3</f>
        <v>2289515.37</v>
      </c>
      <c r="I3" s="13"/>
    </row>
    <row r="4" spans="1:11" x14ac:dyDescent="0.25">
      <c r="A4" s="5">
        <f>A3+1</f>
        <v>2</v>
      </c>
      <c r="B4" s="6" t="s">
        <v>488</v>
      </c>
      <c r="C4" s="7">
        <f>'В1-4-до Уг.1'!F38</f>
        <v>1078515.82</v>
      </c>
      <c r="D4" s="8">
        <f>'В1-4-до Уг.1'!I38</f>
        <v>898132.55</v>
      </c>
      <c r="E4" s="9">
        <f>C4+D4</f>
        <v>1976648.37</v>
      </c>
      <c r="F4" s="10">
        <f>'В1-4-до Уг.1'!G38</f>
        <v>1294218.98</v>
      </c>
      <c r="G4" s="11">
        <f>'В1-4-до Уг.1'!J38</f>
        <v>1077759.06</v>
      </c>
      <c r="H4" s="12">
        <f>F4+G4</f>
        <v>2371978.04</v>
      </c>
      <c r="I4" s="13"/>
    </row>
    <row r="5" spans="1:11" x14ac:dyDescent="0.25">
      <c r="A5" s="5">
        <f>A4+1</f>
        <v>3</v>
      </c>
      <c r="B5" s="6" t="s">
        <v>487</v>
      </c>
      <c r="C5" s="7">
        <f>'Уг.1-до Уг.2'!F57</f>
        <v>376341.96</v>
      </c>
      <c r="D5" s="8">
        <f>'Уг.1-до Уг.2'!I57</f>
        <v>333745.12000000005</v>
      </c>
      <c r="E5" s="9">
        <f t="shared" ref="E5:E13" si="0">C5+D5</f>
        <v>710087.08000000007</v>
      </c>
      <c r="F5" s="10">
        <f>'Уг.1-до Уг.2'!G57</f>
        <v>451610.35</v>
      </c>
      <c r="G5" s="11">
        <f>'Уг.1-до Уг.2'!J57</f>
        <v>400494.14</v>
      </c>
      <c r="H5" s="12">
        <f t="shared" ref="H5:H13" si="1">F5+G5</f>
        <v>852104.49</v>
      </c>
      <c r="I5" s="14"/>
    </row>
    <row r="6" spans="1:11" x14ac:dyDescent="0.25">
      <c r="A6" s="5">
        <f>A5+1</f>
        <v>4</v>
      </c>
      <c r="B6" s="6" t="s">
        <v>498</v>
      </c>
      <c r="C6" s="7">
        <f>'Уг.2-до В1нов'!F31</f>
        <v>415572.79000000004</v>
      </c>
      <c r="D6" s="8">
        <f>'Уг.2-до В1нов'!I31</f>
        <v>155237.75</v>
      </c>
      <c r="E6" s="9">
        <f t="shared" si="0"/>
        <v>570810.54</v>
      </c>
      <c r="F6" s="10">
        <f>'Уг.2-до В1нов'!G31</f>
        <v>498687.35</v>
      </c>
      <c r="G6" s="11">
        <f>'Уг.2-до В1нов'!J31</f>
        <v>186285.3</v>
      </c>
      <c r="H6" s="12">
        <f t="shared" si="1"/>
        <v>684972.64999999991</v>
      </c>
      <c r="I6" s="14"/>
    </row>
    <row r="7" spans="1:11" x14ac:dyDescent="0.25">
      <c r="A7" s="5">
        <f>A6+1</f>
        <v>5</v>
      </c>
      <c r="B7" s="6" t="s">
        <v>500</v>
      </c>
      <c r="C7" s="7">
        <f>'В1-30-В1-31'!F117</f>
        <v>1596408.3599999987</v>
      </c>
      <c r="D7" s="8">
        <f>'В1-30-В1-31'!I117</f>
        <v>1689475.0900000003</v>
      </c>
      <c r="E7" s="9">
        <f t="shared" si="0"/>
        <v>3285883.4499999993</v>
      </c>
      <c r="F7" s="10">
        <f>'В1-30-В1-31'!G117</f>
        <v>1915690.03</v>
      </c>
      <c r="G7" s="11">
        <f>'В1-30-В1-31'!J117</f>
        <v>2027370.11</v>
      </c>
      <c r="H7" s="12">
        <f t="shared" si="1"/>
        <v>3943060.14</v>
      </c>
      <c r="I7" s="14"/>
    </row>
    <row r="8" spans="1:11" x14ac:dyDescent="0.25">
      <c r="A8" s="5">
        <f t="shared" ref="A8:A13" si="2">A7+1</f>
        <v>6</v>
      </c>
      <c r="B8" s="15" t="s">
        <v>489</v>
      </c>
      <c r="C8" s="7">
        <f>'В1-1-В1-1А'!F94</f>
        <v>3149242.19</v>
      </c>
      <c r="D8" s="8">
        <f>'В1-1-В1-1А'!I94</f>
        <v>1687798.6099999992</v>
      </c>
      <c r="E8" s="9">
        <f t="shared" si="0"/>
        <v>4837040.7999999989</v>
      </c>
      <c r="F8" s="10">
        <f>'В1-1-В1-1А'!G94</f>
        <v>3779090.63</v>
      </c>
      <c r="G8" s="11">
        <f>'В1-1-В1-1А'!J94</f>
        <v>2025358.33</v>
      </c>
      <c r="H8" s="12">
        <f t="shared" si="1"/>
        <v>5804448.96</v>
      </c>
      <c r="I8" s="14"/>
      <c r="J8" s="13"/>
      <c r="K8" s="13"/>
    </row>
    <row r="9" spans="1:11" x14ac:dyDescent="0.25">
      <c r="A9" s="5">
        <f t="shared" si="2"/>
        <v>7</v>
      </c>
      <c r="B9" s="15" t="s">
        <v>502</v>
      </c>
      <c r="C9" s="7">
        <f>'В1-2-В1-2А'!F105</f>
        <v>909071.35</v>
      </c>
      <c r="D9" s="8">
        <f>'В1-2-В1-2А'!I105</f>
        <v>1023067.3900000001</v>
      </c>
      <c r="E9" s="9">
        <f t="shared" si="0"/>
        <v>1932138.7400000002</v>
      </c>
      <c r="F9" s="10">
        <f>'В1-2-В1-2А'!G105</f>
        <v>1090885.6200000001</v>
      </c>
      <c r="G9" s="11">
        <f>'В1-2-В1-2А'!J105</f>
        <v>1227680.8700000001</v>
      </c>
      <c r="H9" s="12">
        <f t="shared" si="1"/>
        <v>2318566.4900000002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504</v>
      </c>
      <c r="C10" s="7">
        <f>'В1нов1-В15'!F116</f>
        <v>447202.04000000004</v>
      </c>
      <c r="D10" s="8">
        <f>'В1нов1-В15'!I116</f>
        <v>493705.96999999991</v>
      </c>
      <c r="E10" s="9">
        <f t="shared" si="0"/>
        <v>940908.01</v>
      </c>
      <c r="F10" s="10">
        <f>'В1нов1-В15'!G116</f>
        <v>536642.44999999995</v>
      </c>
      <c r="G10" s="11">
        <f>'В1нов1-В15'!J116</f>
        <v>592447.16</v>
      </c>
      <c r="H10" s="12">
        <f t="shared" si="1"/>
        <v>1129089.6099999999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565</v>
      </c>
      <c r="C11" s="7">
        <f>'В1нов1-цех121'!F30</f>
        <v>87775.82</v>
      </c>
      <c r="D11" s="8">
        <f>'В1нов1-цех121'!I30</f>
        <v>42359.63</v>
      </c>
      <c r="E11" s="9">
        <f t="shared" si="0"/>
        <v>130135.45000000001</v>
      </c>
      <c r="F11" s="10">
        <f>'В1нов1-цех121'!G30</f>
        <v>105330.98</v>
      </c>
      <c r="G11" s="11">
        <f>'В1нов1-цех121'!J30</f>
        <v>50831.56</v>
      </c>
      <c r="H11" s="12">
        <f t="shared" si="1"/>
        <v>156162.53999999998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572</v>
      </c>
      <c r="C12" s="7">
        <f>'В1нов1-В17'!F48</f>
        <v>933707.08</v>
      </c>
      <c r="D12" s="8">
        <f>'В1нов1-В17'!I48</f>
        <v>665142.06999999995</v>
      </c>
      <c r="E12" s="9">
        <f t="shared" si="0"/>
        <v>1598849.15</v>
      </c>
      <c r="F12" s="10">
        <f>'В1нов1-В17'!G48</f>
        <v>1120448.5</v>
      </c>
      <c r="G12" s="11">
        <f>'В1нов1-В17'!J48</f>
        <v>798170.48</v>
      </c>
      <c r="H12" s="12">
        <f t="shared" si="1"/>
        <v>1918618.98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583</v>
      </c>
      <c r="C13" s="7">
        <f>'В1-7-В1-8'!F27</f>
        <v>432078.68999999994</v>
      </c>
      <c r="D13" s="8">
        <f>'В1-7-В1-8'!I27</f>
        <v>362804.79000000004</v>
      </c>
      <c r="E13" s="9">
        <f t="shared" si="0"/>
        <v>794883.48</v>
      </c>
      <c r="F13" s="10">
        <f>'В1-7-В1-8'!G27</f>
        <v>518494.43</v>
      </c>
      <c r="G13" s="11">
        <f>'В1-7-В1-8'!J27</f>
        <v>435365.75</v>
      </c>
      <c r="H13" s="12">
        <f t="shared" si="1"/>
        <v>953860.17999999993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10448451.739999998</v>
      </c>
      <c r="D14" s="18">
        <f t="shared" si="3"/>
        <v>8236862.7999999998</v>
      </c>
      <c r="E14" s="18">
        <f t="shared" si="3"/>
        <v>18685314.539999999</v>
      </c>
      <c r="F14" s="19">
        <f t="shared" si="3"/>
        <v>12538142.09</v>
      </c>
      <c r="G14" s="19">
        <f t="shared" si="3"/>
        <v>9884235.3600000013</v>
      </c>
      <c r="H14" s="19">
        <f t="shared" si="3"/>
        <v>22422377.449999999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M32"/>
  <sheetViews>
    <sheetView view="pageBreakPreview" zoomScale="80" zoomScaleNormal="100" zoomScaleSheetLayoutView="80" workbookViewId="0">
      <selection activeCell="D28" activeCellId="6" sqref="A1:M3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190" t="s">
        <v>564</v>
      </c>
      <c r="C6" s="191"/>
      <c r="D6" s="191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20.25" customHeight="1" x14ac:dyDescent="0.25">
      <c r="A7" s="56"/>
      <c r="B7" s="43" t="s">
        <v>349</v>
      </c>
      <c r="C7" s="38"/>
      <c r="D7" s="57"/>
      <c r="E7" s="58"/>
      <c r="F7" s="59"/>
      <c r="G7" s="60"/>
      <c r="H7" s="61"/>
      <c r="I7" s="62"/>
      <c r="J7" s="62"/>
      <c r="K7" s="63"/>
      <c r="L7" s="62"/>
    </row>
    <row r="8" spans="1:13" ht="24" customHeight="1" x14ac:dyDescent="0.25">
      <c r="A8" s="30">
        <f>A7+1</f>
        <v>1</v>
      </c>
      <c r="B8" s="99" t="s">
        <v>566</v>
      </c>
      <c r="C8" s="100" t="s">
        <v>24</v>
      </c>
      <c r="D8" s="151">
        <v>3.79</v>
      </c>
      <c r="E8" s="64">
        <v>1688.15</v>
      </c>
      <c r="F8" s="33">
        <f t="shared" ref="F8" si="0">ROUND(E8*D8,2)</f>
        <v>6398.09</v>
      </c>
      <c r="G8" s="33">
        <f t="shared" ref="G8" si="1">ROUND(F8*1.2,2)</f>
        <v>7677.71</v>
      </c>
      <c r="H8" s="61"/>
      <c r="I8" s="62"/>
      <c r="J8" s="62"/>
      <c r="K8" s="64">
        <f t="shared" ref="K8" si="2">F8+I8</f>
        <v>6398.09</v>
      </c>
      <c r="L8" s="42">
        <f t="shared" ref="L8" si="3">G8+J8</f>
        <v>7677.71</v>
      </c>
    </row>
    <row r="9" spans="1:13" ht="24" customHeight="1" x14ac:dyDescent="0.25">
      <c r="A9" s="30">
        <f>A8+1</f>
        <v>2</v>
      </c>
      <c r="B9" s="99" t="s">
        <v>46</v>
      </c>
      <c r="C9" s="100" t="s">
        <v>24</v>
      </c>
      <c r="D9" s="151">
        <v>32.799999999999997</v>
      </c>
      <c r="E9" s="64">
        <v>308.75</v>
      </c>
      <c r="F9" s="33">
        <f t="shared" ref="F9:F13" si="4">ROUND(E9*D9,2)</f>
        <v>10127</v>
      </c>
      <c r="G9" s="33">
        <f t="shared" ref="G9:G13" si="5">ROUND(F9*1.2,2)</f>
        <v>12152.4</v>
      </c>
      <c r="H9" s="61"/>
      <c r="I9" s="62"/>
      <c r="J9" s="62"/>
      <c r="K9" s="64">
        <f t="shared" ref="K9:L17" si="6">F9+I9</f>
        <v>10127</v>
      </c>
      <c r="L9" s="42">
        <f t="shared" si="6"/>
        <v>12152.4</v>
      </c>
    </row>
    <row r="10" spans="1:13" ht="24" customHeight="1" x14ac:dyDescent="0.25">
      <c r="A10" s="30">
        <f>A9+1</f>
        <v>3</v>
      </c>
      <c r="B10" s="99" t="s">
        <v>47</v>
      </c>
      <c r="C10" s="100" t="s">
        <v>24</v>
      </c>
      <c r="D10" s="151">
        <v>1.01</v>
      </c>
      <c r="E10" s="64">
        <v>1688.15</v>
      </c>
      <c r="F10" s="33">
        <f t="shared" si="4"/>
        <v>1705.03</v>
      </c>
      <c r="G10" s="33">
        <f t="shared" si="5"/>
        <v>2046.04</v>
      </c>
      <c r="H10" s="61"/>
      <c r="I10" s="62"/>
      <c r="J10" s="62"/>
      <c r="K10" s="64">
        <f t="shared" si="6"/>
        <v>1705.03</v>
      </c>
      <c r="L10" s="42">
        <f t="shared" si="6"/>
        <v>2046.04</v>
      </c>
    </row>
    <row r="11" spans="1:13" ht="20.25" customHeight="1" x14ac:dyDescent="0.25">
      <c r="A11" s="30">
        <f>A10+1</f>
        <v>4</v>
      </c>
      <c r="B11" s="99" t="s">
        <v>48</v>
      </c>
      <c r="C11" s="100" t="s">
        <v>24</v>
      </c>
      <c r="D11" s="151">
        <v>1.27</v>
      </c>
      <c r="E11" s="64">
        <v>1310.05</v>
      </c>
      <c r="F11" s="33">
        <f t="shared" si="4"/>
        <v>1663.76</v>
      </c>
      <c r="G11" s="33">
        <f t="shared" si="5"/>
        <v>1996.51</v>
      </c>
      <c r="H11" s="61"/>
      <c r="I11" s="62"/>
      <c r="J11" s="62"/>
      <c r="K11" s="64">
        <f t="shared" si="6"/>
        <v>1663.76</v>
      </c>
      <c r="L11" s="42">
        <f t="shared" si="6"/>
        <v>1996.51</v>
      </c>
    </row>
    <row r="12" spans="1:13" ht="20.25" customHeight="1" x14ac:dyDescent="0.25">
      <c r="A12" s="46" t="s">
        <v>567</v>
      </c>
      <c r="B12" s="47" t="s">
        <v>50</v>
      </c>
      <c r="C12" s="48" t="s">
        <v>24</v>
      </c>
      <c r="D12" s="49">
        <f>D11*1.1</f>
        <v>1.3970000000000002</v>
      </c>
      <c r="E12" s="70"/>
      <c r="F12" s="51"/>
      <c r="G12" s="51"/>
      <c r="H12" s="51">
        <v>1191.3</v>
      </c>
      <c r="I12" s="51">
        <f>ROUND(H12*D12,2)</f>
        <v>1664.25</v>
      </c>
      <c r="J12" s="51">
        <f>ROUND(I12*1.2,2)</f>
        <v>1997.1</v>
      </c>
      <c r="K12" s="52">
        <f t="shared" si="6"/>
        <v>1664.25</v>
      </c>
      <c r="L12" s="51">
        <f t="shared" si="6"/>
        <v>1997.1</v>
      </c>
    </row>
    <row r="13" spans="1:13" ht="24" customHeight="1" x14ac:dyDescent="0.25">
      <c r="A13" s="30">
        <f>A11+1</f>
        <v>5</v>
      </c>
      <c r="B13" s="73" t="s">
        <v>513</v>
      </c>
      <c r="C13" s="100" t="s">
        <v>24</v>
      </c>
      <c r="D13" s="151">
        <v>14.38</v>
      </c>
      <c r="E13" s="64">
        <v>1310.05</v>
      </c>
      <c r="F13" s="33">
        <f t="shared" si="4"/>
        <v>18838.52</v>
      </c>
      <c r="G13" s="33">
        <f t="shared" si="5"/>
        <v>22606.22</v>
      </c>
      <c r="H13" s="35"/>
      <c r="I13" s="35"/>
      <c r="J13" s="35"/>
      <c r="K13" s="32">
        <f t="shared" si="6"/>
        <v>18838.52</v>
      </c>
      <c r="L13" s="35">
        <f t="shared" si="6"/>
        <v>22606.22</v>
      </c>
    </row>
    <row r="14" spans="1:13" ht="20.25" customHeight="1" x14ac:dyDescent="0.25">
      <c r="A14" s="46" t="s">
        <v>32</v>
      </c>
      <c r="B14" s="47" t="s">
        <v>50</v>
      </c>
      <c r="C14" s="48" t="s">
        <v>24</v>
      </c>
      <c r="D14" s="49">
        <f>D13*1.1</f>
        <v>15.818000000000001</v>
      </c>
      <c r="E14" s="70"/>
      <c r="F14" s="51"/>
      <c r="G14" s="51"/>
      <c r="H14" s="51">
        <v>1191.3</v>
      </c>
      <c r="I14" s="51">
        <f>ROUND(H14*D14,2)</f>
        <v>18843.98</v>
      </c>
      <c r="J14" s="51">
        <f>ROUND(I14*1.2,2)</f>
        <v>22612.78</v>
      </c>
      <c r="K14" s="52">
        <f t="shared" si="6"/>
        <v>18843.98</v>
      </c>
      <c r="L14" s="51">
        <f t="shared" si="6"/>
        <v>22612.78</v>
      </c>
    </row>
    <row r="15" spans="1:13" s="66" customFormat="1" ht="22.5" customHeight="1" x14ac:dyDescent="0.25">
      <c r="A15" s="38">
        <f>A13+1</f>
        <v>6</v>
      </c>
      <c r="B15" s="99" t="s">
        <v>153</v>
      </c>
      <c r="C15" s="100" t="s">
        <v>24</v>
      </c>
      <c r="D15" s="151">
        <v>27.02</v>
      </c>
      <c r="E15" s="64">
        <v>118.75</v>
      </c>
      <c r="F15" s="33">
        <f t="shared" ref="F15:F16" si="7">ROUND(E15*D15,2)</f>
        <v>3208.63</v>
      </c>
      <c r="G15" s="33">
        <f t="shared" ref="G15:G17" si="8">ROUND(F15*1.2,2)</f>
        <v>3850.36</v>
      </c>
      <c r="H15" s="61"/>
      <c r="I15" s="62"/>
      <c r="J15" s="62"/>
      <c r="K15" s="64">
        <f t="shared" si="6"/>
        <v>3208.63</v>
      </c>
      <c r="L15" s="42">
        <f t="shared" si="6"/>
        <v>3850.36</v>
      </c>
      <c r="M15" s="65"/>
    </row>
    <row r="16" spans="1:13" ht="22.5" customHeight="1" x14ac:dyDescent="0.25">
      <c r="A16" s="30">
        <f>A15+1</f>
        <v>7</v>
      </c>
      <c r="B16" s="99" t="s">
        <v>53</v>
      </c>
      <c r="C16" s="100" t="s">
        <v>24</v>
      </c>
      <c r="D16" s="151">
        <v>27.02</v>
      </c>
      <c r="E16" s="64">
        <v>188.1</v>
      </c>
      <c r="F16" s="33">
        <f t="shared" si="7"/>
        <v>5082.46</v>
      </c>
      <c r="G16" s="33">
        <f t="shared" si="8"/>
        <v>6098.95</v>
      </c>
      <c r="H16" s="64"/>
      <c r="I16" s="35"/>
      <c r="J16" s="35"/>
      <c r="K16" s="64">
        <f t="shared" si="6"/>
        <v>5082.46</v>
      </c>
      <c r="L16" s="42">
        <f t="shared" si="6"/>
        <v>6098.95</v>
      </c>
    </row>
    <row r="17" spans="1:13" ht="18.75" customHeight="1" x14ac:dyDescent="0.25">
      <c r="A17" s="30">
        <f>A16+1</f>
        <v>8</v>
      </c>
      <c r="B17" s="37" t="s">
        <v>54</v>
      </c>
      <c r="C17" s="38" t="s">
        <v>38</v>
      </c>
      <c r="D17" s="151">
        <v>2.85</v>
      </c>
      <c r="E17" s="64">
        <v>308.75</v>
      </c>
      <c r="F17" s="35">
        <f>ROUND(E17*D17,2)</f>
        <v>879.94</v>
      </c>
      <c r="G17" s="35">
        <f t="shared" si="8"/>
        <v>1055.93</v>
      </c>
      <c r="H17" s="64"/>
      <c r="I17" s="35"/>
      <c r="J17" s="35"/>
      <c r="K17" s="64">
        <f t="shared" si="6"/>
        <v>879.94</v>
      </c>
      <c r="L17" s="42">
        <f t="shared" si="6"/>
        <v>1055.93</v>
      </c>
    </row>
    <row r="18" spans="1:13" ht="22.5" customHeight="1" x14ac:dyDescent="0.25">
      <c r="A18" s="46"/>
      <c r="B18" s="43" t="s">
        <v>55</v>
      </c>
      <c r="C18" s="38"/>
      <c r="D18" s="150"/>
      <c r="E18" s="58"/>
      <c r="F18" s="59"/>
      <c r="G18" s="60"/>
      <c r="H18" s="67"/>
      <c r="I18" s="35"/>
      <c r="J18" s="35"/>
      <c r="K18" s="32"/>
      <c r="L18" s="35"/>
    </row>
    <row r="19" spans="1:13" ht="29.25" customHeight="1" x14ac:dyDescent="0.25">
      <c r="A19" s="38">
        <f>A17+1</f>
        <v>9</v>
      </c>
      <c r="B19" s="130" t="s">
        <v>568</v>
      </c>
      <c r="C19" s="38" t="s">
        <v>66</v>
      </c>
      <c r="D19" s="150">
        <v>1</v>
      </c>
      <c r="E19" s="131">
        <v>2740</v>
      </c>
      <c r="F19" s="42">
        <f t="shared" ref="F19" si="9">ROUND(E19*D19,2)</f>
        <v>2740</v>
      </c>
      <c r="G19" s="42">
        <f t="shared" ref="G19" si="10">ROUND(F19*1.2,2)</f>
        <v>3288</v>
      </c>
      <c r="H19" s="34"/>
      <c r="I19" s="42"/>
      <c r="J19" s="42"/>
      <c r="K19" s="64">
        <f t="shared" ref="K19:L19" si="11">F19+I19</f>
        <v>2740</v>
      </c>
      <c r="L19" s="42">
        <f t="shared" si="11"/>
        <v>3288</v>
      </c>
    </row>
    <row r="20" spans="1:13" ht="29.25" customHeight="1" x14ac:dyDescent="0.25">
      <c r="A20" s="38">
        <f>A19+1</f>
        <v>10</v>
      </c>
      <c r="B20" s="130" t="s">
        <v>594</v>
      </c>
      <c r="C20" s="38" t="s">
        <v>66</v>
      </c>
      <c r="D20" s="150">
        <v>1</v>
      </c>
      <c r="E20" s="64">
        <v>1989.85</v>
      </c>
      <c r="F20" s="42">
        <f t="shared" ref="F20" si="12">ROUND(E20*D20,2)</f>
        <v>1989.85</v>
      </c>
      <c r="G20" s="42">
        <f t="shared" ref="G20" si="13">ROUND(F20*1.2,2)</f>
        <v>2387.8200000000002</v>
      </c>
      <c r="H20" s="34"/>
      <c r="I20" s="42"/>
      <c r="J20" s="42"/>
      <c r="K20" s="64">
        <f t="shared" ref="K20:K21" si="14">F20+I20</f>
        <v>1989.85</v>
      </c>
      <c r="L20" s="42">
        <f t="shared" ref="L20:L21" si="15">G20+J20</f>
        <v>2387.8200000000002</v>
      </c>
    </row>
    <row r="21" spans="1:13" ht="23.25" customHeight="1" x14ac:dyDescent="0.25">
      <c r="A21" s="46" t="s">
        <v>430</v>
      </c>
      <c r="B21" s="47" t="s">
        <v>588</v>
      </c>
      <c r="C21" s="48" t="s">
        <v>22</v>
      </c>
      <c r="D21" s="113">
        <v>0.5</v>
      </c>
      <c r="E21" s="70"/>
      <c r="F21" s="68"/>
      <c r="G21" s="68"/>
      <c r="H21" s="68">
        <v>4422.5</v>
      </c>
      <c r="I21" s="68">
        <f>ROUND(H21*D21,2)</f>
        <v>2211.25</v>
      </c>
      <c r="J21" s="68">
        <f>ROUND(I21*1.2,2)</f>
        <v>2653.5</v>
      </c>
      <c r="K21" s="70">
        <f t="shared" si="14"/>
        <v>2211.25</v>
      </c>
      <c r="L21" s="68">
        <f t="shared" si="15"/>
        <v>2653.5</v>
      </c>
    </row>
    <row r="22" spans="1:13" ht="27" customHeight="1" x14ac:dyDescent="0.25">
      <c r="A22" s="30">
        <f>A20+1</f>
        <v>11</v>
      </c>
      <c r="B22" s="99" t="s">
        <v>534</v>
      </c>
      <c r="C22" s="100" t="s">
        <v>22</v>
      </c>
      <c r="D22" s="151">
        <v>11.39</v>
      </c>
      <c r="E22" s="123">
        <v>1149.5</v>
      </c>
      <c r="F22" s="35">
        <f t="shared" ref="F22" si="16">ROUND(E22*D22,2)</f>
        <v>13092.81</v>
      </c>
      <c r="G22" s="35">
        <f t="shared" ref="G22" si="17">ROUND(F22*1.2,2)</f>
        <v>15711.37</v>
      </c>
      <c r="H22" s="67"/>
      <c r="I22" s="35"/>
      <c r="J22" s="35"/>
      <c r="K22" s="64">
        <f t="shared" ref="K22:L24" si="18">F22+I22</f>
        <v>13092.81</v>
      </c>
      <c r="L22" s="42">
        <f t="shared" si="18"/>
        <v>15711.37</v>
      </c>
      <c r="M22" s="71" t="s">
        <v>75</v>
      </c>
    </row>
    <row r="23" spans="1:13" ht="21" customHeight="1" x14ac:dyDescent="0.25">
      <c r="A23" s="46" t="s">
        <v>49</v>
      </c>
      <c r="B23" s="47" t="s">
        <v>532</v>
      </c>
      <c r="C23" s="48" t="s">
        <v>22</v>
      </c>
      <c r="D23" s="49">
        <f>D22*1.02</f>
        <v>11.617800000000001</v>
      </c>
      <c r="E23" s="70"/>
      <c r="F23" s="51"/>
      <c r="G23" s="51"/>
      <c r="H23" s="51">
        <v>783.75</v>
      </c>
      <c r="I23" s="51">
        <f>ROUND(H23*D23,2)</f>
        <v>9105.4500000000007</v>
      </c>
      <c r="J23" s="51">
        <f>ROUND(I23*1.2,2)</f>
        <v>10926.54</v>
      </c>
      <c r="K23" s="52">
        <f t="shared" si="18"/>
        <v>9105.4500000000007</v>
      </c>
      <c r="L23" s="51">
        <f t="shared" si="18"/>
        <v>10926.54</v>
      </c>
    </row>
    <row r="24" spans="1:13" ht="21" customHeight="1" x14ac:dyDescent="0.25">
      <c r="A24" s="38">
        <f>A22+1</f>
        <v>12</v>
      </c>
      <c r="B24" s="37" t="s">
        <v>569</v>
      </c>
      <c r="C24" s="38" t="s">
        <v>66</v>
      </c>
      <c r="D24" s="150">
        <v>3</v>
      </c>
      <c r="E24" s="34">
        <v>4704.3999999999996</v>
      </c>
      <c r="F24" s="42">
        <f t="shared" ref="F24" si="19">ROUND(E24*D24,2)</f>
        <v>14113.2</v>
      </c>
      <c r="G24" s="42">
        <f t="shared" ref="G24" si="20">ROUND(F24*1.2,2)</f>
        <v>16935.84</v>
      </c>
      <c r="H24" s="34"/>
      <c r="I24" s="42"/>
      <c r="J24" s="42"/>
      <c r="K24" s="64">
        <f t="shared" si="18"/>
        <v>14113.2</v>
      </c>
      <c r="L24" s="42">
        <f t="shared" si="18"/>
        <v>16935.84</v>
      </c>
    </row>
    <row r="25" spans="1:13" ht="21" customHeight="1" x14ac:dyDescent="0.25">
      <c r="A25" s="46" t="s">
        <v>52</v>
      </c>
      <c r="B25" s="47" t="s">
        <v>570</v>
      </c>
      <c r="C25" s="48" t="s">
        <v>66</v>
      </c>
      <c r="D25" s="72">
        <v>3</v>
      </c>
      <c r="E25" s="70"/>
      <c r="F25" s="68"/>
      <c r="G25" s="68"/>
      <c r="H25" s="68">
        <v>2870</v>
      </c>
      <c r="I25" s="68">
        <f>ROUND(H25*D25,2)</f>
        <v>8610</v>
      </c>
      <c r="J25" s="68">
        <f>ROUND(I25*1.2,2)</f>
        <v>10332</v>
      </c>
      <c r="K25" s="70">
        <f t="shared" ref="K25:L29" si="21">F25+I25</f>
        <v>8610</v>
      </c>
      <c r="L25" s="68">
        <f t="shared" ref="L25" si="22">G25+J25</f>
        <v>10332</v>
      </c>
    </row>
    <row r="26" spans="1:13" ht="18" customHeight="1" x14ac:dyDescent="0.25">
      <c r="A26" s="38">
        <f>A24+1</f>
        <v>13</v>
      </c>
      <c r="B26" s="73" t="s">
        <v>398</v>
      </c>
      <c r="C26" s="38" t="s">
        <v>66</v>
      </c>
      <c r="D26" s="158">
        <v>1</v>
      </c>
      <c r="E26" s="64">
        <v>1389.85</v>
      </c>
      <c r="F26" s="35">
        <f t="shared" ref="F26" si="23">ROUND(E26*D26,2)</f>
        <v>1389.85</v>
      </c>
      <c r="G26" s="35">
        <f t="shared" ref="G26" si="24">ROUND(F26*1.2,2)</f>
        <v>1667.82</v>
      </c>
      <c r="H26" s="64"/>
      <c r="I26" s="35"/>
      <c r="J26" s="35"/>
      <c r="K26" s="64">
        <f t="shared" si="21"/>
        <v>1389.85</v>
      </c>
      <c r="L26" s="42">
        <f t="shared" si="21"/>
        <v>1667.82</v>
      </c>
      <c r="M26" s="71"/>
    </row>
    <row r="27" spans="1:13" ht="18" customHeight="1" x14ac:dyDescent="0.25">
      <c r="A27" s="46" t="s">
        <v>162</v>
      </c>
      <c r="B27" s="78" t="s">
        <v>400</v>
      </c>
      <c r="C27" s="48" t="s">
        <v>66</v>
      </c>
      <c r="D27" s="79">
        <v>1</v>
      </c>
      <c r="E27" s="70"/>
      <c r="F27" s="51"/>
      <c r="G27" s="51"/>
      <c r="H27" s="70">
        <v>471.2</v>
      </c>
      <c r="I27" s="51">
        <f>ROUND(H27*D27,2)</f>
        <v>471.2</v>
      </c>
      <c r="J27" s="51">
        <f>ROUND(I27*1.2,2)</f>
        <v>565.44000000000005</v>
      </c>
      <c r="K27" s="52">
        <f t="shared" si="21"/>
        <v>471.2</v>
      </c>
      <c r="L27" s="51">
        <f t="shared" si="21"/>
        <v>565.44000000000005</v>
      </c>
      <c r="M27" s="71"/>
    </row>
    <row r="28" spans="1:13" ht="27.75" customHeight="1" x14ac:dyDescent="0.25">
      <c r="A28" s="38">
        <f>A26+1</f>
        <v>14</v>
      </c>
      <c r="B28" s="73" t="s">
        <v>394</v>
      </c>
      <c r="C28" s="38" t="s">
        <v>66</v>
      </c>
      <c r="D28" s="158">
        <v>1</v>
      </c>
      <c r="E28" s="64">
        <v>6546.68</v>
      </c>
      <c r="F28" s="35">
        <f t="shared" ref="F28" si="25">ROUND(E28*D28,2)</f>
        <v>6546.68</v>
      </c>
      <c r="G28" s="35">
        <f t="shared" ref="G28" si="26">ROUND(F28*1.2,2)</f>
        <v>7856.02</v>
      </c>
      <c r="H28" s="64"/>
      <c r="I28" s="35"/>
      <c r="J28" s="35"/>
      <c r="K28" s="64">
        <f t="shared" si="21"/>
        <v>6546.68</v>
      </c>
      <c r="L28" s="42">
        <f t="shared" si="21"/>
        <v>7856.02</v>
      </c>
      <c r="M28" s="71"/>
    </row>
    <row r="29" spans="1:13" ht="18" customHeight="1" x14ac:dyDescent="0.25">
      <c r="A29" s="46" t="s">
        <v>491</v>
      </c>
      <c r="B29" s="78" t="s">
        <v>396</v>
      </c>
      <c r="C29" s="48" t="s">
        <v>66</v>
      </c>
      <c r="D29" s="79">
        <v>1</v>
      </c>
      <c r="E29" s="70"/>
      <c r="F29" s="51"/>
      <c r="G29" s="51"/>
      <c r="H29" s="51">
        <v>1453.5</v>
      </c>
      <c r="I29" s="51">
        <f>ROUND(H29*D29,2)</f>
        <v>1453.5</v>
      </c>
      <c r="J29" s="51">
        <f>ROUND(I29*1.2,2)</f>
        <v>1744.2</v>
      </c>
      <c r="K29" s="52">
        <f t="shared" si="21"/>
        <v>1453.5</v>
      </c>
      <c r="L29" s="51">
        <f t="shared" si="21"/>
        <v>1744.2</v>
      </c>
      <c r="M29" s="71"/>
    </row>
    <row r="30" spans="1:13" s="95" customFormat="1" ht="24" customHeight="1" x14ac:dyDescent="0.3">
      <c r="A30" s="185" t="s">
        <v>148</v>
      </c>
      <c r="B30" s="186"/>
      <c r="C30" s="186"/>
      <c r="D30" s="186"/>
      <c r="E30" s="187"/>
      <c r="F30" s="118">
        <f>SUM(F7:F29)</f>
        <v>87775.82</v>
      </c>
      <c r="G30" s="118">
        <f>ROUND(F30*1.2,2)</f>
        <v>105330.98</v>
      </c>
      <c r="H30" s="122"/>
      <c r="I30" s="118">
        <f>SUM(I7:I29)</f>
        <v>42359.63</v>
      </c>
      <c r="J30" s="118">
        <f>ROUND(I30*1.2,2)</f>
        <v>50831.56</v>
      </c>
      <c r="K30" s="118">
        <f>SUM(K7:K29)</f>
        <v>130135.44999999998</v>
      </c>
      <c r="L30" s="118">
        <f>ROUND(K30*1.2,2)</f>
        <v>156162.54</v>
      </c>
      <c r="M30" s="94"/>
    </row>
    <row r="32" spans="1:13" x14ac:dyDescent="0.25">
      <c r="K32" s="96"/>
    </row>
  </sheetData>
  <mergeCells count="10">
    <mergeCell ref="B6:D6"/>
    <mergeCell ref="A30:E30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M50"/>
  <sheetViews>
    <sheetView view="pageBreakPreview" zoomScale="80" zoomScaleNormal="100" zoomScaleSheetLayoutView="80" workbookViewId="0">
      <selection activeCell="D46" activeCellId="1" sqref="A1:M5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190" t="s">
        <v>571</v>
      </c>
      <c r="C6" s="191"/>
      <c r="D6" s="191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427</v>
      </c>
      <c r="C8" s="5" t="s">
        <v>66</v>
      </c>
      <c r="D8" s="150">
        <v>31</v>
      </c>
      <c r="E8" s="40">
        <v>1055.02</v>
      </c>
      <c r="F8" s="33">
        <f t="shared" ref="F8:F11" si="0">ROUND(E8*D8,2)</f>
        <v>32705.62</v>
      </c>
      <c r="G8" s="33">
        <f t="shared" ref="G8:G11" si="1">ROUND(F8*1.2,2)</f>
        <v>39246.74</v>
      </c>
      <c r="H8" s="34"/>
      <c r="I8" s="35"/>
      <c r="J8" s="35"/>
      <c r="K8" s="32">
        <f t="shared" ref="K8:L11" si="2">F8+I8</f>
        <v>32705.62</v>
      </c>
      <c r="L8" s="33">
        <f t="shared" si="2"/>
        <v>39246.74</v>
      </c>
      <c r="M8" s="71" t="s">
        <v>25</v>
      </c>
    </row>
    <row r="9" spans="1:13" ht="22.5" customHeight="1" x14ac:dyDescent="0.25">
      <c r="A9" s="30">
        <f>A8+1</f>
        <v>2</v>
      </c>
      <c r="B9" s="37" t="s">
        <v>21</v>
      </c>
      <c r="C9" s="38" t="s">
        <v>22</v>
      </c>
      <c r="D9" s="151">
        <v>89.5</v>
      </c>
      <c r="E9" s="40">
        <v>1900</v>
      </c>
      <c r="F9" s="33">
        <f t="shared" si="0"/>
        <v>170050</v>
      </c>
      <c r="G9" s="33">
        <f t="shared" si="1"/>
        <v>204060</v>
      </c>
      <c r="H9" s="34"/>
      <c r="I9" s="35"/>
      <c r="J9" s="35"/>
      <c r="K9" s="32">
        <f t="shared" si="2"/>
        <v>170050</v>
      </c>
      <c r="L9" s="33">
        <f t="shared" si="2"/>
        <v>204060</v>
      </c>
      <c r="M9" s="41"/>
    </row>
    <row r="10" spans="1:13" ht="22.5" customHeight="1" x14ac:dyDescent="0.25">
      <c r="A10" s="30">
        <f>A9+1</f>
        <v>3</v>
      </c>
      <c r="B10" s="37" t="s">
        <v>23</v>
      </c>
      <c r="C10" s="100" t="s">
        <v>24</v>
      </c>
      <c r="D10" s="151">
        <v>29.75</v>
      </c>
      <c r="E10" s="42">
        <f>ROUND(65055.24/(297.03*0.05),2)</f>
        <v>4380.38</v>
      </c>
      <c r="F10" s="33">
        <f t="shared" si="0"/>
        <v>130316.31</v>
      </c>
      <c r="G10" s="33">
        <f t="shared" si="1"/>
        <v>156379.57</v>
      </c>
      <c r="H10" s="34"/>
      <c r="I10" s="35"/>
      <c r="J10" s="35"/>
      <c r="K10" s="32">
        <f t="shared" si="2"/>
        <v>130316.31</v>
      </c>
      <c r="L10" s="33">
        <f t="shared" si="2"/>
        <v>156379.57</v>
      </c>
      <c r="M10" s="21" t="s">
        <v>25</v>
      </c>
    </row>
    <row r="11" spans="1:13" ht="22.5" customHeight="1" x14ac:dyDescent="0.25">
      <c r="A11" s="30">
        <f t="shared" ref="A11" si="3">A10+1</f>
        <v>4</v>
      </c>
      <c r="B11" s="37" t="s">
        <v>26</v>
      </c>
      <c r="C11" s="100" t="s">
        <v>24</v>
      </c>
      <c r="D11" s="151">
        <v>46.99</v>
      </c>
      <c r="E11" s="64">
        <v>1440.5229999999999</v>
      </c>
      <c r="F11" s="33">
        <f t="shared" si="0"/>
        <v>67690.179999999993</v>
      </c>
      <c r="G11" s="33">
        <f t="shared" si="1"/>
        <v>81228.22</v>
      </c>
      <c r="H11" s="35"/>
      <c r="I11" s="35"/>
      <c r="J11" s="35"/>
      <c r="K11" s="32">
        <f t="shared" si="2"/>
        <v>67690.179999999993</v>
      </c>
      <c r="L11" s="35">
        <f t="shared" si="2"/>
        <v>81228.22</v>
      </c>
      <c r="M11" s="21" t="s">
        <v>25</v>
      </c>
    </row>
    <row r="12" spans="1:13" ht="20.25" customHeight="1" x14ac:dyDescent="0.25">
      <c r="A12" s="30"/>
      <c r="B12" s="111" t="s">
        <v>232</v>
      </c>
      <c r="C12" s="38"/>
      <c r="D12" s="151"/>
      <c r="E12" s="127"/>
      <c r="F12" s="35"/>
      <c r="G12" s="35"/>
      <c r="H12" s="35"/>
      <c r="I12" s="35"/>
      <c r="J12" s="35"/>
      <c r="K12" s="32"/>
      <c r="L12" s="35"/>
      <c r="M12" s="71"/>
    </row>
    <row r="13" spans="1:13" ht="24" customHeight="1" x14ac:dyDescent="0.25">
      <c r="A13" s="30">
        <f>A11+1</f>
        <v>5</v>
      </c>
      <c r="B13" s="73" t="s">
        <v>477</v>
      </c>
      <c r="C13" s="100" t="s">
        <v>38</v>
      </c>
      <c r="D13" s="151">
        <v>3.1</v>
      </c>
      <c r="E13" s="42">
        <v>544.86</v>
      </c>
      <c r="F13" s="33">
        <f t="shared" ref="F13:F14" si="4">ROUND(E13*D13,2)</f>
        <v>1689.07</v>
      </c>
      <c r="G13" s="33">
        <f t="shared" ref="G13:G14" si="5">ROUND(F13*1.2,2)</f>
        <v>2026.88</v>
      </c>
      <c r="H13" s="34"/>
      <c r="I13" s="35"/>
      <c r="J13" s="35"/>
      <c r="K13" s="32">
        <f t="shared" ref="K13:L14" si="6">F13+I13</f>
        <v>1689.07</v>
      </c>
      <c r="L13" s="35">
        <f t="shared" si="6"/>
        <v>2026.88</v>
      </c>
      <c r="M13" s="71" t="s">
        <v>158</v>
      </c>
    </row>
    <row r="14" spans="1:13" ht="24" customHeight="1" x14ac:dyDescent="0.25">
      <c r="A14" s="30">
        <f>A13+1</f>
        <v>6</v>
      </c>
      <c r="B14" s="73" t="s">
        <v>27</v>
      </c>
      <c r="C14" s="100" t="s">
        <v>38</v>
      </c>
      <c r="D14" s="151">
        <v>125.29</v>
      </c>
      <c r="E14" s="42">
        <v>544.86</v>
      </c>
      <c r="F14" s="33">
        <f t="shared" si="4"/>
        <v>68265.509999999995</v>
      </c>
      <c r="G14" s="33">
        <f t="shared" si="5"/>
        <v>81918.61</v>
      </c>
      <c r="H14" s="34"/>
      <c r="I14" s="35"/>
      <c r="J14" s="35"/>
      <c r="K14" s="32">
        <f t="shared" si="6"/>
        <v>68265.509999999995</v>
      </c>
      <c r="L14" s="35">
        <f t="shared" si="6"/>
        <v>81918.61</v>
      </c>
      <c r="M14" s="71" t="s">
        <v>28</v>
      </c>
    </row>
    <row r="15" spans="1:13" ht="20.25" customHeight="1" x14ac:dyDescent="0.25">
      <c r="A15" s="56"/>
      <c r="B15" s="43" t="s">
        <v>45</v>
      </c>
      <c r="C15" s="38"/>
      <c r="D15" s="150"/>
      <c r="E15" s="58"/>
      <c r="F15" s="59"/>
      <c r="G15" s="60"/>
      <c r="H15" s="61"/>
      <c r="I15" s="62"/>
      <c r="J15" s="62"/>
      <c r="K15" s="63"/>
      <c r="L15" s="62"/>
    </row>
    <row r="16" spans="1:13" ht="24" customHeight="1" x14ac:dyDescent="0.25">
      <c r="A16" s="30">
        <f>A14+1</f>
        <v>7</v>
      </c>
      <c r="B16" s="99" t="s">
        <v>46</v>
      </c>
      <c r="C16" s="100" t="s">
        <v>24</v>
      </c>
      <c r="D16" s="151">
        <v>129.4</v>
      </c>
      <c r="E16" s="64">
        <v>308.75</v>
      </c>
      <c r="F16" s="33">
        <f t="shared" ref="F16:F23" si="7">ROUND(E16*D16,2)</f>
        <v>39952.25</v>
      </c>
      <c r="G16" s="33">
        <f t="shared" ref="G16:G24" si="8">ROUND(F16*1.2,2)</f>
        <v>47942.7</v>
      </c>
      <c r="H16" s="61"/>
      <c r="I16" s="62"/>
      <c r="J16" s="62"/>
      <c r="K16" s="64">
        <f t="shared" ref="K16:L24" si="9">F16+I16</f>
        <v>39952.25</v>
      </c>
      <c r="L16" s="42">
        <f t="shared" si="9"/>
        <v>47942.7</v>
      </c>
    </row>
    <row r="17" spans="1:13" ht="24" customHeight="1" x14ac:dyDescent="0.25">
      <c r="A17" s="30">
        <f>A16+1</f>
        <v>8</v>
      </c>
      <c r="B17" s="137" t="s">
        <v>47</v>
      </c>
      <c r="C17" s="100" t="s">
        <v>24</v>
      </c>
      <c r="D17" s="151">
        <v>17.600000000000001</v>
      </c>
      <c r="E17" s="64">
        <v>1688.15</v>
      </c>
      <c r="F17" s="33">
        <f t="shared" si="7"/>
        <v>29711.439999999999</v>
      </c>
      <c r="G17" s="33">
        <f t="shared" si="8"/>
        <v>35653.730000000003</v>
      </c>
      <c r="H17" s="61"/>
      <c r="I17" s="62"/>
      <c r="J17" s="62"/>
      <c r="K17" s="64">
        <f t="shared" si="9"/>
        <v>29711.439999999999</v>
      </c>
      <c r="L17" s="42">
        <f t="shared" si="9"/>
        <v>35653.730000000003</v>
      </c>
      <c r="M17" s="21" t="s">
        <v>608</v>
      </c>
    </row>
    <row r="18" spans="1:13" ht="20.25" customHeight="1" x14ac:dyDescent="0.25">
      <c r="A18" s="30">
        <f>A16+1</f>
        <v>8</v>
      </c>
      <c r="B18" s="37" t="s">
        <v>499</v>
      </c>
      <c r="C18" s="38" t="s">
        <v>345</v>
      </c>
      <c r="D18" s="151">
        <v>4.12</v>
      </c>
      <c r="E18" s="64">
        <v>2057.89</v>
      </c>
      <c r="F18" s="42">
        <f>ROUND(E18*D18,2)</f>
        <v>8478.51</v>
      </c>
      <c r="G18" s="42">
        <f t="shared" si="8"/>
        <v>10174.209999999999</v>
      </c>
      <c r="H18" s="34"/>
      <c r="I18" s="42"/>
      <c r="J18" s="42"/>
      <c r="K18" s="64">
        <f t="shared" si="9"/>
        <v>8478.51</v>
      </c>
      <c r="L18" s="42">
        <f t="shared" si="9"/>
        <v>10174.209999999999</v>
      </c>
      <c r="M18" s="71"/>
    </row>
    <row r="19" spans="1:13" ht="20.25" customHeight="1" x14ac:dyDescent="0.25">
      <c r="A19" s="46" t="s">
        <v>44</v>
      </c>
      <c r="B19" s="47" t="s">
        <v>50</v>
      </c>
      <c r="C19" s="48" t="s">
        <v>24</v>
      </c>
      <c r="D19" s="49">
        <f>D18*1.1</f>
        <v>4.5320000000000009</v>
      </c>
      <c r="E19" s="70"/>
      <c r="F19" s="68"/>
      <c r="G19" s="68"/>
      <c r="H19" s="51">
        <v>1191.3</v>
      </c>
      <c r="I19" s="51">
        <f>ROUND(H19*D19,2)</f>
        <v>5398.97</v>
      </c>
      <c r="J19" s="51">
        <f>ROUND(I19*1.2,2)</f>
        <v>6478.76</v>
      </c>
      <c r="K19" s="52">
        <f t="shared" si="9"/>
        <v>5398.97</v>
      </c>
      <c r="L19" s="51">
        <f t="shared" si="9"/>
        <v>6478.76</v>
      </c>
      <c r="M19" s="69"/>
    </row>
    <row r="20" spans="1:13" ht="24" customHeight="1" x14ac:dyDescent="0.25">
      <c r="A20" s="30">
        <f>A17+1</f>
        <v>9</v>
      </c>
      <c r="B20" s="73" t="s">
        <v>351</v>
      </c>
      <c r="C20" s="100" t="s">
        <v>24</v>
      </c>
      <c r="D20" s="151">
        <v>74.91</v>
      </c>
      <c r="E20" s="64">
        <v>1310.05</v>
      </c>
      <c r="F20" s="33">
        <f t="shared" si="7"/>
        <v>98135.85</v>
      </c>
      <c r="G20" s="33">
        <f t="shared" si="8"/>
        <v>117763.02</v>
      </c>
      <c r="H20" s="35"/>
      <c r="I20" s="35"/>
      <c r="J20" s="35"/>
      <c r="K20" s="32">
        <f t="shared" si="9"/>
        <v>98135.85</v>
      </c>
      <c r="L20" s="35">
        <f t="shared" si="9"/>
        <v>117763.02</v>
      </c>
    </row>
    <row r="21" spans="1:13" ht="20.25" customHeight="1" x14ac:dyDescent="0.25">
      <c r="A21" s="46" t="s">
        <v>490</v>
      </c>
      <c r="B21" s="47" t="s">
        <v>50</v>
      </c>
      <c r="C21" s="48" t="s">
        <v>24</v>
      </c>
      <c r="D21" s="49">
        <f>D20*1.1</f>
        <v>82.400999999999996</v>
      </c>
      <c r="E21" s="70"/>
      <c r="F21" s="51"/>
      <c r="G21" s="51"/>
      <c r="H21" s="51">
        <v>1191.3</v>
      </c>
      <c r="I21" s="51">
        <f>ROUND(H21*D21,2)</f>
        <v>98164.31</v>
      </c>
      <c r="J21" s="51">
        <f>ROUND(I21*1.2,2)</f>
        <v>117797.17</v>
      </c>
      <c r="K21" s="52">
        <f t="shared" si="9"/>
        <v>98164.31</v>
      </c>
      <c r="L21" s="51">
        <f t="shared" si="9"/>
        <v>117797.17</v>
      </c>
    </row>
    <row r="22" spans="1:13" s="66" customFormat="1" ht="22.5" customHeight="1" x14ac:dyDescent="0.25">
      <c r="A22" s="38">
        <f>A20+1</f>
        <v>10</v>
      </c>
      <c r="B22" s="99" t="s">
        <v>153</v>
      </c>
      <c r="C22" s="100" t="s">
        <v>24</v>
      </c>
      <c r="D22" s="151">
        <v>138.07</v>
      </c>
      <c r="E22" s="64">
        <v>118.75</v>
      </c>
      <c r="F22" s="33">
        <f t="shared" si="7"/>
        <v>16395.810000000001</v>
      </c>
      <c r="G22" s="33">
        <f t="shared" si="8"/>
        <v>19674.97</v>
      </c>
      <c r="H22" s="61"/>
      <c r="I22" s="62"/>
      <c r="J22" s="62"/>
      <c r="K22" s="64">
        <f t="shared" si="9"/>
        <v>16395.810000000001</v>
      </c>
      <c r="L22" s="42">
        <f t="shared" si="9"/>
        <v>19674.97</v>
      </c>
      <c r="M22" s="65"/>
    </row>
    <row r="23" spans="1:13" ht="22.5" customHeight="1" x14ac:dyDescent="0.25">
      <c r="A23" s="30">
        <f>A22+1</f>
        <v>11</v>
      </c>
      <c r="B23" s="99" t="s">
        <v>53</v>
      </c>
      <c r="C23" s="100" t="s">
        <v>24</v>
      </c>
      <c r="D23" s="151">
        <v>138.07</v>
      </c>
      <c r="E23" s="64">
        <v>188.1</v>
      </c>
      <c r="F23" s="33">
        <f t="shared" si="7"/>
        <v>25970.97</v>
      </c>
      <c r="G23" s="33">
        <f t="shared" si="8"/>
        <v>31165.16</v>
      </c>
      <c r="H23" s="64"/>
      <c r="I23" s="35"/>
      <c r="J23" s="35"/>
      <c r="K23" s="64">
        <f t="shared" si="9"/>
        <v>25970.97</v>
      </c>
      <c r="L23" s="42">
        <f t="shared" si="9"/>
        <v>31165.16</v>
      </c>
    </row>
    <row r="24" spans="1:13" ht="18.75" customHeight="1" x14ac:dyDescent="0.25">
      <c r="A24" s="30">
        <f>A23+1</f>
        <v>12</v>
      </c>
      <c r="B24" s="37" t="s">
        <v>54</v>
      </c>
      <c r="C24" s="38" t="s">
        <v>38</v>
      </c>
      <c r="D24" s="151">
        <v>16.97</v>
      </c>
      <c r="E24" s="64">
        <v>308.75</v>
      </c>
      <c r="F24" s="35">
        <f>ROUND(E24*D24,2)</f>
        <v>5239.49</v>
      </c>
      <c r="G24" s="35">
        <f t="shared" si="8"/>
        <v>6287.39</v>
      </c>
      <c r="H24" s="64"/>
      <c r="I24" s="35"/>
      <c r="J24" s="35"/>
      <c r="K24" s="64">
        <f t="shared" si="9"/>
        <v>5239.49</v>
      </c>
      <c r="L24" s="42">
        <f t="shared" si="9"/>
        <v>6287.39</v>
      </c>
    </row>
    <row r="25" spans="1:13" ht="18" customHeight="1" x14ac:dyDescent="0.25">
      <c r="A25" s="46"/>
      <c r="B25" s="43" t="s">
        <v>55</v>
      </c>
      <c r="C25" s="38"/>
      <c r="D25" s="150"/>
      <c r="E25" s="58"/>
      <c r="F25" s="59"/>
      <c r="G25" s="60"/>
      <c r="H25" s="67"/>
      <c r="I25" s="35"/>
      <c r="J25" s="35"/>
      <c r="K25" s="32"/>
      <c r="L25" s="35"/>
    </row>
    <row r="26" spans="1:13" ht="37.5" customHeight="1" x14ac:dyDescent="0.25">
      <c r="A26" s="30">
        <f>A24+1</f>
        <v>13</v>
      </c>
      <c r="B26" s="99" t="s">
        <v>168</v>
      </c>
      <c r="C26" s="100" t="s">
        <v>22</v>
      </c>
      <c r="D26" s="151">
        <v>19.64</v>
      </c>
      <c r="E26" s="123">
        <v>5050.3900000000003</v>
      </c>
      <c r="F26" s="35">
        <f t="shared" ref="F26" si="10">ROUND(E26*D26,2)</f>
        <v>99189.66</v>
      </c>
      <c r="G26" s="35">
        <f t="shared" ref="G26" si="11">ROUND(F26*1.2,2)</f>
        <v>119027.59</v>
      </c>
      <c r="H26" s="67"/>
      <c r="I26" s="35"/>
      <c r="J26" s="35"/>
      <c r="K26" s="64">
        <f t="shared" ref="K26:L41" si="12">F26+I26</f>
        <v>99189.66</v>
      </c>
      <c r="L26" s="42">
        <f t="shared" si="12"/>
        <v>119027.59</v>
      </c>
    </row>
    <row r="27" spans="1:13" ht="30.75" customHeight="1" x14ac:dyDescent="0.25">
      <c r="A27" s="46" t="s">
        <v>162</v>
      </c>
      <c r="B27" s="47" t="s">
        <v>431</v>
      </c>
      <c r="C27" s="48" t="s">
        <v>22</v>
      </c>
      <c r="D27" s="49">
        <f>D26*1.02</f>
        <v>20.032800000000002</v>
      </c>
      <c r="E27" s="70"/>
      <c r="F27" s="68"/>
      <c r="G27" s="68"/>
      <c r="H27" s="68">
        <v>13103.35</v>
      </c>
      <c r="I27" s="68">
        <f>ROUND(H27*D27,2)</f>
        <v>262496.78999999998</v>
      </c>
      <c r="J27" s="68">
        <f>ROUND(I27*1.2,2)</f>
        <v>314996.15000000002</v>
      </c>
      <c r="K27" s="70">
        <f t="shared" si="12"/>
        <v>262496.78999999998</v>
      </c>
      <c r="L27" s="68">
        <f t="shared" si="12"/>
        <v>314996.15000000002</v>
      </c>
    </row>
    <row r="28" spans="1:13" ht="36.75" customHeight="1" x14ac:dyDescent="0.25">
      <c r="A28" s="30">
        <f>A26+1</f>
        <v>14</v>
      </c>
      <c r="B28" s="99" t="s">
        <v>170</v>
      </c>
      <c r="C28" s="100" t="s">
        <v>22</v>
      </c>
      <c r="D28" s="151">
        <v>19.64</v>
      </c>
      <c r="E28" s="123">
        <f>ROUND(1572.68*1.33,2)</f>
        <v>2091.66</v>
      </c>
      <c r="F28" s="35">
        <f t="shared" ref="F28" si="13">ROUND(E28*D28,2)</f>
        <v>41080.199999999997</v>
      </c>
      <c r="G28" s="35">
        <f t="shared" ref="G28" si="14">ROUND(F28*1.2,2)</f>
        <v>49296.24</v>
      </c>
      <c r="H28" s="67"/>
      <c r="I28" s="35"/>
      <c r="J28" s="35"/>
      <c r="K28" s="64">
        <f t="shared" si="12"/>
        <v>41080.199999999997</v>
      </c>
      <c r="L28" s="42">
        <f t="shared" si="12"/>
        <v>49296.24</v>
      </c>
      <c r="M28" s="71" t="s">
        <v>75</v>
      </c>
    </row>
    <row r="29" spans="1:13" ht="21" customHeight="1" x14ac:dyDescent="0.25">
      <c r="A29" s="46" t="s">
        <v>491</v>
      </c>
      <c r="B29" s="47" t="s">
        <v>171</v>
      </c>
      <c r="C29" s="48" t="s">
        <v>22</v>
      </c>
      <c r="D29" s="49">
        <f>D28*1.02</f>
        <v>20.032800000000002</v>
      </c>
      <c r="E29" s="70"/>
      <c r="F29" s="51"/>
      <c r="G29" s="51"/>
      <c r="H29" s="51">
        <v>3479.85</v>
      </c>
      <c r="I29" s="51">
        <f>ROUND(H29*D29,2)</f>
        <v>69711.14</v>
      </c>
      <c r="J29" s="51">
        <f>ROUND(I29*1.2,2)</f>
        <v>83653.37</v>
      </c>
      <c r="K29" s="52">
        <f t="shared" si="12"/>
        <v>69711.14</v>
      </c>
      <c r="L29" s="51">
        <f t="shared" si="12"/>
        <v>83653.37</v>
      </c>
    </row>
    <row r="30" spans="1:13" ht="24.75" customHeight="1" x14ac:dyDescent="0.25">
      <c r="A30" s="46" t="s">
        <v>492</v>
      </c>
      <c r="B30" s="47" t="s">
        <v>173</v>
      </c>
      <c r="C30" s="48" t="s">
        <v>66</v>
      </c>
      <c r="D30" s="72">
        <v>9</v>
      </c>
      <c r="E30" s="70"/>
      <c r="F30" s="51"/>
      <c r="G30" s="51"/>
      <c r="H30" s="51">
        <v>917.7</v>
      </c>
      <c r="I30" s="51">
        <f>ROUND(H30*D30,2)</f>
        <v>8259.2999999999993</v>
      </c>
      <c r="J30" s="51">
        <f>ROUND(I30*1.2,2)</f>
        <v>9911.16</v>
      </c>
      <c r="K30" s="52">
        <f t="shared" si="12"/>
        <v>8259.2999999999993</v>
      </c>
      <c r="L30" s="51">
        <f t="shared" si="12"/>
        <v>9911.16</v>
      </c>
    </row>
    <row r="31" spans="1:13" ht="45" x14ac:dyDescent="0.25">
      <c r="A31" s="30">
        <f>A28+1</f>
        <v>15</v>
      </c>
      <c r="B31" s="37" t="s">
        <v>432</v>
      </c>
      <c r="C31" s="38" t="s">
        <v>66</v>
      </c>
      <c r="D31" s="150">
        <v>3</v>
      </c>
      <c r="E31" s="64">
        <v>4670.4399999999996</v>
      </c>
      <c r="F31" s="35">
        <f t="shared" ref="F31" si="15">ROUND(E31*D31,2)</f>
        <v>14011.32</v>
      </c>
      <c r="G31" s="35">
        <f t="shared" ref="G31" si="16">ROUND(F31*1.2,2)</f>
        <v>16813.580000000002</v>
      </c>
      <c r="H31" s="67"/>
      <c r="I31" s="35"/>
      <c r="J31" s="35"/>
      <c r="K31" s="64">
        <f t="shared" ref="K31:K33" si="17">F31+I31</f>
        <v>14011.32</v>
      </c>
      <c r="L31" s="42">
        <f t="shared" ref="L31:L33" si="18">G31+J31</f>
        <v>16813.580000000002</v>
      </c>
    </row>
    <row r="32" spans="1:13" ht="30" x14ac:dyDescent="0.25">
      <c r="A32" s="46" t="s">
        <v>57</v>
      </c>
      <c r="B32" s="47" t="s">
        <v>433</v>
      </c>
      <c r="C32" s="48" t="s">
        <v>66</v>
      </c>
      <c r="D32" s="72">
        <v>3</v>
      </c>
      <c r="E32" s="70"/>
      <c r="F32" s="51"/>
      <c r="G32" s="51"/>
      <c r="H32" s="51">
        <v>3239.5</v>
      </c>
      <c r="I32" s="51">
        <f>ROUND(H32*D32,2)</f>
        <v>9718.5</v>
      </c>
      <c r="J32" s="51">
        <f>ROUND(I32*1.2,2)</f>
        <v>11662.2</v>
      </c>
      <c r="K32" s="52">
        <f t="shared" si="17"/>
        <v>9718.5</v>
      </c>
      <c r="L32" s="51">
        <f t="shared" si="18"/>
        <v>11662.2</v>
      </c>
    </row>
    <row r="33" spans="1:13" ht="18" customHeight="1" x14ac:dyDescent="0.25">
      <c r="A33" s="38">
        <f>A31+1</f>
        <v>16</v>
      </c>
      <c r="B33" s="130" t="s">
        <v>573</v>
      </c>
      <c r="C33" s="38" t="s">
        <v>66</v>
      </c>
      <c r="D33" s="150">
        <v>1</v>
      </c>
      <c r="E33" s="132">
        <v>4628.22</v>
      </c>
      <c r="F33" s="42">
        <f t="shared" ref="F33" si="19">ROUND(E33*D33,2)</f>
        <v>4628.22</v>
      </c>
      <c r="G33" s="42">
        <f t="shared" ref="G33" si="20">ROUND(F33*1.2,2)</f>
        <v>5553.86</v>
      </c>
      <c r="H33" s="34"/>
      <c r="I33" s="42"/>
      <c r="J33" s="42"/>
      <c r="K33" s="64">
        <f t="shared" si="17"/>
        <v>4628.22</v>
      </c>
      <c r="L33" s="42">
        <f t="shared" si="18"/>
        <v>5553.86</v>
      </c>
    </row>
    <row r="34" spans="1:13" ht="18" customHeight="1" x14ac:dyDescent="0.25">
      <c r="A34" s="38">
        <f>A33+1</f>
        <v>17</v>
      </c>
      <c r="B34" s="130" t="s">
        <v>574</v>
      </c>
      <c r="C34" s="38" t="s">
        <v>66</v>
      </c>
      <c r="D34" s="150">
        <v>1</v>
      </c>
      <c r="E34" s="132">
        <f>1989.85*1.3</f>
        <v>2586.8049999999998</v>
      </c>
      <c r="F34" s="42">
        <f t="shared" ref="F34" si="21">ROUND(E34*D34,2)</f>
        <v>2586.81</v>
      </c>
      <c r="G34" s="42">
        <f t="shared" ref="G34" si="22">ROUND(F34*1.2,2)</f>
        <v>3104.17</v>
      </c>
      <c r="H34" s="34"/>
      <c r="I34" s="42"/>
      <c r="J34" s="42"/>
      <c r="K34" s="64">
        <f t="shared" ref="K34:K35" si="23">F34+I34</f>
        <v>2586.81</v>
      </c>
      <c r="L34" s="42">
        <f t="shared" ref="L34:L35" si="24">G34+J34</f>
        <v>3104.17</v>
      </c>
      <c r="M34" s="21" t="s">
        <v>596</v>
      </c>
    </row>
    <row r="35" spans="1:13" ht="28.5" customHeight="1" x14ac:dyDescent="0.25">
      <c r="A35" s="46" t="s">
        <v>63</v>
      </c>
      <c r="B35" s="47" t="s">
        <v>431</v>
      </c>
      <c r="C35" s="48" t="s">
        <v>22</v>
      </c>
      <c r="D35" s="49">
        <v>0.3</v>
      </c>
      <c r="E35" s="70"/>
      <c r="F35" s="51"/>
      <c r="G35" s="51"/>
      <c r="H35" s="68">
        <v>13103.35</v>
      </c>
      <c r="I35" s="51">
        <f>ROUND(H35*D35,2)</f>
        <v>3931.01</v>
      </c>
      <c r="J35" s="51">
        <f>ROUND(I35*1.2,2)</f>
        <v>4717.21</v>
      </c>
      <c r="K35" s="52">
        <f t="shared" si="23"/>
        <v>3931.01</v>
      </c>
      <c r="L35" s="51">
        <f t="shared" si="24"/>
        <v>4717.21</v>
      </c>
    </row>
    <row r="36" spans="1:13" ht="28.5" customHeight="1" x14ac:dyDescent="0.25">
      <c r="A36" s="30">
        <f>A34+1</f>
        <v>18</v>
      </c>
      <c r="B36" s="99" t="s">
        <v>478</v>
      </c>
      <c r="C36" s="100" t="s">
        <v>22</v>
      </c>
      <c r="D36" s="151">
        <v>49</v>
      </c>
      <c r="E36" s="123">
        <v>1149.5</v>
      </c>
      <c r="F36" s="35">
        <f t="shared" ref="F36" si="25">ROUND(E36*D36,2)</f>
        <v>56325.5</v>
      </c>
      <c r="G36" s="35">
        <f t="shared" ref="G36" si="26">ROUND(F36*1.2,2)</f>
        <v>67590.600000000006</v>
      </c>
      <c r="H36" s="67"/>
      <c r="I36" s="35"/>
      <c r="J36" s="35"/>
      <c r="K36" s="64">
        <f t="shared" si="12"/>
        <v>56325.5</v>
      </c>
      <c r="L36" s="42">
        <f t="shared" si="12"/>
        <v>67590.600000000006</v>
      </c>
      <c r="M36" s="71" t="s">
        <v>75</v>
      </c>
    </row>
    <row r="37" spans="1:13" ht="21" customHeight="1" x14ac:dyDescent="0.25">
      <c r="A37" s="46" t="s">
        <v>68</v>
      </c>
      <c r="B37" s="47" t="s">
        <v>171</v>
      </c>
      <c r="C37" s="48" t="s">
        <v>22</v>
      </c>
      <c r="D37" s="49">
        <f>D36*1.02</f>
        <v>49.980000000000004</v>
      </c>
      <c r="E37" s="70"/>
      <c r="F37" s="51"/>
      <c r="G37" s="51"/>
      <c r="H37" s="51">
        <v>3479.85</v>
      </c>
      <c r="I37" s="51">
        <f>ROUND(H37*D37,2)</f>
        <v>173922.9</v>
      </c>
      <c r="J37" s="51">
        <f>ROUND(I37*1.2,2)</f>
        <v>208707.48</v>
      </c>
      <c r="K37" s="52">
        <f t="shared" si="12"/>
        <v>173922.9</v>
      </c>
      <c r="L37" s="51">
        <f t="shared" si="12"/>
        <v>208707.48</v>
      </c>
    </row>
    <row r="38" spans="1:13" ht="21" customHeight="1" x14ac:dyDescent="0.25">
      <c r="A38" s="38">
        <f>A36+1</f>
        <v>19</v>
      </c>
      <c r="B38" s="73" t="s">
        <v>305</v>
      </c>
      <c r="C38" s="38" t="s">
        <v>66</v>
      </c>
      <c r="D38" s="158">
        <v>1</v>
      </c>
      <c r="E38" s="64">
        <v>6039.48</v>
      </c>
      <c r="F38" s="35">
        <f t="shared" ref="F38" si="27">ROUND(E38*D38,2)</f>
        <v>6039.48</v>
      </c>
      <c r="G38" s="35">
        <f t="shared" ref="G38" si="28">ROUND(F38*1.2,2)</f>
        <v>7247.38</v>
      </c>
      <c r="H38" s="64"/>
      <c r="I38" s="35"/>
      <c r="J38" s="35"/>
      <c r="K38" s="64">
        <f t="shared" si="12"/>
        <v>6039.48</v>
      </c>
      <c r="L38" s="42">
        <f t="shared" si="12"/>
        <v>7247.38</v>
      </c>
      <c r="M38" s="71"/>
    </row>
    <row r="39" spans="1:13" ht="21" customHeight="1" x14ac:dyDescent="0.25">
      <c r="A39" s="46" t="s">
        <v>71</v>
      </c>
      <c r="B39" s="78" t="s">
        <v>393</v>
      </c>
      <c r="C39" s="48" t="s">
        <v>66</v>
      </c>
      <c r="D39" s="79">
        <v>1</v>
      </c>
      <c r="E39" s="70"/>
      <c r="F39" s="51"/>
      <c r="G39" s="51"/>
      <c r="H39" s="51">
        <v>2638.15</v>
      </c>
      <c r="I39" s="51">
        <f>ROUND(H39*D39,2)</f>
        <v>2638.15</v>
      </c>
      <c r="J39" s="51">
        <f>ROUND(I39*1.2,2)</f>
        <v>3165.78</v>
      </c>
      <c r="K39" s="52">
        <f t="shared" si="12"/>
        <v>2638.15</v>
      </c>
      <c r="L39" s="51">
        <f t="shared" si="12"/>
        <v>3165.78</v>
      </c>
      <c r="M39" s="71"/>
    </row>
    <row r="40" spans="1:13" ht="36.75" customHeight="1" x14ac:dyDescent="0.25">
      <c r="A40" s="38">
        <f>A38+1</f>
        <v>20</v>
      </c>
      <c r="B40" s="73" t="s">
        <v>387</v>
      </c>
      <c r="C40" s="38" t="s">
        <v>66</v>
      </c>
      <c r="D40" s="158">
        <v>1</v>
      </c>
      <c r="E40" s="64">
        <v>6546.68</v>
      </c>
      <c r="F40" s="35">
        <f t="shared" ref="F40" si="29">ROUND(E40*D40,2)</f>
        <v>6546.68</v>
      </c>
      <c r="G40" s="35">
        <f t="shared" ref="G40" si="30">ROUND(F40*1.2,2)</f>
        <v>7856.02</v>
      </c>
      <c r="H40" s="64"/>
      <c r="I40" s="35"/>
      <c r="J40" s="35"/>
      <c r="K40" s="64">
        <f t="shared" si="12"/>
        <v>6546.68</v>
      </c>
      <c r="L40" s="42">
        <f t="shared" si="12"/>
        <v>7856.02</v>
      </c>
      <c r="M40" s="71"/>
    </row>
    <row r="41" spans="1:13" ht="18" customHeight="1" x14ac:dyDescent="0.25">
      <c r="A41" s="46" t="s">
        <v>76</v>
      </c>
      <c r="B41" s="78" t="s">
        <v>195</v>
      </c>
      <c r="C41" s="48" t="s">
        <v>66</v>
      </c>
      <c r="D41" s="79">
        <v>1</v>
      </c>
      <c r="E41" s="70"/>
      <c r="F41" s="51"/>
      <c r="G41" s="51"/>
      <c r="H41" s="70">
        <v>5092</v>
      </c>
      <c r="I41" s="51">
        <f>ROUND(H41*D41,2)</f>
        <v>5092</v>
      </c>
      <c r="J41" s="51">
        <f>ROUND(I41*1.2,2)</f>
        <v>6110.4</v>
      </c>
      <c r="K41" s="52">
        <f t="shared" si="12"/>
        <v>5092</v>
      </c>
      <c r="L41" s="51">
        <f t="shared" si="12"/>
        <v>6110.4</v>
      </c>
      <c r="M41" s="71" t="s">
        <v>413</v>
      </c>
    </row>
    <row r="42" spans="1:13" ht="23.25" customHeight="1" x14ac:dyDescent="0.25">
      <c r="A42" s="38">
        <f>A40+1</f>
        <v>21</v>
      </c>
      <c r="B42" s="73" t="s">
        <v>575</v>
      </c>
      <c r="C42" s="38" t="s">
        <v>66</v>
      </c>
      <c r="D42" s="158">
        <v>3</v>
      </c>
      <c r="E42" s="64">
        <v>1449.7</v>
      </c>
      <c r="F42" s="35">
        <f t="shared" ref="F42" si="31">ROUND(E42*D42,2)</f>
        <v>4349.1000000000004</v>
      </c>
      <c r="G42" s="35">
        <f t="shared" ref="G42" si="32">ROUND(F42*1.2,2)</f>
        <v>5218.92</v>
      </c>
      <c r="H42" s="64"/>
      <c r="I42" s="35"/>
      <c r="J42" s="35"/>
      <c r="K42" s="64">
        <f t="shared" ref="K42:K43" si="33">F42+I42</f>
        <v>4349.1000000000004</v>
      </c>
      <c r="L42" s="42">
        <f t="shared" ref="L42:L43" si="34">G42+J42</f>
        <v>5218.92</v>
      </c>
      <c r="M42" s="71" t="s">
        <v>581</v>
      </c>
    </row>
    <row r="43" spans="1:13" ht="18" customHeight="1" x14ac:dyDescent="0.25">
      <c r="A43" s="46" t="s">
        <v>78</v>
      </c>
      <c r="B43" s="78" t="s">
        <v>576</v>
      </c>
      <c r="C43" s="48" t="s">
        <v>66</v>
      </c>
      <c r="D43" s="79">
        <v>3</v>
      </c>
      <c r="E43" s="70"/>
      <c r="F43" s="51"/>
      <c r="G43" s="51"/>
      <c r="H43" s="70">
        <v>4788</v>
      </c>
      <c r="I43" s="51">
        <f>ROUND(H43*D43,2)</f>
        <v>14364</v>
      </c>
      <c r="J43" s="51">
        <f>ROUND(I43*1.2,2)</f>
        <v>17236.8</v>
      </c>
      <c r="K43" s="52">
        <f t="shared" si="33"/>
        <v>14364</v>
      </c>
      <c r="L43" s="51">
        <f t="shared" si="34"/>
        <v>17236.8</v>
      </c>
      <c r="M43" s="71" t="s">
        <v>581</v>
      </c>
    </row>
    <row r="44" spans="1:13" ht="23.25" customHeight="1" x14ac:dyDescent="0.25">
      <c r="A44" s="38">
        <f>A42+1</f>
        <v>22</v>
      </c>
      <c r="B44" s="73" t="s">
        <v>577</v>
      </c>
      <c r="C44" s="38" t="s">
        <v>66</v>
      </c>
      <c r="D44" s="158">
        <v>1</v>
      </c>
      <c r="E44" s="64">
        <v>1449.7</v>
      </c>
      <c r="F44" s="35">
        <f t="shared" ref="F44" si="35">ROUND(E44*D44,2)</f>
        <v>1449.7</v>
      </c>
      <c r="G44" s="35">
        <f t="shared" ref="G44" si="36">ROUND(F44*1.2,2)</f>
        <v>1739.64</v>
      </c>
      <c r="H44" s="64"/>
      <c r="I44" s="35"/>
      <c r="J44" s="35"/>
      <c r="K44" s="64">
        <f t="shared" ref="K44:K45" si="37">F44+I44</f>
        <v>1449.7</v>
      </c>
      <c r="L44" s="42">
        <f t="shared" ref="L44:L45" si="38">G44+J44</f>
        <v>1739.64</v>
      </c>
      <c r="M44" s="71"/>
    </row>
    <row r="45" spans="1:13" ht="18" customHeight="1" x14ac:dyDescent="0.25">
      <c r="A45" s="46" t="s">
        <v>82</v>
      </c>
      <c r="B45" s="78" t="s">
        <v>578</v>
      </c>
      <c r="C45" s="48" t="s">
        <v>66</v>
      </c>
      <c r="D45" s="79">
        <v>1</v>
      </c>
      <c r="E45" s="70"/>
      <c r="F45" s="51"/>
      <c r="G45" s="51"/>
      <c r="H45" s="70">
        <v>3815</v>
      </c>
      <c r="I45" s="51">
        <f>ROUND(H45*D45,2)</f>
        <v>3815</v>
      </c>
      <c r="J45" s="51">
        <f>ROUND(I45*1.2,2)</f>
        <v>4578</v>
      </c>
      <c r="K45" s="52">
        <f t="shared" si="37"/>
        <v>3815</v>
      </c>
      <c r="L45" s="51">
        <f t="shared" si="38"/>
        <v>4578</v>
      </c>
      <c r="M45" s="71"/>
    </row>
    <row r="46" spans="1:13" ht="23.25" customHeight="1" x14ac:dyDescent="0.25">
      <c r="A46" s="38">
        <f>A44+1</f>
        <v>23</v>
      </c>
      <c r="B46" s="73" t="s">
        <v>579</v>
      </c>
      <c r="C46" s="38" t="s">
        <v>66</v>
      </c>
      <c r="D46" s="158">
        <v>2</v>
      </c>
      <c r="E46" s="64">
        <v>1449.7</v>
      </c>
      <c r="F46" s="35">
        <f t="shared" ref="F46" si="39">ROUND(E46*D46,2)</f>
        <v>2899.4</v>
      </c>
      <c r="G46" s="35">
        <f t="shared" ref="G46" si="40">ROUND(F46*1.2,2)</f>
        <v>3479.28</v>
      </c>
      <c r="H46" s="64"/>
      <c r="I46" s="35"/>
      <c r="J46" s="35"/>
      <c r="K46" s="64">
        <f t="shared" ref="K46:K47" si="41">F46+I46</f>
        <v>2899.4</v>
      </c>
      <c r="L46" s="42">
        <f t="shared" ref="L46:L47" si="42">G46+J46</f>
        <v>3479.28</v>
      </c>
      <c r="M46" s="71"/>
    </row>
    <row r="47" spans="1:13" ht="18" customHeight="1" x14ac:dyDescent="0.25">
      <c r="A47" s="46" t="s">
        <v>85</v>
      </c>
      <c r="B47" s="78" t="s">
        <v>580</v>
      </c>
      <c r="C47" s="48" t="s">
        <v>66</v>
      </c>
      <c r="D47" s="79">
        <v>2</v>
      </c>
      <c r="E47" s="70"/>
      <c r="F47" s="51"/>
      <c r="G47" s="51"/>
      <c r="H47" s="51">
        <v>3815</v>
      </c>
      <c r="I47" s="51">
        <f>ROUND(H47*D47,2)</f>
        <v>7630</v>
      </c>
      <c r="J47" s="51">
        <f>ROUND(I47*1.2,2)</f>
        <v>9156</v>
      </c>
      <c r="K47" s="52">
        <f t="shared" si="41"/>
        <v>7630</v>
      </c>
      <c r="L47" s="51">
        <f t="shared" si="42"/>
        <v>9156</v>
      </c>
      <c r="M47" s="71"/>
    </row>
    <row r="48" spans="1:13" s="95" customFormat="1" ht="24" customHeight="1" x14ac:dyDescent="0.3">
      <c r="A48" s="185" t="s">
        <v>148</v>
      </c>
      <c r="B48" s="186"/>
      <c r="C48" s="186"/>
      <c r="D48" s="186"/>
      <c r="E48" s="187"/>
      <c r="F48" s="118">
        <f>SUM(F7:F47)</f>
        <v>933707.08</v>
      </c>
      <c r="G48" s="118">
        <f>ROUND(F48*1.2,2)</f>
        <v>1120448.5</v>
      </c>
      <c r="H48" s="122"/>
      <c r="I48" s="118">
        <f>SUM(I7:I47)</f>
        <v>665142.06999999995</v>
      </c>
      <c r="J48" s="118">
        <f>ROUND(I48*1.2,2)</f>
        <v>798170.48</v>
      </c>
      <c r="K48" s="118">
        <f>SUM(K7:K47)</f>
        <v>1598849.1499999997</v>
      </c>
      <c r="L48" s="118">
        <f>ROUND(K48*1.2,2)</f>
        <v>1918618.98</v>
      </c>
      <c r="M48" s="94"/>
    </row>
    <row r="50" spans="11:11" x14ac:dyDescent="0.25">
      <c r="K50" s="96"/>
    </row>
  </sheetData>
  <mergeCells count="10">
    <mergeCell ref="B6:D6"/>
    <mergeCell ref="A48:E4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59999389629810485"/>
  </sheetPr>
  <dimension ref="A1:M29"/>
  <sheetViews>
    <sheetView view="pageBreakPreview" zoomScale="80" zoomScaleNormal="100" zoomScaleSheetLayoutView="80" workbookViewId="0">
      <selection activeCell="F21" sqref="F2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1.5" customHeight="1" x14ac:dyDescent="0.25">
      <c r="A6" s="26"/>
      <c r="B6" s="190" t="s">
        <v>582</v>
      </c>
      <c r="C6" s="191"/>
      <c r="D6" s="191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23</v>
      </c>
      <c r="C8" s="100" t="s">
        <v>24</v>
      </c>
      <c r="D8" s="151">
        <v>6.68</v>
      </c>
      <c r="E8" s="42">
        <f>ROUND(65055.24/(297.03*0.05),2)</f>
        <v>4380.38</v>
      </c>
      <c r="F8" s="33">
        <f t="shared" ref="F8:F9" si="0">ROUND(E8*D8,2)</f>
        <v>29260.94</v>
      </c>
      <c r="G8" s="33">
        <f t="shared" ref="G8:G9" si="1">ROUND(F8*1.2,2)</f>
        <v>35113.129999999997</v>
      </c>
      <c r="H8" s="34"/>
      <c r="I8" s="35"/>
      <c r="J8" s="35"/>
      <c r="K8" s="32">
        <f t="shared" ref="K8:L9" si="2">F8+I8</f>
        <v>29260.94</v>
      </c>
      <c r="L8" s="33">
        <f t="shared" si="2"/>
        <v>35113.129999999997</v>
      </c>
      <c r="M8" s="21" t="s">
        <v>25</v>
      </c>
    </row>
    <row r="9" spans="1:13" ht="22.5" customHeight="1" x14ac:dyDescent="0.25">
      <c r="A9" s="30">
        <f t="shared" ref="A9" si="3">A8+1</f>
        <v>2</v>
      </c>
      <c r="B9" s="37" t="s">
        <v>26</v>
      </c>
      <c r="C9" s="100" t="s">
        <v>24</v>
      </c>
      <c r="D9" s="151">
        <v>10.55</v>
      </c>
      <c r="E9" s="64">
        <v>1440.5229999999999</v>
      </c>
      <c r="F9" s="33">
        <f t="shared" si="0"/>
        <v>15197.52</v>
      </c>
      <c r="G9" s="33">
        <f t="shared" si="1"/>
        <v>18237.02</v>
      </c>
      <c r="H9" s="35"/>
      <c r="I9" s="35"/>
      <c r="J9" s="35"/>
      <c r="K9" s="32">
        <f t="shared" si="2"/>
        <v>15197.52</v>
      </c>
      <c r="L9" s="35">
        <f t="shared" si="2"/>
        <v>18237.02</v>
      </c>
      <c r="M9" s="21" t="s">
        <v>25</v>
      </c>
    </row>
    <row r="10" spans="1:13" ht="20.25" customHeight="1" x14ac:dyDescent="0.25">
      <c r="A10" s="30"/>
      <c r="B10" s="111" t="s">
        <v>232</v>
      </c>
      <c r="C10" s="38"/>
      <c r="D10" s="151"/>
      <c r="E10" s="127"/>
      <c r="F10" s="35"/>
      <c r="G10" s="35"/>
      <c r="H10" s="35"/>
      <c r="I10" s="35"/>
      <c r="J10" s="35"/>
      <c r="K10" s="32"/>
      <c r="L10" s="35"/>
      <c r="M10" s="71"/>
    </row>
    <row r="11" spans="1:13" ht="24" customHeight="1" x14ac:dyDescent="0.25">
      <c r="A11" s="30">
        <f>A9+1</f>
        <v>3</v>
      </c>
      <c r="B11" s="73" t="s">
        <v>27</v>
      </c>
      <c r="C11" s="100" t="s">
        <v>38</v>
      </c>
      <c r="D11" s="151">
        <v>28.13</v>
      </c>
      <c r="E11" s="42">
        <v>544.86</v>
      </c>
      <c r="F11" s="33">
        <f t="shared" ref="F11" si="4">ROUND(E11*D11,2)</f>
        <v>15326.91</v>
      </c>
      <c r="G11" s="33">
        <f t="shared" ref="G11" si="5">ROUND(F11*1.2,2)</f>
        <v>18392.29</v>
      </c>
      <c r="H11" s="34"/>
      <c r="I11" s="35"/>
      <c r="J11" s="35"/>
      <c r="K11" s="32">
        <f t="shared" ref="K11:L11" si="6">F11+I11</f>
        <v>15326.91</v>
      </c>
      <c r="L11" s="35">
        <f t="shared" si="6"/>
        <v>18392.29</v>
      </c>
      <c r="M11" s="71" t="s">
        <v>28</v>
      </c>
    </row>
    <row r="12" spans="1:13" ht="20.25" customHeight="1" x14ac:dyDescent="0.25">
      <c r="A12" s="56"/>
      <c r="B12" s="43" t="s">
        <v>45</v>
      </c>
      <c r="C12" s="38"/>
      <c r="D12" s="150"/>
      <c r="E12" s="58"/>
      <c r="F12" s="59"/>
      <c r="G12" s="60"/>
      <c r="H12" s="61"/>
      <c r="I12" s="62"/>
      <c r="J12" s="62"/>
      <c r="K12" s="63"/>
      <c r="L12" s="62"/>
    </row>
    <row r="13" spans="1:13" ht="24" customHeight="1" x14ac:dyDescent="0.25">
      <c r="A13" s="30">
        <f>A11+1</f>
        <v>4</v>
      </c>
      <c r="B13" s="99" t="s">
        <v>46</v>
      </c>
      <c r="C13" s="100" t="s">
        <v>24</v>
      </c>
      <c r="D13" s="151">
        <v>91.02</v>
      </c>
      <c r="E13" s="64">
        <v>308.75</v>
      </c>
      <c r="F13" s="33">
        <f t="shared" ref="F13:F17" si="7">ROUND(E13*D13,2)</f>
        <v>28102.43</v>
      </c>
      <c r="G13" s="33">
        <f t="shared" ref="G13:G19" si="8">ROUND(F13*1.2,2)</f>
        <v>33722.92</v>
      </c>
      <c r="H13" s="61"/>
      <c r="I13" s="62"/>
      <c r="J13" s="62"/>
      <c r="K13" s="64">
        <f t="shared" ref="K13:L19" si="9">F13+I13</f>
        <v>28102.43</v>
      </c>
      <c r="L13" s="42">
        <f t="shared" si="9"/>
        <v>33722.92</v>
      </c>
    </row>
    <row r="14" spans="1:13" ht="24" customHeight="1" x14ac:dyDescent="0.25">
      <c r="A14" s="30">
        <f>A13+1</f>
        <v>5</v>
      </c>
      <c r="B14" s="99" t="s">
        <v>47</v>
      </c>
      <c r="C14" s="100" t="s">
        <v>24</v>
      </c>
      <c r="D14" s="151">
        <v>1.85</v>
      </c>
      <c r="E14" s="64">
        <v>1688.15</v>
      </c>
      <c r="F14" s="33">
        <f t="shared" si="7"/>
        <v>3123.08</v>
      </c>
      <c r="G14" s="33">
        <f t="shared" si="8"/>
        <v>3747.7</v>
      </c>
      <c r="H14" s="61"/>
      <c r="I14" s="62"/>
      <c r="J14" s="62"/>
      <c r="K14" s="64">
        <f t="shared" si="9"/>
        <v>3123.08</v>
      </c>
      <c r="L14" s="42">
        <f t="shared" si="9"/>
        <v>3747.7</v>
      </c>
    </row>
    <row r="15" spans="1:13" ht="20.25" customHeight="1" x14ac:dyDescent="0.25">
      <c r="A15" s="30">
        <f>A14+1</f>
        <v>6</v>
      </c>
      <c r="B15" s="37" t="s">
        <v>499</v>
      </c>
      <c r="C15" s="38" t="s">
        <v>345</v>
      </c>
      <c r="D15" s="151">
        <v>6.4</v>
      </c>
      <c r="E15" s="64">
        <v>2057.89</v>
      </c>
      <c r="F15" s="42">
        <f>ROUND(E15*D15,2)</f>
        <v>13170.5</v>
      </c>
      <c r="G15" s="42">
        <f t="shared" si="8"/>
        <v>15804.6</v>
      </c>
      <c r="H15" s="34"/>
      <c r="I15" s="42"/>
      <c r="J15" s="42"/>
      <c r="K15" s="64">
        <f t="shared" si="9"/>
        <v>13170.5</v>
      </c>
      <c r="L15" s="42">
        <f t="shared" si="9"/>
        <v>15804.6</v>
      </c>
      <c r="M15" s="71"/>
    </row>
    <row r="16" spans="1:13" ht="20.25" customHeight="1" x14ac:dyDescent="0.25">
      <c r="A16" s="46" t="s">
        <v>36</v>
      </c>
      <c r="B16" s="47" t="s">
        <v>50</v>
      </c>
      <c r="C16" s="48" t="s">
        <v>24</v>
      </c>
      <c r="D16" s="49">
        <f>D15*1.1</f>
        <v>7.0400000000000009</v>
      </c>
      <c r="E16" s="70"/>
      <c r="F16" s="68"/>
      <c r="G16" s="68"/>
      <c r="H16" s="51">
        <v>1191.3</v>
      </c>
      <c r="I16" s="51">
        <f>ROUND(H16*D16,2)</f>
        <v>8386.75</v>
      </c>
      <c r="J16" s="51">
        <f>ROUND(I16*1.2,2)</f>
        <v>10064.1</v>
      </c>
      <c r="K16" s="52">
        <f t="shared" si="9"/>
        <v>8386.75</v>
      </c>
      <c r="L16" s="51">
        <f t="shared" si="9"/>
        <v>10064.1</v>
      </c>
      <c r="M16" s="69"/>
    </row>
    <row r="17" spans="1:13" ht="24" customHeight="1" x14ac:dyDescent="0.25">
      <c r="A17" s="30">
        <f>A15+1</f>
        <v>7</v>
      </c>
      <c r="B17" s="73" t="s">
        <v>584</v>
      </c>
      <c r="C17" s="100" t="s">
        <v>24</v>
      </c>
      <c r="D17" s="151">
        <v>94.77</v>
      </c>
      <c r="E17" s="64">
        <v>1310.05</v>
      </c>
      <c r="F17" s="33">
        <f t="shared" si="7"/>
        <v>124153.44</v>
      </c>
      <c r="G17" s="33">
        <f t="shared" si="8"/>
        <v>148984.13</v>
      </c>
      <c r="H17" s="35"/>
      <c r="I17" s="35"/>
      <c r="J17" s="35"/>
      <c r="K17" s="32">
        <f t="shared" si="9"/>
        <v>124153.44</v>
      </c>
      <c r="L17" s="35">
        <f t="shared" si="9"/>
        <v>148984.13</v>
      </c>
    </row>
    <row r="18" spans="1:13" ht="20.25" customHeight="1" x14ac:dyDescent="0.25">
      <c r="A18" s="46" t="s">
        <v>40</v>
      </c>
      <c r="B18" s="47" t="s">
        <v>50</v>
      </c>
      <c r="C18" s="48" t="s">
        <v>24</v>
      </c>
      <c r="D18" s="49">
        <f>D17*1.1</f>
        <v>104.247</v>
      </c>
      <c r="E18" s="70"/>
      <c r="F18" s="51"/>
      <c r="G18" s="51"/>
      <c r="H18" s="51">
        <v>1191.3</v>
      </c>
      <c r="I18" s="51">
        <f>ROUND(H18*D18,2)</f>
        <v>124189.45</v>
      </c>
      <c r="J18" s="51">
        <f>ROUND(I18*1.2,2)</f>
        <v>149027.34</v>
      </c>
      <c r="K18" s="52">
        <f t="shared" si="9"/>
        <v>124189.45</v>
      </c>
      <c r="L18" s="51">
        <f t="shared" si="9"/>
        <v>149027.34</v>
      </c>
    </row>
    <row r="19" spans="1:13" ht="18.75" customHeight="1" x14ac:dyDescent="0.25">
      <c r="A19" s="30">
        <f>A17+1</f>
        <v>8</v>
      </c>
      <c r="B19" s="37" t="s">
        <v>54</v>
      </c>
      <c r="C19" s="38" t="s">
        <v>38</v>
      </c>
      <c r="D19" s="151">
        <v>176.45</v>
      </c>
      <c r="E19" s="64">
        <v>308.75</v>
      </c>
      <c r="F19" s="35">
        <f>ROUND(E19*D19,2)</f>
        <v>54478.94</v>
      </c>
      <c r="G19" s="35">
        <f t="shared" si="8"/>
        <v>65374.73</v>
      </c>
      <c r="H19" s="64"/>
      <c r="I19" s="35"/>
      <c r="J19" s="35"/>
      <c r="K19" s="64">
        <f t="shared" si="9"/>
        <v>54478.94</v>
      </c>
      <c r="L19" s="42">
        <f t="shared" si="9"/>
        <v>65374.73</v>
      </c>
    </row>
    <row r="20" spans="1:13" ht="18" customHeight="1" x14ac:dyDescent="0.25">
      <c r="A20" s="46"/>
      <c r="B20" s="43" t="s">
        <v>585</v>
      </c>
      <c r="C20" s="38"/>
      <c r="D20" s="57"/>
      <c r="E20" s="58"/>
      <c r="F20" s="59"/>
      <c r="G20" s="60"/>
      <c r="H20" s="67"/>
      <c r="I20" s="35"/>
      <c r="J20" s="35"/>
      <c r="K20" s="32"/>
      <c r="L20" s="35"/>
    </row>
    <row r="21" spans="1:13" ht="21.75" customHeight="1" x14ac:dyDescent="0.25">
      <c r="A21" s="30">
        <f>A19+1</f>
        <v>9</v>
      </c>
      <c r="B21" s="99" t="s">
        <v>586</v>
      </c>
      <c r="C21" s="38" t="s">
        <v>24</v>
      </c>
      <c r="D21" s="138">
        <f>12*0.76</f>
        <v>9.120000000000001</v>
      </c>
      <c r="E21" s="123">
        <v>13357</v>
      </c>
      <c r="F21" s="35">
        <f t="shared" ref="F21" si="10">ROUND(E21*D21,2)</f>
        <v>121815.84</v>
      </c>
      <c r="G21" s="35">
        <f t="shared" ref="G21" si="11">ROUND(F21*1.2,2)</f>
        <v>146179.01</v>
      </c>
      <c r="H21" s="67"/>
      <c r="I21" s="35"/>
      <c r="J21" s="35"/>
      <c r="K21" s="64">
        <f t="shared" ref="K21:L26" si="12">F21+I21</f>
        <v>121815.84</v>
      </c>
      <c r="L21" s="42">
        <f t="shared" si="12"/>
        <v>146179.01</v>
      </c>
      <c r="M21" s="71" t="s">
        <v>609</v>
      </c>
    </row>
    <row r="22" spans="1:13" ht="22.5" customHeight="1" x14ac:dyDescent="0.25">
      <c r="A22" s="46" t="s">
        <v>490</v>
      </c>
      <c r="B22" s="47" t="s">
        <v>587</v>
      </c>
      <c r="C22" s="48" t="s">
        <v>66</v>
      </c>
      <c r="D22" s="72">
        <v>12</v>
      </c>
      <c r="E22" s="70"/>
      <c r="F22" s="68"/>
      <c r="G22" s="68"/>
      <c r="H22" s="68">
        <v>16590</v>
      </c>
      <c r="I22" s="68">
        <f>ROUND(H22*D22,2)</f>
        <v>199080</v>
      </c>
      <c r="J22" s="68">
        <f>ROUND(I22*1.2,2)</f>
        <v>238896</v>
      </c>
      <c r="K22" s="70">
        <f t="shared" si="12"/>
        <v>199080</v>
      </c>
      <c r="L22" s="68">
        <f t="shared" si="12"/>
        <v>238896</v>
      </c>
    </row>
    <row r="23" spans="1:13" ht="24" customHeight="1" x14ac:dyDescent="0.25">
      <c r="A23" s="38">
        <f>A21+1</f>
        <v>10</v>
      </c>
      <c r="B23" s="147" t="s">
        <v>371</v>
      </c>
      <c r="C23" s="141" t="s">
        <v>35</v>
      </c>
      <c r="D23" s="149">
        <v>61.8</v>
      </c>
      <c r="E23" s="64">
        <v>144.4</v>
      </c>
      <c r="F23" s="35">
        <f>ROUND(E23*D23,2)</f>
        <v>8923.92</v>
      </c>
      <c r="G23" s="35">
        <f t="shared" ref="G23" si="13">ROUND(F23*1.2,2)</f>
        <v>10708.7</v>
      </c>
      <c r="H23" s="64"/>
      <c r="I23" s="35"/>
      <c r="J23" s="35"/>
      <c r="K23" s="64">
        <f t="shared" si="12"/>
        <v>8923.92</v>
      </c>
      <c r="L23" s="42">
        <f t="shared" si="12"/>
        <v>10708.7</v>
      </c>
      <c r="M23" s="71" t="s">
        <v>610</v>
      </c>
    </row>
    <row r="24" spans="1:13" ht="17.25" customHeight="1" x14ac:dyDescent="0.25">
      <c r="A24" s="46" t="s">
        <v>430</v>
      </c>
      <c r="B24" s="78" t="s">
        <v>372</v>
      </c>
      <c r="C24" s="48" t="s">
        <v>220</v>
      </c>
      <c r="D24" s="117">
        <f>D23*0.3*20/16</f>
        <v>23.174999999999997</v>
      </c>
      <c r="E24" s="70"/>
      <c r="F24" s="51"/>
      <c r="G24" s="51"/>
      <c r="H24" s="104">
        <v>237.5</v>
      </c>
      <c r="I24" s="51">
        <f>ROUND(H24*D24,2)</f>
        <v>5504.06</v>
      </c>
      <c r="J24" s="51">
        <f t="shared" ref="J24" si="14">ROUND(I24*1.2,2)</f>
        <v>6604.87</v>
      </c>
      <c r="K24" s="52">
        <f t="shared" si="12"/>
        <v>5504.06</v>
      </c>
      <c r="L24" s="51">
        <f t="shared" si="12"/>
        <v>6604.87</v>
      </c>
      <c r="M24" s="71"/>
    </row>
    <row r="25" spans="1:13" ht="25.5" customHeight="1" x14ac:dyDescent="0.25">
      <c r="A25" s="38">
        <f>A23+1</f>
        <v>11</v>
      </c>
      <c r="B25" s="37" t="s">
        <v>373</v>
      </c>
      <c r="C25" s="38" t="s">
        <v>35</v>
      </c>
      <c r="D25" s="152">
        <v>61.8</v>
      </c>
      <c r="E25" s="64">
        <v>299.76</v>
      </c>
      <c r="F25" s="35">
        <f>ROUND(E25*D25,2)</f>
        <v>18525.169999999998</v>
      </c>
      <c r="G25" s="35">
        <f t="shared" ref="G25" si="15">ROUND(F25*1.2,2)</f>
        <v>22230.2</v>
      </c>
      <c r="H25" s="64"/>
      <c r="I25" s="35"/>
      <c r="J25" s="35"/>
      <c r="K25" s="64">
        <f t="shared" si="12"/>
        <v>18525.169999999998</v>
      </c>
      <c r="L25" s="42">
        <f t="shared" si="12"/>
        <v>22230.2</v>
      </c>
      <c r="M25" s="71" t="s">
        <v>262</v>
      </c>
    </row>
    <row r="26" spans="1:13" x14ac:dyDescent="0.25">
      <c r="A26" s="46" t="s">
        <v>49</v>
      </c>
      <c r="B26" s="78" t="s">
        <v>374</v>
      </c>
      <c r="C26" s="48" t="s">
        <v>130</v>
      </c>
      <c r="D26" s="49">
        <f>D25*0.7*2</f>
        <v>86.52</v>
      </c>
      <c r="E26" s="70"/>
      <c r="F26" s="51"/>
      <c r="G26" s="51"/>
      <c r="H26" s="104">
        <v>296.39999999999998</v>
      </c>
      <c r="I26" s="51">
        <f t="shared" ref="I26" si="16">ROUND(H26*D26,2)</f>
        <v>25644.53</v>
      </c>
      <c r="J26" s="51">
        <f t="shared" ref="J26" si="17">ROUND(I26*1.2,2)</f>
        <v>30773.439999999999</v>
      </c>
      <c r="K26" s="70">
        <f t="shared" si="12"/>
        <v>25644.53</v>
      </c>
      <c r="L26" s="68">
        <f t="shared" si="12"/>
        <v>30773.439999999999</v>
      </c>
      <c r="M26" s="71"/>
    </row>
    <row r="27" spans="1:13" s="95" customFormat="1" ht="24" customHeight="1" x14ac:dyDescent="0.3">
      <c r="A27" s="185" t="s">
        <v>148</v>
      </c>
      <c r="B27" s="186"/>
      <c r="C27" s="186"/>
      <c r="D27" s="186"/>
      <c r="E27" s="187"/>
      <c r="F27" s="118">
        <f>SUM(F7:F26)</f>
        <v>432078.68999999994</v>
      </c>
      <c r="G27" s="118">
        <f>ROUND(F27*1.2,2)</f>
        <v>518494.43</v>
      </c>
      <c r="H27" s="122"/>
      <c r="I27" s="118">
        <f>SUM(I7:I26)</f>
        <v>362804.79000000004</v>
      </c>
      <c r="J27" s="118">
        <f>ROUND(I27*1.2,2)</f>
        <v>435365.75</v>
      </c>
      <c r="K27" s="118">
        <f>SUM(K7:K26)</f>
        <v>794883.48000000021</v>
      </c>
      <c r="L27" s="118">
        <f>ROUND(K27*1.2,2)</f>
        <v>953860.18</v>
      </c>
      <c r="M27" s="94"/>
    </row>
    <row r="29" spans="1:13" x14ac:dyDescent="0.25">
      <c r="K29" s="96"/>
    </row>
  </sheetData>
  <mergeCells count="10">
    <mergeCell ref="B6:D6"/>
    <mergeCell ref="A27:E2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4863-3F5E-48A9-8B40-2797B375FA0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M149"/>
  <sheetViews>
    <sheetView tabSelected="1" view="pageBreakPreview" topLeftCell="A115" zoomScale="70" zoomScaleNormal="100" zoomScaleSheetLayoutView="70" workbookViewId="0">
      <selection activeCell="F21" sqref="F2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7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318</v>
      </c>
      <c r="C6" s="184"/>
      <c r="D6" s="184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319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30">
        <v>1</v>
      </c>
      <c r="B8" s="37" t="s">
        <v>320</v>
      </c>
      <c r="C8" s="38" t="s">
        <v>321</v>
      </c>
      <c r="D8" s="152" t="s">
        <v>322</v>
      </c>
      <c r="E8" s="40">
        <v>1055.02</v>
      </c>
      <c r="F8" s="33">
        <f>ROUND(E8*19,2)</f>
        <v>20045.38</v>
      </c>
      <c r="G8" s="33">
        <f t="shared" ref="G8:G11" si="0">ROUND(F8*1.2,2)</f>
        <v>24054.46</v>
      </c>
      <c r="H8" s="64"/>
      <c r="I8" s="35"/>
      <c r="J8" s="35"/>
      <c r="K8" s="32">
        <f t="shared" ref="K8:L11" si="1">F8+I8</f>
        <v>20045.38</v>
      </c>
      <c r="L8" s="33">
        <f t="shared" si="1"/>
        <v>24054.46</v>
      </c>
      <c r="M8" s="41" t="s">
        <v>323</v>
      </c>
    </row>
    <row r="9" spans="1:13" ht="18" customHeight="1" x14ac:dyDescent="0.25">
      <c r="A9" s="30">
        <f>A8+1</f>
        <v>2</v>
      </c>
      <c r="B9" s="37" t="s">
        <v>21</v>
      </c>
      <c r="C9" s="38" t="s">
        <v>22</v>
      </c>
      <c r="D9" s="151">
        <v>26.48</v>
      </c>
      <c r="E9" s="40">
        <v>1900</v>
      </c>
      <c r="F9" s="33">
        <f t="shared" ref="F9" si="2">ROUND(E9*D9,2)</f>
        <v>50312</v>
      </c>
      <c r="G9" s="33">
        <f t="shared" si="0"/>
        <v>60374.400000000001</v>
      </c>
      <c r="H9" s="64"/>
      <c r="I9" s="35"/>
      <c r="J9" s="35"/>
      <c r="K9" s="32">
        <f t="shared" si="1"/>
        <v>50312</v>
      </c>
      <c r="L9" s="33">
        <f t="shared" si="1"/>
        <v>60374.400000000001</v>
      </c>
      <c r="M9" s="41"/>
    </row>
    <row r="10" spans="1:13" ht="18" customHeight="1" x14ac:dyDescent="0.25">
      <c r="A10" s="30">
        <f t="shared" ref="A10:A11" si="3">A9+1</f>
        <v>3</v>
      </c>
      <c r="B10" s="37" t="s">
        <v>324</v>
      </c>
      <c r="C10" s="100" t="s">
        <v>24</v>
      </c>
      <c r="D10" s="151">
        <v>15.01</v>
      </c>
      <c r="E10" s="42">
        <f>ROUND(65055.24/(297.03*0.05),2)</f>
        <v>4380.38</v>
      </c>
      <c r="F10" s="33">
        <f>ROUND(E10*39.42/1.05*1.19,2)</f>
        <v>195697.86</v>
      </c>
      <c r="G10" s="33">
        <f t="shared" si="0"/>
        <v>234837.43</v>
      </c>
      <c r="H10" s="64"/>
      <c r="I10" s="35"/>
      <c r="J10" s="35"/>
      <c r="K10" s="32">
        <f t="shared" si="1"/>
        <v>195697.86</v>
      </c>
      <c r="L10" s="33">
        <f t="shared" si="1"/>
        <v>234837.43</v>
      </c>
      <c r="M10" s="71" t="s">
        <v>325</v>
      </c>
    </row>
    <row r="11" spans="1:13" ht="20.25" customHeight="1" x14ac:dyDescent="0.25">
      <c r="A11" s="30">
        <f t="shared" si="3"/>
        <v>4</v>
      </c>
      <c r="B11" s="37" t="s">
        <v>326</v>
      </c>
      <c r="C11" s="38" t="s">
        <v>24</v>
      </c>
      <c r="D11" s="151">
        <v>23.7</v>
      </c>
      <c r="E11" s="64">
        <v>1440.5229999999999</v>
      </c>
      <c r="F11" s="33">
        <f t="shared" ref="F11" si="4">ROUND(E11*D11,2)</f>
        <v>34140.400000000001</v>
      </c>
      <c r="G11" s="33">
        <f t="shared" si="0"/>
        <v>40968.480000000003</v>
      </c>
      <c r="H11" s="35"/>
      <c r="I11" s="35"/>
      <c r="J11" s="35"/>
      <c r="K11" s="32">
        <f t="shared" si="1"/>
        <v>34140.400000000001</v>
      </c>
      <c r="L11" s="35">
        <f t="shared" si="1"/>
        <v>40968.480000000003</v>
      </c>
      <c r="M11" s="124" t="s">
        <v>597</v>
      </c>
    </row>
    <row r="12" spans="1:13" ht="20.25" customHeight="1" x14ac:dyDescent="0.25">
      <c r="A12" s="56"/>
      <c r="B12" s="43" t="s">
        <v>232</v>
      </c>
      <c r="C12" s="38"/>
      <c r="D12" s="150"/>
      <c r="E12" s="58"/>
      <c r="F12" s="59"/>
      <c r="G12" s="60"/>
      <c r="H12" s="61"/>
      <c r="I12" s="62"/>
      <c r="J12" s="62"/>
      <c r="K12" s="63"/>
      <c r="L12" s="62"/>
    </row>
    <row r="13" spans="1:13" ht="20.25" customHeight="1" x14ac:dyDescent="0.25">
      <c r="A13" s="30">
        <f>A11+1</f>
        <v>5</v>
      </c>
      <c r="B13" s="73" t="s">
        <v>327</v>
      </c>
      <c r="C13" s="38" t="s">
        <v>38</v>
      </c>
      <c r="D13" s="152">
        <v>1.9</v>
      </c>
      <c r="E13" s="64">
        <v>544.86</v>
      </c>
      <c r="F13" s="33">
        <f>ROUND(E13*1.9,2)</f>
        <v>1035.23</v>
      </c>
      <c r="G13" s="33">
        <f t="shared" ref="G13:G14" si="5">ROUND(F13*1.2,2)</f>
        <v>1242.28</v>
      </c>
      <c r="H13" s="35"/>
      <c r="I13" s="35"/>
      <c r="J13" s="35"/>
      <c r="K13" s="32">
        <f t="shared" ref="K13:L14" si="6">F13+I13</f>
        <v>1035.23</v>
      </c>
      <c r="L13" s="35">
        <f t="shared" si="6"/>
        <v>1242.28</v>
      </c>
      <c r="M13" s="71" t="s">
        <v>591</v>
      </c>
    </row>
    <row r="14" spans="1:13" ht="29.25" customHeight="1" x14ac:dyDescent="0.25">
      <c r="A14" s="30">
        <f>A13+1</f>
        <v>6</v>
      </c>
      <c r="B14" s="99" t="s">
        <v>27</v>
      </c>
      <c r="C14" s="38" t="s">
        <v>592</v>
      </c>
      <c r="D14" s="152">
        <v>63.2</v>
      </c>
      <c r="E14" s="64">
        <v>544.86</v>
      </c>
      <c r="F14" s="33">
        <f>ROUND(E14*63.2,2)</f>
        <v>34435.15</v>
      </c>
      <c r="G14" s="33">
        <f t="shared" si="5"/>
        <v>41322.18</v>
      </c>
      <c r="H14" s="61"/>
      <c r="I14" s="62"/>
      <c r="J14" s="62"/>
      <c r="K14" s="64">
        <f t="shared" si="6"/>
        <v>34435.15</v>
      </c>
      <c r="L14" s="42">
        <f t="shared" si="6"/>
        <v>41322.18</v>
      </c>
      <c r="M14" s="124" t="s">
        <v>591</v>
      </c>
    </row>
    <row r="15" spans="1:13" ht="21.75" customHeight="1" x14ac:dyDescent="0.25">
      <c r="A15" s="30"/>
      <c r="B15" s="43" t="s">
        <v>434</v>
      </c>
      <c r="C15" s="38"/>
      <c r="D15" s="152"/>
      <c r="E15" s="64"/>
      <c r="F15" s="33"/>
      <c r="G15" s="33"/>
      <c r="H15" s="61"/>
      <c r="I15" s="62"/>
      <c r="J15" s="62"/>
      <c r="K15" s="64"/>
      <c r="L15" s="42"/>
    </row>
    <row r="16" spans="1:13" ht="21.75" customHeight="1" x14ac:dyDescent="0.25">
      <c r="A16" s="30">
        <f>A14+1</f>
        <v>7</v>
      </c>
      <c r="B16" s="99" t="s">
        <v>330</v>
      </c>
      <c r="C16" s="38" t="s">
        <v>66</v>
      </c>
      <c r="D16" s="150">
        <v>1</v>
      </c>
      <c r="E16" s="64">
        <f>7035.89*0.8</f>
        <v>5628.7120000000004</v>
      </c>
      <c r="F16" s="33">
        <f t="shared" ref="F16:F17" si="7">ROUND(E16*D16,2)</f>
        <v>5628.71</v>
      </c>
      <c r="G16" s="33">
        <f t="shared" ref="G16:G17" si="8">ROUND(F16*1.2,2)</f>
        <v>6754.45</v>
      </c>
      <c r="H16" s="64"/>
      <c r="I16" s="35"/>
      <c r="J16" s="35"/>
      <c r="K16" s="64">
        <f t="shared" ref="K16:K17" si="9">F16+I16</f>
        <v>5628.71</v>
      </c>
      <c r="L16" s="42">
        <f t="shared" ref="L16:L17" si="10">G16+J16</f>
        <v>6754.45</v>
      </c>
      <c r="M16" s="71" t="s">
        <v>329</v>
      </c>
    </row>
    <row r="17" spans="1:13" ht="30.75" customHeight="1" x14ac:dyDescent="0.25">
      <c r="A17" s="30">
        <f>A16+1</f>
        <v>8</v>
      </c>
      <c r="B17" s="99" t="s">
        <v>442</v>
      </c>
      <c r="C17" s="38" t="s">
        <v>66</v>
      </c>
      <c r="D17" s="150">
        <v>1</v>
      </c>
      <c r="E17" s="64">
        <f>0.8*5650.6</f>
        <v>4520.4800000000005</v>
      </c>
      <c r="F17" s="33">
        <f t="shared" si="7"/>
        <v>4520.4799999999996</v>
      </c>
      <c r="G17" s="33">
        <f t="shared" si="8"/>
        <v>5424.58</v>
      </c>
      <c r="H17" s="35"/>
      <c r="I17" s="35"/>
      <c r="J17" s="35"/>
      <c r="K17" s="32">
        <f t="shared" si="9"/>
        <v>4520.4799999999996</v>
      </c>
      <c r="L17" s="35">
        <f t="shared" si="10"/>
        <v>5424.58</v>
      </c>
      <c r="M17" s="71" t="s">
        <v>329</v>
      </c>
    </row>
    <row r="18" spans="1:13" ht="19.5" customHeight="1" x14ac:dyDescent="0.25">
      <c r="A18" s="30">
        <f t="shared" ref="A18:A21" si="11">A17+1</f>
        <v>9</v>
      </c>
      <c r="B18" s="129" t="s">
        <v>435</v>
      </c>
      <c r="C18" s="38" t="s">
        <v>66</v>
      </c>
      <c r="D18" s="153">
        <v>1</v>
      </c>
      <c r="E18" s="64">
        <f>E19*0.8</f>
        <v>530.24000000000012</v>
      </c>
      <c r="F18" s="33">
        <f t="shared" ref="F18" si="12">ROUND(E18*D18,2)</f>
        <v>530.24</v>
      </c>
      <c r="G18" s="33">
        <f t="shared" ref="G18" si="13">ROUND(F18*1.2,2)</f>
        <v>636.29</v>
      </c>
      <c r="H18" s="64"/>
      <c r="I18" s="35"/>
      <c r="J18" s="35"/>
      <c r="K18" s="64">
        <f t="shared" ref="K18" si="14">F18+I18</f>
        <v>530.24</v>
      </c>
      <c r="L18" s="42">
        <f t="shared" ref="L18" si="15">G18+J18</f>
        <v>636.29</v>
      </c>
    </row>
    <row r="19" spans="1:13" ht="19.5" customHeight="1" x14ac:dyDescent="0.25">
      <c r="A19" s="135">
        <f t="shared" si="11"/>
        <v>10</v>
      </c>
      <c r="B19" s="142" t="s">
        <v>436</v>
      </c>
      <c r="C19" s="143" t="s">
        <v>66</v>
      </c>
      <c r="D19" s="146">
        <v>1</v>
      </c>
      <c r="E19" s="64">
        <f>E20*0.8</f>
        <v>662.80000000000007</v>
      </c>
      <c r="F19" s="33">
        <f t="shared" ref="F19:F21" si="16">ROUND(E19*D19,2)</f>
        <v>662.8</v>
      </c>
      <c r="G19" s="33">
        <f t="shared" ref="G19:G21" si="17">ROUND(F19*1.2,2)</f>
        <v>795.36</v>
      </c>
      <c r="H19" s="64"/>
      <c r="I19" s="35"/>
      <c r="J19" s="35"/>
      <c r="K19" s="64">
        <f t="shared" ref="K19:K21" si="18">F19+I19</f>
        <v>662.8</v>
      </c>
      <c r="L19" s="42">
        <f t="shared" ref="L19:L21" si="19">G19+J19</f>
        <v>795.36</v>
      </c>
      <c r="M19" s="134" t="s">
        <v>599</v>
      </c>
    </row>
    <row r="20" spans="1:13" ht="19.5" customHeight="1" x14ac:dyDescent="0.25">
      <c r="A20" s="30">
        <f t="shared" si="11"/>
        <v>11</v>
      </c>
      <c r="B20" s="37" t="s">
        <v>440</v>
      </c>
      <c r="C20" s="38" t="s">
        <v>22</v>
      </c>
      <c r="D20" s="154">
        <v>1.5</v>
      </c>
      <c r="E20" s="64">
        <v>828.5</v>
      </c>
      <c r="F20" s="33">
        <f t="shared" si="16"/>
        <v>1242.75</v>
      </c>
      <c r="G20" s="33">
        <f t="shared" si="17"/>
        <v>1491.3</v>
      </c>
      <c r="H20" s="61"/>
      <c r="I20" s="62"/>
      <c r="J20" s="62"/>
      <c r="K20" s="64">
        <f t="shared" si="18"/>
        <v>1242.75</v>
      </c>
      <c r="L20" s="42">
        <f t="shared" si="19"/>
        <v>1491.3</v>
      </c>
      <c r="M20" s="41" t="s">
        <v>335</v>
      </c>
    </row>
    <row r="21" spans="1:13" ht="19.5" customHeight="1" x14ac:dyDescent="0.25">
      <c r="A21" s="30">
        <f t="shared" si="11"/>
        <v>12</v>
      </c>
      <c r="B21" s="99" t="s">
        <v>441</v>
      </c>
      <c r="C21" s="38" t="s">
        <v>22</v>
      </c>
      <c r="D21" s="150">
        <v>1</v>
      </c>
      <c r="E21" s="64">
        <f>E20*0.6</f>
        <v>497.09999999999997</v>
      </c>
      <c r="F21" s="33">
        <f t="shared" si="16"/>
        <v>497.1</v>
      </c>
      <c r="G21" s="33">
        <f t="shared" si="17"/>
        <v>596.52</v>
      </c>
      <c r="H21" s="61"/>
      <c r="I21" s="62"/>
      <c r="J21" s="62"/>
      <c r="K21" s="64">
        <f t="shared" si="18"/>
        <v>497.1</v>
      </c>
      <c r="L21" s="42">
        <f t="shared" si="19"/>
        <v>596.52</v>
      </c>
    </row>
    <row r="22" spans="1:13" ht="21.75" customHeight="1" x14ac:dyDescent="0.25">
      <c r="A22" s="30"/>
      <c r="B22" s="114" t="s">
        <v>438</v>
      </c>
      <c r="C22" s="38"/>
      <c r="D22" s="151"/>
      <c r="E22" s="64"/>
      <c r="F22" s="35"/>
      <c r="G22" s="35"/>
      <c r="H22" s="67"/>
      <c r="I22" s="35"/>
      <c r="J22" s="35"/>
      <c r="K22" s="64"/>
      <c r="L22" s="42"/>
    </row>
    <row r="23" spans="1:13" ht="30" customHeight="1" x14ac:dyDescent="0.25">
      <c r="A23" s="30">
        <f>A21+1</f>
        <v>13</v>
      </c>
      <c r="B23" s="99" t="s">
        <v>337</v>
      </c>
      <c r="C23" s="38" t="s">
        <v>345</v>
      </c>
      <c r="D23" s="152">
        <f>4.39+0.49</f>
        <v>4.88</v>
      </c>
      <c r="E23" s="174">
        <f>14540/0.84*4.88</f>
        <v>84470.476190476184</v>
      </c>
      <c r="F23" s="174">
        <f>ROUND(E23*1,2)</f>
        <v>84470.48</v>
      </c>
      <c r="G23" s="174">
        <f t="shared" ref="G23:G26" si="20">ROUND(F23*1.2,2)</f>
        <v>101364.58</v>
      </c>
      <c r="H23" s="174"/>
      <c r="I23" s="174"/>
      <c r="J23" s="174"/>
      <c r="K23" s="174">
        <f t="shared" ref="K23:K26" si="21">F23+I23</f>
        <v>84470.48</v>
      </c>
      <c r="L23" s="174">
        <f t="shared" ref="L23:L26" si="22">G23+J23</f>
        <v>101364.58</v>
      </c>
      <c r="M23" s="166" t="s">
        <v>341</v>
      </c>
    </row>
    <row r="24" spans="1:13" ht="19.5" customHeight="1" x14ac:dyDescent="0.25">
      <c r="A24" s="46" t="s">
        <v>162</v>
      </c>
      <c r="B24" s="99" t="s">
        <v>342</v>
      </c>
      <c r="C24" s="38" t="s">
        <v>24</v>
      </c>
      <c r="D24" s="151">
        <v>4.3899999999999997</v>
      </c>
      <c r="E24" s="175"/>
      <c r="F24" s="175"/>
      <c r="G24" s="175"/>
      <c r="H24" s="175"/>
      <c r="I24" s="175"/>
      <c r="J24" s="175"/>
      <c r="K24" s="175"/>
      <c r="L24" s="175"/>
      <c r="M24" s="166"/>
    </row>
    <row r="25" spans="1:13" ht="19.5" customHeight="1" x14ac:dyDescent="0.25">
      <c r="A25" s="46" t="s">
        <v>447</v>
      </c>
      <c r="B25" s="99" t="s">
        <v>338</v>
      </c>
      <c r="C25" s="38" t="s">
        <v>66</v>
      </c>
      <c r="D25" s="150">
        <v>1</v>
      </c>
      <c r="E25" s="175"/>
      <c r="F25" s="175">
        <f t="shared" ref="F25:F26" si="23">ROUND(E25*D25,2)</f>
        <v>0</v>
      </c>
      <c r="G25" s="175">
        <f t="shared" si="20"/>
        <v>0</v>
      </c>
      <c r="H25" s="175"/>
      <c r="I25" s="175"/>
      <c r="J25" s="175"/>
      <c r="K25" s="175">
        <f t="shared" si="21"/>
        <v>0</v>
      </c>
      <c r="L25" s="175">
        <f t="shared" si="22"/>
        <v>0</v>
      </c>
      <c r="M25" s="166"/>
    </row>
    <row r="26" spans="1:13" ht="19.5" customHeight="1" x14ac:dyDescent="0.25">
      <c r="A26" s="46" t="s">
        <v>448</v>
      </c>
      <c r="B26" s="99" t="s">
        <v>437</v>
      </c>
      <c r="C26" s="38" t="s">
        <v>24</v>
      </c>
      <c r="D26" s="151">
        <v>0.49</v>
      </c>
      <c r="E26" s="175"/>
      <c r="F26" s="175">
        <f t="shared" si="23"/>
        <v>0</v>
      </c>
      <c r="G26" s="175">
        <f t="shared" si="20"/>
        <v>0</v>
      </c>
      <c r="H26" s="175"/>
      <c r="I26" s="175"/>
      <c r="J26" s="175"/>
      <c r="K26" s="175">
        <f t="shared" si="21"/>
        <v>0</v>
      </c>
      <c r="L26" s="175">
        <f t="shared" si="22"/>
        <v>0</v>
      </c>
      <c r="M26" s="166"/>
    </row>
    <row r="27" spans="1:13" ht="21.75" customHeight="1" x14ac:dyDescent="0.25">
      <c r="A27" s="30"/>
      <c r="B27" s="43" t="s">
        <v>439</v>
      </c>
      <c r="C27" s="38"/>
      <c r="D27" s="116"/>
      <c r="E27" s="64"/>
      <c r="F27" s="33"/>
      <c r="G27" s="33"/>
      <c r="H27" s="61"/>
      <c r="I27" s="62"/>
      <c r="J27" s="62"/>
      <c r="K27" s="64"/>
      <c r="L27" s="42"/>
    </row>
    <row r="28" spans="1:13" s="66" customFormat="1" ht="17.25" customHeight="1" x14ac:dyDescent="0.25">
      <c r="A28" s="38">
        <f>A23+1</f>
        <v>14</v>
      </c>
      <c r="B28" s="99" t="s">
        <v>333</v>
      </c>
      <c r="C28" s="38" t="s">
        <v>66</v>
      </c>
      <c r="D28" s="150">
        <v>1</v>
      </c>
      <c r="E28" s="64">
        <f>0.8*4741.45</f>
        <v>3793.16</v>
      </c>
      <c r="F28" s="33">
        <f t="shared" ref="F28:F34" si="24">ROUND(E28*D28,2)</f>
        <v>3793.16</v>
      </c>
      <c r="G28" s="33">
        <f t="shared" ref="G28:G34" si="25">ROUND(F28*1.2,2)</f>
        <v>4551.79</v>
      </c>
      <c r="H28" s="61"/>
      <c r="I28" s="62"/>
      <c r="J28" s="62"/>
      <c r="K28" s="64">
        <f t="shared" ref="K28:K34" si="26">F28+I28</f>
        <v>3793.16</v>
      </c>
      <c r="L28" s="42">
        <f t="shared" ref="L28:L34" si="27">G28+J28</f>
        <v>4551.79</v>
      </c>
      <c r="M28" s="71" t="s">
        <v>332</v>
      </c>
    </row>
    <row r="29" spans="1:13" ht="17.25" customHeight="1" x14ac:dyDescent="0.25">
      <c r="A29" s="38">
        <f>A28+1</f>
        <v>15</v>
      </c>
      <c r="B29" s="99" t="s">
        <v>331</v>
      </c>
      <c r="C29" s="38" t="s">
        <v>66</v>
      </c>
      <c r="D29" s="150">
        <v>2</v>
      </c>
      <c r="E29" s="64">
        <f>0.8*2337</f>
        <v>1869.6000000000001</v>
      </c>
      <c r="F29" s="33">
        <f t="shared" si="24"/>
        <v>3739.2</v>
      </c>
      <c r="G29" s="33">
        <f t="shared" si="25"/>
        <v>4487.04</v>
      </c>
      <c r="H29" s="35"/>
      <c r="I29" s="35"/>
      <c r="J29" s="35"/>
      <c r="K29" s="32">
        <f t="shared" si="26"/>
        <v>3739.2</v>
      </c>
      <c r="L29" s="35">
        <f t="shared" si="27"/>
        <v>4487.04</v>
      </c>
      <c r="M29" s="71" t="s">
        <v>332</v>
      </c>
    </row>
    <row r="30" spans="1:13" ht="19.5" customHeight="1" x14ac:dyDescent="0.25">
      <c r="A30" s="30">
        <f>A29+1</f>
        <v>16</v>
      </c>
      <c r="B30" s="37" t="s">
        <v>440</v>
      </c>
      <c r="C30" s="38" t="s">
        <v>22</v>
      </c>
      <c r="D30" s="154">
        <v>1.5</v>
      </c>
      <c r="E30" s="64">
        <v>828.5</v>
      </c>
      <c r="F30" s="33">
        <f t="shared" si="24"/>
        <v>1242.75</v>
      </c>
      <c r="G30" s="33">
        <f t="shared" si="25"/>
        <v>1491.3</v>
      </c>
      <c r="H30" s="61"/>
      <c r="I30" s="62"/>
      <c r="J30" s="62"/>
      <c r="K30" s="64">
        <f t="shared" si="26"/>
        <v>1242.75</v>
      </c>
      <c r="L30" s="42">
        <f t="shared" si="27"/>
        <v>1491.3</v>
      </c>
      <c r="M30" s="41" t="s">
        <v>335</v>
      </c>
    </row>
    <row r="31" spans="1:13" ht="19.5" customHeight="1" x14ac:dyDescent="0.25">
      <c r="A31" s="30">
        <f t="shared" ref="A31:A34" si="28">A30+1</f>
        <v>17</v>
      </c>
      <c r="B31" s="99" t="s">
        <v>441</v>
      </c>
      <c r="C31" s="38" t="s">
        <v>22</v>
      </c>
      <c r="D31" s="150">
        <v>1</v>
      </c>
      <c r="E31" s="64">
        <v>497.09999999999997</v>
      </c>
      <c r="F31" s="33">
        <f t="shared" si="24"/>
        <v>497.1</v>
      </c>
      <c r="G31" s="33">
        <f t="shared" si="25"/>
        <v>596.52</v>
      </c>
      <c r="H31" s="61"/>
      <c r="I31" s="62"/>
      <c r="J31" s="62"/>
      <c r="K31" s="64">
        <f t="shared" si="26"/>
        <v>497.1</v>
      </c>
      <c r="L31" s="42">
        <f t="shared" si="27"/>
        <v>596.52</v>
      </c>
    </row>
    <row r="32" spans="1:13" ht="19.5" customHeight="1" x14ac:dyDescent="0.25">
      <c r="A32" s="30">
        <f t="shared" si="28"/>
        <v>18</v>
      </c>
      <c r="B32" s="129" t="s">
        <v>436</v>
      </c>
      <c r="C32" s="38" t="s">
        <v>66</v>
      </c>
      <c r="D32" s="153">
        <v>2</v>
      </c>
      <c r="E32" s="64">
        <v>662.80000000000007</v>
      </c>
      <c r="F32" s="33">
        <f t="shared" si="24"/>
        <v>1325.6</v>
      </c>
      <c r="G32" s="33">
        <f t="shared" si="25"/>
        <v>1590.72</v>
      </c>
      <c r="H32" s="64"/>
      <c r="I32" s="35"/>
      <c r="J32" s="35"/>
      <c r="K32" s="64">
        <f t="shared" si="26"/>
        <v>1325.6</v>
      </c>
      <c r="L32" s="42">
        <f t="shared" si="27"/>
        <v>1590.72</v>
      </c>
    </row>
    <row r="33" spans="1:13" ht="19.5" customHeight="1" x14ac:dyDescent="0.25">
      <c r="A33" s="30">
        <f t="shared" si="28"/>
        <v>19</v>
      </c>
      <c r="B33" s="129" t="s">
        <v>443</v>
      </c>
      <c r="C33" s="38" t="s">
        <v>66</v>
      </c>
      <c r="D33" s="153">
        <v>2</v>
      </c>
      <c r="E33" s="64">
        <f>E21*0.8</f>
        <v>397.68</v>
      </c>
      <c r="F33" s="33">
        <f t="shared" si="24"/>
        <v>795.36</v>
      </c>
      <c r="G33" s="33">
        <f t="shared" si="25"/>
        <v>954.43</v>
      </c>
      <c r="H33" s="64"/>
      <c r="I33" s="35"/>
      <c r="J33" s="35"/>
      <c r="K33" s="64">
        <f t="shared" si="26"/>
        <v>795.36</v>
      </c>
      <c r="L33" s="42">
        <f t="shared" si="27"/>
        <v>954.43</v>
      </c>
    </row>
    <row r="34" spans="1:13" ht="17.25" customHeight="1" x14ac:dyDescent="0.25">
      <c r="A34" s="30">
        <f t="shared" si="28"/>
        <v>20</v>
      </c>
      <c r="B34" s="99" t="s">
        <v>444</v>
      </c>
      <c r="C34" s="38" t="s">
        <v>66</v>
      </c>
      <c r="D34" s="150">
        <v>1</v>
      </c>
      <c r="E34" s="64">
        <f>0.8*4704.4</f>
        <v>3763.52</v>
      </c>
      <c r="F34" s="33">
        <f t="shared" si="24"/>
        <v>3763.52</v>
      </c>
      <c r="G34" s="33">
        <f t="shared" si="25"/>
        <v>4516.22</v>
      </c>
      <c r="H34" s="64"/>
      <c r="I34" s="35"/>
      <c r="J34" s="35"/>
      <c r="K34" s="64">
        <f t="shared" si="26"/>
        <v>3763.52</v>
      </c>
      <c r="L34" s="42">
        <f t="shared" si="27"/>
        <v>4516.22</v>
      </c>
      <c r="M34" s="71" t="s">
        <v>334</v>
      </c>
    </row>
    <row r="35" spans="1:13" ht="21.75" customHeight="1" x14ac:dyDescent="0.25">
      <c r="A35" s="30"/>
      <c r="B35" s="114" t="s">
        <v>445</v>
      </c>
      <c r="C35" s="38"/>
      <c r="D35" s="151"/>
      <c r="E35" s="64"/>
      <c r="F35" s="35"/>
      <c r="G35" s="35"/>
      <c r="H35" s="67"/>
      <c r="I35" s="35"/>
      <c r="J35" s="35"/>
      <c r="K35" s="64"/>
      <c r="L35" s="42"/>
    </row>
    <row r="36" spans="1:13" ht="28.5" customHeight="1" x14ac:dyDescent="0.25">
      <c r="A36" s="38">
        <f>A34+1</f>
        <v>21</v>
      </c>
      <c r="B36" s="99" t="s">
        <v>340</v>
      </c>
      <c r="C36" s="100" t="s">
        <v>24</v>
      </c>
      <c r="D36" s="155">
        <v>0.3</v>
      </c>
      <c r="E36" s="174">
        <f>14540/0.84*0.3</f>
        <v>5192.8571428571422</v>
      </c>
      <c r="F36" s="174">
        <f>ROUND(E36*1,2)</f>
        <v>5192.8599999999997</v>
      </c>
      <c r="G36" s="174">
        <f t="shared" ref="G36" si="29">ROUND(F36*1.2,2)</f>
        <v>6231.43</v>
      </c>
      <c r="H36" s="174"/>
      <c r="I36" s="174"/>
      <c r="J36" s="174"/>
      <c r="K36" s="174">
        <f t="shared" ref="K36" si="30">F36+I36</f>
        <v>5192.8599999999997</v>
      </c>
      <c r="L36" s="174">
        <f t="shared" ref="L36" si="31">G36+J36</f>
        <v>6231.43</v>
      </c>
    </row>
    <row r="37" spans="1:13" ht="19.5" customHeight="1" x14ac:dyDescent="0.25">
      <c r="A37" s="46" t="s">
        <v>78</v>
      </c>
      <c r="B37" s="99" t="s">
        <v>338</v>
      </c>
      <c r="C37" s="100" t="s">
        <v>66</v>
      </c>
      <c r="D37" s="150">
        <v>1</v>
      </c>
      <c r="E37" s="175"/>
      <c r="F37" s="175"/>
      <c r="G37" s="175"/>
      <c r="H37" s="175"/>
      <c r="I37" s="175"/>
      <c r="J37" s="175"/>
      <c r="K37" s="175"/>
      <c r="L37" s="175"/>
      <c r="M37" s="41" t="s">
        <v>341</v>
      </c>
    </row>
    <row r="38" spans="1:13" ht="19.5" customHeight="1" x14ac:dyDescent="0.25">
      <c r="A38" s="46" t="s">
        <v>339</v>
      </c>
      <c r="B38" s="99" t="s">
        <v>342</v>
      </c>
      <c r="C38" s="100" t="s">
        <v>24</v>
      </c>
      <c r="D38" s="154">
        <v>0.3</v>
      </c>
      <c r="E38" s="175"/>
      <c r="F38" s="175"/>
      <c r="G38" s="175"/>
      <c r="H38" s="175"/>
      <c r="I38" s="175"/>
      <c r="J38" s="175"/>
      <c r="K38" s="175"/>
      <c r="L38" s="175"/>
    </row>
    <row r="39" spans="1:13" ht="20.25" customHeight="1" x14ac:dyDescent="0.25">
      <c r="A39" s="56"/>
      <c r="B39" s="43" t="s">
        <v>232</v>
      </c>
      <c r="C39" s="38"/>
      <c r="D39" s="57"/>
      <c r="E39" s="58"/>
      <c r="F39" s="59"/>
      <c r="G39" s="60"/>
      <c r="H39" s="61"/>
      <c r="I39" s="62"/>
      <c r="J39" s="62"/>
      <c r="K39" s="63"/>
      <c r="L39" s="62"/>
    </row>
    <row r="40" spans="1:13" ht="29.25" customHeight="1" x14ac:dyDescent="0.25">
      <c r="A40" s="30">
        <f>A36+1</f>
        <v>22</v>
      </c>
      <c r="B40" s="99" t="s">
        <v>27</v>
      </c>
      <c r="C40" s="100" t="s">
        <v>38</v>
      </c>
      <c r="D40" s="152">
        <v>9.6199999999999992</v>
      </c>
      <c r="E40" s="64">
        <v>544.86</v>
      </c>
      <c r="F40" s="33">
        <f>ROUND(E40*D40,2)</f>
        <v>5241.55</v>
      </c>
      <c r="G40" s="33">
        <f t="shared" ref="G40" si="32">ROUND(F40*1.2,2)</f>
        <v>6289.86</v>
      </c>
      <c r="H40" s="61"/>
      <c r="I40" s="62"/>
      <c r="J40" s="62"/>
      <c r="K40" s="64">
        <f t="shared" ref="K40" si="33">F40+I40</f>
        <v>5241.55</v>
      </c>
      <c r="L40" s="42">
        <f t="shared" ref="L40" si="34">G40+J40</f>
        <v>6289.86</v>
      </c>
      <c r="M40" s="71" t="s">
        <v>328</v>
      </c>
    </row>
    <row r="41" spans="1:13" ht="33.75" hidden="1" customHeight="1" x14ac:dyDescent="0.25">
      <c r="A41" s="30" t="e">
        <f>#REF!+1</f>
        <v>#REF!</v>
      </c>
      <c r="B41" s="37" t="s">
        <v>343</v>
      </c>
      <c r="C41" s="38" t="s">
        <v>38</v>
      </c>
      <c r="D41" s="151">
        <v>7.8395999999999999</v>
      </c>
      <c r="E41" s="64"/>
      <c r="F41" s="42">
        <f>ROUND(E41*D41,2)*0</f>
        <v>0</v>
      </c>
      <c r="G41" s="42">
        <f t="shared" ref="G41" si="35">ROUND(F41*1.2,2)</f>
        <v>0</v>
      </c>
      <c r="H41" s="64"/>
      <c r="I41" s="42"/>
      <c r="J41" s="42"/>
      <c r="K41" s="64">
        <f t="shared" ref="K41:L41" si="36">F41+I41</f>
        <v>0</v>
      </c>
      <c r="L41" s="42">
        <f t="shared" si="36"/>
        <v>0</v>
      </c>
    </row>
    <row r="42" spans="1:13" ht="19.5" customHeight="1" x14ac:dyDescent="0.25">
      <c r="A42" s="46"/>
      <c r="B42" s="43" t="s">
        <v>344</v>
      </c>
      <c r="C42" s="38"/>
      <c r="D42" s="151"/>
      <c r="E42" s="64"/>
      <c r="F42" s="35"/>
      <c r="G42" s="35"/>
      <c r="H42" s="35"/>
      <c r="I42" s="35"/>
      <c r="J42" s="35"/>
      <c r="K42" s="32"/>
      <c r="L42" s="35"/>
    </row>
    <row r="43" spans="1:13" ht="30.75" customHeight="1" x14ac:dyDescent="0.25">
      <c r="A43" s="30">
        <f>A40+1</f>
        <v>23</v>
      </c>
      <c r="B43" s="99" t="s">
        <v>449</v>
      </c>
      <c r="C43" s="100" t="s">
        <v>345</v>
      </c>
      <c r="D43" s="151">
        <v>48.6</v>
      </c>
      <c r="E43" s="64">
        <v>308.75</v>
      </c>
      <c r="F43" s="33">
        <f t="shared" ref="F43:F44" si="37">ROUND(E43*D43,2)</f>
        <v>15005.25</v>
      </c>
      <c r="G43" s="33">
        <f t="shared" ref="G43:G44" si="38">ROUND(F43*1.2,2)</f>
        <v>18006.3</v>
      </c>
      <c r="H43" s="61"/>
      <c r="I43" s="62"/>
      <c r="J43" s="62"/>
      <c r="K43" s="64">
        <f t="shared" ref="K43:L48" si="39">F43+I43</f>
        <v>15005.25</v>
      </c>
      <c r="L43" s="42">
        <f t="shared" si="39"/>
        <v>18006.3</v>
      </c>
    </row>
    <row r="44" spans="1:13" ht="21" customHeight="1" x14ac:dyDescent="0.25">
      <c r="A44" s="30">
        <f>A43+1</f>
        <v>24</v>
      </c>
      <c r="B44" s="99" t="s">
        <v>47</v>
      </c>
      <c r="C44" s="100" t="s">
        <v>345</v>
      </c>
      <c r="D44" s="151">
        <v>1.5</v>
      </c>
      <c r="E44" s="64">
        <v>1688.15</v>
      </c>
      <c r="F44" s="33">
        <f t="shared" si="37"/>
        <v>2532.23</v>
      </c>
      <c r="G44" s="33">
        <f t="shared" si="38"/>
        <v>3038.68</v>
      </c>
      <c r="H44" s="61"/>
      <c r="I44" s="62"/>
      <c r="J44" s="62"/>
      <c r="K44" s="64">
        <f t="shared" si="39"/>
        <v>2532.23</v>
      </c>
      <c r="L44" s="42">
        <f t="shared" si="39"/>
        <v>3038.68</v>
      </c>
    </row>
    <row r="45" spans="1:13" x14ac:dyDescent="0.25">
      <c r="A45" s="30">
        <f>A44+1</f>
        <v>25</v>
      </c>
      <c r="B45" s="73" t="s">
        <v>347</v>
      </c>
      <c r="C45" s="38" t="s">
        <v>345</v>
      </c>
      <c r="D45" s="151">
        <v>10.029999999999999</v>
      </c>
      <c r="E45" s="64">
        <v>1310.05</v>
      </c>
      <c r="F45" s="33">
        <f t="shared" ref="F45" si="40">ROUND(E45*D45,2)</f>
        <v>13139.8</v>
      </c>
      <c r="G45" s="33">
        <f t="shared" ref="G45" si="41">ROUND(F45*1.2,2)</f>
        <v>15767.76</v>
      </c>
      <c r="H45" s="35"/>
      <c r="I45" s="35"/>
      <c r="J45" s="35"/>
      <c r="K45" s="32">
        <f t="shared" si="39"/>
        <v>13139.8</v>
      </c>
      <c r="L45" s="35">
        <f t="shared" si="39"/>
        <v>15767.76</v>
      </c>
    </row>
    <row r="46" spans="1:13" ht="19.5" customHeight="1" x14ac:dyDescent="0.25">
      <c r="A46" s="46" t="s">
        <v>91</v>
      </c>
      <c r="B46" s="47" t="s">
        <v>50</v>
      </c>
      <c r="C46" s="48" t="s">
        <v>24</v>
      </c>
      <c r="D46" s="49">
        <f>D45*1.1</f>
        <v>11.032999999999999</v>
      </c>
      <c r="E46" s="70"/>
      <c r="F46" s="51"/>
      <c r="G46" s="51"/>
      <c r="H46" s="51">
        <v>1191.3</v>
      </c>
      <c r="I46" s="51">
        <f>ROUND(H46*D46,2)</f>
        <v>13143.61</v>
      </c>
      <c r="J46" s="51">
        <f>ROUND(I46*1.2,2)</f>
        <v>15772.33</v>
      </c>
      <c r="K46" s="52">
        <f t="shared" si="39"/>
        <v>13143.61</v>
      </c>
      <c r="L46" s="51">
        <f t="shared" si="39"/>
        <v>15772.33</v>
      </c>
    </row>
    <row r="47" spans="1:13" ht="17.25" customHeight="1" x14ac:dyDescent="0.25">
      <c r="A47" s="38">
        <f>A45+1</f>
        <v>26</v>
      </c>
      <c r="B47" s="73" t="s">
        <v>348</v>
      </c>
      <c r="C47" s="38" t="s">
        <v>345</v>
      </c>
      <c r="D47" s="151">
        <v>50.16</v>
      </c>
      <c r="E47" s="64">
        <v>118.75</v>
      </c>
      <c r="F47" s="33">
        <f t="shared" ref="F47:F48" si="42">ROUND(E47*D47,2)</f>
        <v>5956.5</v>
      </c>
      <c r="G47" s="33">
        <f t="shared" ref="G47:G48" si="43">ROUND(F47*1.2,2)</f>
        <v>7147.8</v>
      </c>
      <c r="H47" s="35"/>
      <c r="I47" s="35"/>
      <c r="J47" s="35"/>
      <c r="K47" s="32">
        <f t="shared" si="39"/>
        <v>5956.5</v>
      </c>
      <c r="L47" s="35">
        <f t="shared" si="39"/>
        <v>7147.8</v>
      </c>
    </row>
    <row r="48" spans="1:13" ht="17.25" customHeight="1" x14ac:dyDescent="0.25">
      <c r="A48" s="38">
        <f>A47+1</f>
        <v>27</v>
      </c>
      <c r="B48" s="99" t="s">
        <v>53</v>
      </c>
      <c r="C48" s="100" t="s">
        <v>345</v>
      </c>
      <c r="D48" s="151">
        <v>50.16</v>
      </c>
      <c r="E48" s="64">
        <v>188.1</v>
      </c>
      <c r="F48" s="33">
        <f t="shared" si="42"/>
        <v>9435.1</v>
      </c>
      <c r="G48" s="33">
        <f t="shared" si="43"/>
        <v>11322.12</v>
      </c>
      <c r="H48" s="64"/>
      <c r="I48" s="35"/>
      <c r="J48" s="35"/>
      <c r="K48" s="64">
        <f t="shared" si="39"/>
        <v>9435.1</v>
      </c>
      <c r="L48" s="42">
        <f t="shared" si="39"/>
        <v>11322.12</v>
      </c>
    </row>
    <row r="49" spans="1:13" x14ac:dyDescent="0.25">
      <c r="A49" s="46"/>
      <c r="B49" s="43" t="s">
        <v>349</v>
      </c>
      <c r="C49" s="38"/>
      <c r="D49" s="151"/>
      <c r="E49" s="64"/>
      <c r="F49" s="35"/>
      <c r="G49" s="35"/>
      <c r="H49" s="67"/>
      <c r="I49" s="35"/>
      <c r="J49" s="35"/>
      <c r="K49" s="32"/>
      <c r="L49" s="35"/>
    </row>
    <row r="50" spans="1:13" ht="30.75" customHeight="1" x14ac:dyDescent="0.25">
      <c r="A50" s="30">
        <f>A48+1</f>
        <v>28</v>
      </c>
      <c r="B50" s="99" t="s">
        <v>454</v>
      </c>
      <c r="C50" s="100" t="s">
        <v>345</v>
      </c>
      <c r="D50" s="151">
        <v>97.78</v>
      </c>
      <c r="E50" s="64">
        <v>630</v>
      </c>
      <c r="F50" s="33">
        <f t="shared" ref="F50:F51" si="44">ROUND(E50*D50,2)</f>
        <v>61601.4</v>
      </c>
      <c r="G50" s="33">
        <f t="shared" ref="G50:G51" si="45">ROUND(F50*1.2,2)</f>
        <v>73921.679999999993</v>
      </c>
      <c r="H50" s="61"/>
      <c r="I50" s="62"/>
      <c r="J50" s="62"/>
      <c r="K50" s="64">
        <f t="shared" ref="K50:K55" si="46">F50+I50</f>
        <v>61601.4</v>
      </c>
      <c r="L50" s="42">
        <f t="shared" ref="L50:L55" si="47">G50+J50</f>
        <v>73921.679999999993</v>
      </c>
      <c r="M50" s="71" t="s">
        <v>350</v>
      </c>
    </row>
    <row r="51" spans="1:13" ht="21" customHeight="1" x14ac:dyDescent="0.25">
      <c r="A51" s="30">
        <f>A50+1</f>
        <v>29</v>
      </c>
      <c r="B51" s="99" t="s">
        <v>455</v>
      </c>
      <c r="C51" s="100" t="s">
        <v>345</v>
      </c>
      <c r="D51" s="151">
        <v>3.02</v>
      </c>
      <c r="E51" s="64">
        <v>1688.15</v>
      </c>
      <c r="F51" s="33">
        <f t="shared" si="44"/>
        <v>5098.21</v>
      </c>
      <c r="G51" s="33">
        <f t="shared" si="45"/>
        <v>6117.85</v>
      </c>
      <c r="H51" s="61"/>
      <c r="I51" s="62"/>
      <c r="J51" s="62"/>
      <c r="K51" s="64">
        <f t="shared" si="46"/>
        <v>5098.21</v>
      </c>
      <c r="L51" s="42">
        <f t="shared" si="47"/>
        <v>6117.85</v>
      </c>
    </row>
    <row r="52" spans="1:13" x14ac:dyDescent="0.25">
      <c r="A52" s="30">
        <f>A51+1</f>
        <v>30</v>
      </c>
      <c r="B52" s="73" t="s">
        <v>351</v>
      </c>
      <c r="C52" s="38" t="s">
        <v>345</v>
      </c>
      <c r="D52" s="151">
        <v>20.55</v>
      </c>
      <c r="E52" s="64">
        <v>1350.8999999999999</v>
      </c>
      <c r="F52" s="33">
        <f t="shared" ref="F52" si="48">ROUND(E52*D52,2)</f>
        <v>27761</v>
      </c>
      <c r="G52" s="33">
        <f t="shared" ref="G52" si="49">ROUND(F52*1.2,2)</f>
        <v>33313.199999999997</v>
      </c>
      <c r="H52" s="35"/>
      <c r="I52" s="35"/>
      <c r="J52" s="35"/>
      <c r="K52" s="32">
        <f t="shared" si="46"/>
        <v>27761</v>
      </c>
      <c r="L52" s="35">
        <f t="shared" si="47"/>
        <v>33313.199999999997</v>
      </c>
    </row>
    <row r="53" spans="1:13" ht="19.5" customHeight="1" x14ac:dyDescent="0.25">
      <c r="A53" s="46" t="s">
        <v>107</v>
      </c>
      <c r="B53" s="47" t="s">
        <v>50</v>
      </c>
      <c r="C53" s="48" t="s">
        <v>24</v>
      </c>
      <c r="D53" s="49">
        <f>D52*1.1</f>
        <v>22.605000000000004</v>
      </c>
      <c r="E53" s="70"/>
      <c r="F53" s="51"/>
      <c r="G53" s="51"/>
      <c r="H53" s="51">
        <v>1191.3</v>
      </c>
      <c r="I53" s="51">
        <f>ROUND(H53*D53,2)</f>
        <v>26929.34</v>
      </c>
      <c r="J53" s="51">
        <f>ROUND(I53*1.2,2)</f>
        <v>32315.21</v>
      </c>
      <c r="K53" s="52">
        <f t="shared" si="46"/>
        <v>26929.34</v>
      </c>
      <c r="L53" s="51">
        <f t="shared" si="47"/>
        <v>32315.21</v>
      </c>
    </row>
    <row r="54" spans="1:13" x14ac:dyDescent="0.25">
      <c r="A54" s="38">
        <f>A52+1</f>
        <v>31</v>
      </c>
      <c r="B54" s="73" t="s">
        <v>352</v>
      </c>
      <c r="C54" s="38" t="s">
        <v>345</v>
      </c>
      <c r="D54" s="151">
        <v>107.4</v>
      </c>
      <c r="E54" s="64">
        <v>118.75</v>
      </c>
      <c r="F54" s="33">
        <f t="shared" ref="F54:F55" si="50">ROUND(E54*D54,2)</f>
        <v>12753.75</v>
      </c>
      <c r="G54" s="33">
        <f t="shared" ref="G54:G55" si="51">ROUND(F54*1.2,2)</f>
        <v>15304.5</v>
      </c>
      <c r="H54" s="35"/>
      <c r="I54" s="35"/>
      <c r="J54" s="35"/>
      <c r="K54" s="32">
        <f t="shared" si="46"/>
        <v>12753.75</v>
      </c>
      <c r="L54" s="35">
        <f t="shared" si="47"/>
        <v>15304.5</v>
      </c>
    </row>
    <row r="55" spans="1:13" x14ac:dyDescent="0.25">
      <c r="A55" s="38">
        <f>A54+1</f>
        <v>32</v>
      </c>
      <c r="B55" s="99" t="s">
        <v>53</v>
      </c>
      <c r="C55" s="100" t="s">
        <v>345</v>
      </c>
      <c r="D55" s="151">
        <v>107.4</v>
      </c>
      <c r="E55" s="64">
        <v>188.1</v>
      </c>
      <c r="F55" s="33">
        <f t="shared" si="50"/>
        <v>20201.939999999999</v>
      </c>
      <c r="G55" s="33">
        <f t="shared" si="51"/>
        <v>24242.33</v>
      </c>
      <c r="H55" s="64"/>
      <c r="I55" s="35"/>
      <c r="J55" s="35"/>
      <c r="K55" s="64">
        <f t="shared" si="46"/>
        <v>20201.939999999999</v>
      </c>
      <c r="L55" s="42">
        <f t="shared" si="47"/>
        <v>24242.33</v>
      </c>
    </row>
    <row r="56" spans="1:13" s="66" customFormat="1" ht="17.25" customHeight="1" x14ac:dyDescent="0.25">
      <c r="A56" s="46"/>
      <c r="B56" s="43" t="s">
        <v>450</v>
      </c>
      <c r="C56" s="38"/>
      <c r="D56" s="156"/>
      <c r="E56" s="35"/>
      <c r="F56" s="35"/>
      <c r="G56" s="35"/>
      <c r="H56" s="35"/>
      <c r="I56" s="35"/>
      <c r="J56" s="35"/>
      <c r="K56" s="32"/>
      <c r="L56" s="35"/>
      <c r="M56" s="41"/>
    </row>
    <row r="57" spans="1:13" ht="20.25" customHeight="1" x14ac:dyDescent="0.25">
      <c r="A57" s="30">
        <f>A55+1</f>
        <v>33</v>
      </c>
      <c r="B57" s="37" t="s">
        <v>346</v>
      </c>
      <c r="C57" s="38" t="s">
        <v>345</v>
      </c>
      <c r="D57" s="151">
        <v>1.1499999999999999</v>
      </c>
      <c r="E57" s="64">
        <v>2057.89</v>
      </c>
      <c r="F57" s="42">
        <f>ROUND(E57*D57,2)</f>
        <v>2366.5700000000002</v>
      </c>
      <c r="G57" s="42">
        <f t="shared" ref="G57" si="52">ROUND(F57*1.2,2)</f>
        <v>2839.88</v>
      </c>
      <c r="H57" s="64"/>
      <c r="I57" s="42"/>
      <c r="J57" s="42"/>
      <c r="K57" s="64">
        <f t="shared" ref="K57:K58" si="53">F57+I57</f>
        <v>2366.5700000000002</v>
      </c>
      <c r="L57" s="42">
        <f t="shared" ref="L57:L58" si="54">G57+J57</f>
        <v>2839.88</v>
      </c>
    </row>
    <row r="58" spans="1:13" ht="20.25" customHeight="1" x14ac:dyDescent="0.25">
      <c r="A58" s="46" t="s">
        <v>116</v>
      </c>
      <c r="B58" s="47" t="s">
        <v>159</v>
      </c>
      <c r="C58" s="48" t="s">
        <v>24</v>
      </c>
      <c r="D58" s="49">
        <f>D57*1.26</f>
        <v>1.4489999999999998</v>
      </c>
      <c r="E58" s="70"/>
      <c r="F58" s="68"/>
      <c r="G58" s="68"/>
      <c r="H58" s="70">
        <v>2827.08</v>
      </c>
      <c r="I58" s="51">
        <f>ROUND(H58*D58,2)</f>
        <v>4096.4399999999996</v>
      </c>
      <c r="J58" s="51">
        <f>ROUND(I58*1.2,2)</f>
        <v>4915.7299999999996</v>
      </c>
      <c r="K58" s="52">
        <f t="shared" si="53"/>
        <v>4096.4399999999996</v>
      </c>
      <c r="L58" s="51">
        <f t="shared" si="54"/>
        <v>4915.7299999999996</v>
      </c>
      <c r="M58" s="69"/>
    </row>
    <row r="59" spans="1:13" ht="18.75" customHeight="1" x14ac:dyDescent="0.25">
      <c r="A59" s="30">
        <f>A57+1</f>
        <v>34</v>
      </c>
      <c r="B59" s="99" t="s">
        <v>360</v>
      </c>
      <c r="C59" s="100" t="s">
        <v>345</v>
      </c>
      <c r="D59" s="151">
        <v>2.4220000000000002</v>
      </c>
      <c r="E59" s="123">
        <v>17265.68</v>
      </c>
      <c r="F59" s="35">
        <f>ROUND(E59*D59,2)</f>
        <v>41817.480000000003</v>
      </c>
      <c r="G59" s="35">
        <f t="shared" ref="G59" si="55">ROUND(F59*1.2,2)</f>
        <v>50180.98</v>
      </c>
      <c r="H59" s="64"/>
      <c r="I59" s="35"/>
      <c r="J59" s="35"/>
      <c r="K59" s="64">
        <f t="shared" ref="K59:K71" si="56">F59+I59</f>
        <v>41817.480000000003</v>
      </c>
      <c r="L59" s="42">
        <f t="shared" ref="L59:L71" si="57">G59+J59</f>
        <v>50180.98</v>
      </c>
    </row>
    <row r="60" spans="1:13" x14ac:dyDescent="0.25">
      <c r="A60" s="46" t="s">
        <v>120</v>
      </c>
      <c r="B60" s="78" t="s">
        <v>361</v>
      </c>
      <c r="C60" s="48" t="s">
        <v>66</v>
      </c>
      <c r="D60" s="90">
        <v>1</v>
      </c>
      <c r="E60" s="70"/>
      <c r="F60" s="51"/>
      <c r="G60" s="51"/>
      <c r="H60" s="104">
        <v>11883.33</v>
      </c>
      <c r="I60" s="51">
        <f>ROUND(H60*D60,2)</f>
        <v>11883.33</v>
      </c>
      <c r="J60" s="51">
        <f>ROUND(I60*1.2,2)</f>
        <v>14260</v>
      </c>
      <c r="K60" s="52">
        <f t="shared" si="56"/>
        <v>11883.33</v>
      </c>
      <c r="L60" s="51">
        <f t="shared" si="57"/>
        <v>14260</v>
      </c>
      <c r="M60" s="69"/>
    </row>
    <row r="61" spans="1:13" x14ac:dyDescent="0.25">
      <c r="A61" s="46" t="s">
        <v>464</v>
      </c>
      <c r="B61" s="78" t="s">
        <v>362</v>
      </c>
      <c r="C61" s="48" t="s">
        <v>363</v>
      </c>
      <c r="D61" s="90">
        <v>2</v>
      </c>
      <c r="E61" s="70"/>
      <c r="F61" s="51"/>
      <c r="G61" s="51"/>
      <c r="H61" s="104">
        <v>14566.67</v>
      </c>
      <c r="I61" s="51">
        <f t="shared" ref="I61:I62" si="58">ROUND(H61*D61,2)</f>
        <v>29133.34</v>
      </c>
      <c r="J61" s="51">
        <f t="shared" ref="J61:J62" si="59">ROUND(I61*1.2,2)</f>
        <v>34960.01</v>
      </c>
      <c r="K61" s="52">
        <f t="shared" si="56"/>
        <v>29133.34</v>
      </c>
      <c r="L61" s="51">
        <f t="shared" si="57"/>
        <v>34960.01</v>
      </c>
      <c r="M61" s="69"/>
    </row>
    <row r="62" spans="1:13" x14ac:dyDescent="0.25">
      <c r="A62" s="46" t="s">
        <v>465</v>
      </c>
      <c r="B62" s="78" t="s">
        <v>364</v>
      </c>
      <c r="C62" s="48" t="s">
        <v>363</v>
      </c>
      <c r="D62" s="90">
        <v>1</v>
      </c>
      <c r="E62" s="70"/>
      <c r="F62" s="51"/>
      <c r="G62" s="51"/>
      <c r="H62" s="104">
        <v>11691.67</v>
      </c>
      <c r="I62" s="51">
        <f t="shared" si="58"/>
        <v>11691.67</v>
      </c>
      <c r="J62" s="51">
        <f t="shared" si="59"/>
        <v>14030</v>
      </c>
      <c r="K62" s="52">
        <f t="shared" si="56"/>
        <v>11691.67</v>
      </c>
      <c r="L62" s="51">
        <f t="shared" si="57"/>
        <v>14030</v>
      </c>
      <c r="M62" s="69"/>
    </row>
    <row r="63" spans="1:13" x14ac:dyDescent="0.25">
      <c r="A63" s="46" t="s">
        <v>466</v>
      </c>
      <c r="B63" s="78" t="s">
        <v>590</v>
      </c>
      <c r="C63" s="48" t="s">
        <v>66</v>
      </c>
      <c r="D63" s="90">
        <v>1</v>
      </c>
      <c r="E63" s="70"/>
      <c r="F63" s="51"/>
      <c r="G63" s="51"/>
      <c r="H63" s="104">
        <v>1102.08</v>
      </c>
      <c r="I63" s="51">
        <f t="shared" ref="I63:I64" si="60">ROUND(H63*D63,2)</f>
        <v>1102.08</v>
      </c>
      <c r="J63" s="51">
        <f t="shared" ref="J63:J64" si="61">ROUND(I63*1.2,2)</f>
        <v>1322.5</v>
      </c>
      <c r="K63" s="52">
        <f t="shared" ref="K63:K64" si="62">F63+I63</f>
        <v>1102.08</v>
      </c>
      <c r="L63" s="51">
        <f t="shared" ref="L63:L64" si="63">G63+J63</f>
        <v>1322.5</v>
      </c>
    </row>
    <row r="64" spans="1:13" x14ac:dyDescent="0.25">
      <c r="A64" s="46" t="s">
        <v>467</v>
      </c>
      <c r="B64" s="78" t="s">
        <v>451</v>
      </c>
      <c r="C64" s="48" t="s">
        <v>66</v>
      </c>
      <c r="D64" s="90">
        <v>1</v>
      </c>
      <c r="E64" s="70"/>
      <c r="F64" s="51"/>
      <c r="G64" s="51"/>
      <c r="H64" s="104">
        <v>3099.25</v>
      </c>
      <c r="I64" s="51">
        <f t="shared" si="60"/>
        <v>3099.25</v>
      </c>
      <c r="J64" s="51">
        <f t="shared" si="61"/>
        <v>3719.1</v>
      </c>
      <c r="K64" s="52">
        <f t="shared" si="62"/>
        <v>3099.25</v>
      </c>
      <c r="L64" s="51">
        <f t="shared" si="63"/>
        <v>3719.1</v>
      </c>
    </row>
    <row r="65" spans="1:13" ht="17.25" customHeight="1" x14ac:dyDescent="0.25">
      <c r="A65" s="46" t="s">
        <v>468</v>
      </c>
      <c r="B65" s="78" t="s">
        <v>595</v>
      </c>
      <c r="C65" s="48" t="s">
        <v>66</v>
      </c>
      <c r="D65" s="128">
        <v>1</v>
      </c>
      <c r="E65" s="70"/>
      <c r="F65" s="51"/>
      <c r="G65" s="51"/>
      <c r="H65" s="106">
        <v>3674.25</v>
      </c>
      <c r="I65" s="51">
        <f>ROUND(H65*D65,2)</f>
        <v>3674.25</v>
      </c>
      <c r="J65" s="51">
        <f>ROUND(I65*1.2,2)</f>
        <v>4409.1000000000004</v>
      </c>
      <c r="K65" s="52">
        <f t="shared" si="56"/>
        <v>3674.25</v>
      </c>
      <c r="L65" s="51">
        <f t="shared" si="57"/>
        <v>4409.1000000000004</v>
      </c>
      <c r="M65" s="69"/>
    </row>
    <row r="66" spans="1:13" ht="18.75" customHeight="1" x14ac:dyDescent="0.25">
      <c r="A66" s="30">
        <f>A59+1</f>
        <v>35</v>
      </c>
      <c r="B66" s="73" t="s">
        <v>365</v>
      </c>
      <c r="C66" s="38" t="s">
        <v>66</v>
      </c>
      <c r="D66" s="156">
        <v>1</v>
      </c>
      <c r="E66" s="64">
        <v>1974</v>
      </c>
      <c r="F66" s="35">
        <f>ROUND(E66*D66,2)</f>
        <v>1974</v>
      </c>
      <c r="G66" s="35">
        <f t="shared" ref="G66" si="64">ROUND(F66*1.2,2)</f>
        <v>2368.8000000000002</v>
      </c>
      <c r="H66" s="64"/>
      <c r="I66" s="35"/>
      <c r="J66" s="35"/>
      <c r="K66" s="64">
        <f t="shared" si="56"/>
        <v>1974</v>
      </c>
      <c r="L66" s="42">
        <f t="shared" si="57"/>
        <v>2368.8000000000002</v>
      </c>
    </row>
    <row r="67" spans="1:13" x14ac:dyDescent="0.25">
      <c r="A67" s="46" t="s">
        <v>122</v>
      </c>
      <c r="B67" s="78" t="s">
        <v>366</v>
      </c>
      <c r="C67" s="48" t="s">
        <v>66</v>
      </c>
      <c r="D67" s="90">
        <v>1</v>
      </c>
      <c r="E67" s="70"/>
      <c r="F67" s="51"/>
      <c r="G67" s="51"/>
      <c r="H67" s="70">
        <v>14421</v>
      </c>
      <c r="I67" s="51">
        <f>ROUND(H67*D67,2)</f>
        <v>14421</v>
      </c>
      <c r="J67" s="51">
        <f t="shared" ref="J67" si="65">ROUND(I67*1.2,2)</f>
        <v>17305.2</v>
      </c>
      <c r="K67" s="52">
        <f t="shared" si="56"/>
        <v>14421</v>
      </c>
      <c r="L67" s="51">
        <f t="shared" si="57"/>
        <v>17305.2</v>
      </c>
    </row>
    <row r="68" spans="1:13" ht="27.75" customHeight="1" x14ac:dyDescent="0.25">
      <c r="A68" s="38">
        <f>A66+1</f>
        <v>36</v>
      </c>
      <c r="B68" s="37" t="s">
        <v>371</v>
      </c>
      <c r="C68" s="38" t="s">
        <v>35</v>
      </c>
      <c r="D68" s="152">
        <v>23.27</v>
      </c>
      <c r="E68" s="64">
        <v>144.4</v>
      </c>
      <c r="F68" s="35">
        <f>ROUND(E68*D68,2)</f>
        <v>3360.19</v>
      </c>
      <c r="G68" s="35">
        <f t="shared" ref="G68" si="66">ROUND(F68*1.2,2)</f>
        <v>4032.23</v>
      </c>
      <c r="H68" s="64"/>
      <c r="I68" s="35"/>
      <c r="J68" s="35"/>
      <c r="K68" s="64">
        <f t="shared" si="56"/>
        <v>3360.19</v>
      </c>
      <c r="L68" s="42">
        <f t="shared" si="57"/>
        <v>4032.23</v>
      </c>
      <c r="M68" s="71" t="s">
        <v>262</v>
      </c>
    </row>
    <row r="69" spans="1:13" ht="17.25" customHeight="1" x14ac:dyDescent="0.25">
      <c r="A69" s="46" t="s">
        <v>216</v>
      </c>
      <c r="B69" s="78" t="s">
        <v>372</v>
      </c>
      <c r="C69" s="48" t="s">
        <v>220</v>
      </c>
      <c r="D69" s="117">
        <f>D68*0.3*20/16</f>
        <v>8.7262500000000003</v>
      </c>
      <c r="E69" s="70"/>
      <c r="F69" s="51"/>
      <c r="G69" s="51"/>
      <c r="H69" s="104">
        <v>237.5</v>
      </c>
      <c r="I69" s="51">
        <f>ROUND(H69*D69,2)</f>
        <v>2072.48</v>
      </c>
      <c r="J69" s="51">
        <f t="shared" ref="J69" si="67">ROUND(I69*1.2,2)</f>
        <v>2486.98</v>
      </c>
      <c r="K69" s="52">
        <f t="shared" si="56"/>
        <v>2072.48</v>
      </c>
      <c r="L69" s="51">
        <f t="shared" si="57"/>
        <v>2486.98</v>
      </c>
    </row>
    <row r="70" spans="1:13" ht="28.5" customHeight="1" x14ac:dyDescent="0.25">
      <c r="A70" s="38">
        <f>A68+1</f>
        <v>37</v>
      </c>
      <c r="B70" s="37" t="s">
        <v>373</v>
      </c>
      <c r="C70" s="38" t="s">
        <v>35</v>
      </c>
      <c r="D70" s="152">
        <v>23.27</v>
      </c>
      <c r="E70" s="64">
        <v>299.76</v>
      </c>
      <c r="F70" s="35">
        <f>ROUND(E70*D70,2)</f>
        <v>6975.42</v>
      </c>
      <c r="G70" s="35">
        <f t="shared" ref="G70" si="68">ROUND(F70*1.2,2)</f>
        <v>8370.5</v>
      </c>
      <c r="H70" s="64"/>
      <c r="I70" s="35"/>
      <c r="J70" s="35"/>
      <c r="K70" s="64">
        <f t="shared" si="56"/>
        <v>6975.42</v>
      </c>
      <c r="L70" s="42">
        <f t="shared" si="57"/>
        <v>8370.5</v>
      </c>
      <c r="M70" s="71" t="s">
        <v>262</v>
      </c>
    </row>
    <row r="71" spans="1:13" x14ac:dyDescent="0.25">
      <c r="A71" s="46" t="s">
        <v>125</v>
      </c>
      <c r="B71" s="78" t="s">
        <v>374</v>
      </c>
      <c r="C71" s="48" t="s">
        <v>130</v>
      </c>
      <c r="D71" s="49">
        <f>D70*0.7*2</f>
        <v>32.577999999999996</v>
      </c>
      <c r="E71" s="70"/>
      <c r="F71" s="51"/>
      <c r="G71" s="51"/>
      <c r="H71" s="104">
        <v>296.39999999999998</v>
      </c>
      <c r="I71" s="51">
        <f t="shared" ref="I71" si="69">ROUND(H71*D71,2)</f>
        <v>9656.1200000000008</v>
      </c>
      <c r="J71" s="51">
        <f t="shared" ref="J71" si="70">ROUND(I71*1.2,2)</f>
        <v>11587.34</v>
      </c>
      <c r="K71" s="70">
        <f t="shared" si="56"/>
        <v>9656.1200000000008</v>
      </c>
      <c r="L71" s="68">
        <f t="shared" si="57"/>
        <v>11587.34</v>
      </c>
    </row>
    <row r="72" spans="1:13" s="66" customFormat="1" ht="17.25" customHeight="1" x14ac:dyDescent="0.25">
      <c r="A72" s="46"/>
      <c r="B72" s="43" t="s">
        <v>452</v>
      </c>
      <c r="C72" s="38"/>
      <c r="D72" s="105"/>
      <c r="E72" s="35"/>
      <c r="F72" s="35"/>
      <c r="G72" s="35"/>
      <c r="H72" s="35"/>
      <c r="I72" s="35"/>
      <c r="J72" s="35"/>
      <c r="K72" s="32"/>
      <c r="L72" s="35"/>
      <c r="M72" s="41"/>
    </row>
    <row r="73" spans="1:13" x14ac:dyDescent="0.25">
      <c r="A73" s="38">
        <f>A70+1</f>
        <v>38</v>
      </c>
      <c r="B73" s="37" t="s">
        <v>367</v>
      </c>
      <c r="C73" s="38" t="s">
        <v>24</v>
      </c>
      <c r="D73" s="157">
        <v>0.24</v>
      </c>
      <c r="E73" s="64">
        <v>10878.4</v>
      </c>
      <c r="F73" s="35">
        <f>ROUND(E73*D73,2)</f>
        <v>2610.8200000000002</v>
      </c>
      <c r="G73" s="35">
        <f t="shared" ref="G73" si="71">ROUND(F73*1.2,2)</f>
        <v>3132.98</v>
      </c>
      <c r="H73" s="64"/>
      <c r="I73" s="35"/>
      <c r="J73" s="35"/>
      <c r="K73" s="64">
        <f t="shared" ref="K73:K74" si="72">F73+I73</f>
        <v>2610.8200000000002</v>
      </c>
      <c r="L73" s="42">
        <f t="shared" ref="L73:L74" si="73">G73+J73</f>
        <v>3132.98</v>
      </c>
      <c r="M73" s="71" t="s">
        <v>368</v>
      </c>
    </row>
    <row r="74" spans="1:13" x14ac:dyDescent="0.25">
      <c r="A74" s="46" t="s">
        <v>128</v>
      </c>
      <c r="B74" s="78" t="s">
        <v>369</v>
      </c>
      <c r="C74" s="48" t="s">
        <v>66</v>
      </c>
      <c r="D74" s="90">
        <v>96</v>
      </c>
      <c r="E74" s="70"/>
      <c r="F74" s="51"/>
      <c r="G74" s="51"/>
      <c r="H74" s="104">
        <v>24</v>
      </c>
      <c r="I74" s="51">
        <f t="shared" ref="I74" si="74">ROUND(H74*D74,2)</f>
        <v>2304</v>
      </c>
      <c r="J74" s="51">
        <f t="shared" ref="J74" si="75">ROUND(I74*1.2,2)</f>
        <v>2764.8</v>
      </c>
      <c r="K74" s="52">
        <f t="shared" si="72"/>
        <v>2304</v>
      </c>
      <c r="L74" s="51">
        <f t="shared" si="73"/>
        <v>2764.8</v>
      </c>
      <c r="M74" s="71" t="s">
        <v>370</v>
      </c>
    </row>
    <row r="75" spans="1:13" ht="18.75" customHeight="1" x14ac:dyDescent="0.25">
      <c r="A75" s="30">
        <f>A73+1</f>
        <v>39</v>
      </c>
      <c r="B75" s="99" t="s">
        <v>360</v>
      </c>
      <c r="C75" s="100" t="s">
        <v>345</v>
      </c>
      <c r="D75" s="151">
        <v>0.1</v>
      </c>
      <c r="E75" s="123">
        <v>17265.68</v>
      </c>
      <c r="F75" s="35">
        <f>ROUND(E75*D75,2)</f>
        <v>1726.57</v>
      </c>
      <c r="G75" s="35">
        <f t="shared" ref="G75" si="76">ROUND(F75*1.2,2)</f>
        <v>2071.88</v>
      </c>
      <c r="H75" s="64"/>
      <c r="I75" s="35"/>
      <c r="J75" s="35"/>
      <c r="K75" s="64">
        <f t="shared" ref="K75:K83" si="77">F75+I75</f>
        <v>1726.57</v>
      </c>
      <c r="L75" s="42">
        <f t="shared" ref="L75:L83" si="78">G75+J75</f>
        <v>2071.88</v>
      </c>
    </row>
    <row r="76" spans="1:13" x14ac:dyDescent="0.25">
      <c r="A76" s="46" t="s">
        <v>132</v>
      </c>
      <c r="B76" s="78" t="s">
        <v>453</v>
      </c>
      <c r="C76" s="48" t="s">
        <v>363</v>
      </c>
      <c r="D76" s="90">
        <v>1</v>
      </c>
      <c r="E76" s="70"/>
      <c r="F76" s="51"/>
      <c r="G76" s="51"/>
      <c r="H76" s="104">
        <v>4025</v>
      </c>
      <c r="I76" s="51">
        <f t="shared" ref="I76" si="79">ROUND(H76*D76,2)</f>
        <v>4025</v>
      </c>
      <c r="J76" s="51">
        <f t="shared" ref="J76" si="80">ROUND(I76*1.2,2)</f>
        <v>4830</v>
      </c>
      <c r="K76" s="52">
        <f t="shared" si="77"/>
        <v>4025</v>
      </c>
      <c r="L76" s="51">
        <f t="shared" si="78"/>
        <v>4830</v>
      </c>
      <c r="M76" s="69"/>
    </row>
    <row r="77" spans="1:13" ht="17.25" customHeight="1" x14ac:dyDescent="0.25">
      <c r="A77" s="46" t="s">
        <v>279</v>
      </c>
      <c r="B77" s="78" t="s">
        <v>595</v>
      </c>
      <c r="C77" s="48" t="s">
        <v>130</v>
      </c>
      <c r="D77" s="79">
        <v>1</v>
      </c>
      <c r="E77" s="70"/>
      <c r="F77" s="51"/>
      <c r="G77" s="51"/>
      <c r="H77" s="106">
        <v>3674.25</v>
      </c>
      <c r="I77" s="51">
        <f>ROUND(H77*D77,2)</f>
        <v>3674.25</v>
      </c>
      <c r="J77" s="51">
        <f>ROUND(I77*1.2,2)</f>
        <v>4409.1000000000004</v>
      </c>
      <c r="K77" s="52">
        <f t="shared" si="77"/>
        <v>3674.25</v>
      </c>
      <c r="L77" s="51">
        <f t="shared" si="78"/>
        <v>4409.1000000000004</v>
      </c>
      <c r="M77" s="69"/>
    </row>
    <row r="78" spans="1:13" ht="18.75" customHeight="1" x14ac:dyDescent="0.25">
      <c r="A78" s="30">
        <f>A75+1</f>
        <v>40</v>
      </c>
      <c r="B78" s="73" t="s">
        <v>365</v>
      </c>
      <c r="C78" s="38" t="s">
        <v>66</v>
      </c>
      <c r="D78" s="156">
        <v>1</v>
      </c>
      <c r="E78" s="64">
        <v>1974</v>
      </c>
      <c r="F78" s="35">
        <f>ROUND(E78*D78,2)</f>
        <v>1974</v>
      </c>
      <c r="G78" s="35">
        <f t="shared" ref="G78" si="81">ROUND(F78*1.2,2)</f>
        <v>2368.8000000000002</v>
      </c>
      <c r="H78" s="64"/>
      <c r="I78" s="35"/>
      <c r="J78" s="35"/>
      <c r="K78" s="64">
        <f t="shared" si="77"/>
        <v>1974</v>
      </c>
      <c r="L78" s="42">
        <f t="shared" si="78"/>
        <v>2368.8000000000002</v>
      </c>
    </row>
    <row r="79" spans="1:13" x14ac:dyDescent="0.25">
      <c r="A79" s="46" t="s">
        <v>136</v>
      </c>
      <c r="B79" s="78" t="s">
        <v>366</v>
      </c>
      <c r="C79" s="48" t="s">
        <v>66</v>
      </c>
      <c r="D79" s="90">
        <v>1</v>
      </c>
      <c r="E79" s="70"/>
      <c r="F79" s="51"/>
      <c r="G79" s="51"/>
      <c r="H79" s="70">
        <v>14421</v>
      </c>
      <c r="I79" s="51">
        <f>ROUND(H79*D79,2)</f>
        <v>14421</v>
      </c>
      <c r="J79" s="51">
        <f t="shared" ref="J79" si="82">ROUND(I79*1.2,2)</f>
        <v>17305.2</v>
      </c>
      <c r="K79" s="52">
        <f t="shared" si="77"/>
        <v>14421</v>
      </c>
      <c r="L79" s="51">
        <f t="shared" si="78"/>
        <v>17305.2</v>
      </c>
    </row>
    <row r="80" spans="1:13" ht="27.75" customHeight="1" x14ac:dyDescent="0.25">
      <c r="A80" s="38">
        <f>A78+1</f>
        <v>41</v>
      </c>
      <c r="B80" s="37" t="s">
        <v>371</v>
      </c>
      <c r="C80" s="38" t="s">
        <v>35</v>
      </c>
      <c r="D80" s="152">
        <v>2.31</v>
      </c>
      <c r="E80" s="64">
        <v>144.4</v>
      </c>
      <c r="F80" s="35">
        <f>ROUND(E80*D80,2)</f>
        <v>333.56</v>
      </c>
      <c r="G80" s="35">
        <f t="shared" ref="G80" si="83">ROUND(F80*1.2,2)</f>
        <v>400.27</v>
      </c>
      <c r="H80" s="64"/>
      <c r="I80" s="35"/>
      <c r="J80" s="35"/>
      <c r="K80" s="64">
        <f t="shared" si="77"/>
        <v>333.56</v>
      </c>
      <c r="L80" s="42">
        <f t="shared" si="78"/>
        <v>400.27</v>
      </c>
      <c r="M80" s="71" t="s">
        <v>262</v>
      </c>
    </row>
    <row r="81" spans="1:13" ht="17.25" customHeight="1" x14ac:dyDescent="0.25">
      <c r="A81" s="46" t="s">
        <v>138</v>
      </c>
      <c r="B81" s="78" t="s">
        <v>372</v>
      </c>
      <c r="C81" s="48" t="s">
        <v>220</v>
      </c>
      <c r="D81" s="117">
        <f>D80*0.3*20/16</f>
        <v>0.86624999999999996</v>
      </c>
      <c r="E81" s="70"/>
      <c r="F81" s="51"/>
      <c r="G81" s="51"/>
      <c r="H81" s="104">
        <v>237.5</v>
      </c>
      <c r="I81" s="51">
        <f>ROUND(H81*D81,2)</f>
        <v>205.73</v>
      </c>
      <c r="J81" s="51">
        <f t="shared" ref="J81" si="84">ROUND(I81*1.2,2)</f>
        <v>246.88</v>
      </c>
      <c r="K81" s="52">
        <f t="shared" si="77"/>
        <v>205.73</v>
      </c>
      <c r="L81" s="51">
        <f t="shared" si="78"/>
        <v>246.88</v>
      </c>
    </row>
    <row r="82" spans="1:13" ht="28.5" customHeight="1" x14ac:dyDescent="0.25">
      <c r="A82" s="38">
        <f>A80+1</f>
        <v>42</v>
      </c>
      <c r="B82" s="37" t="s">
        <v>373</v>
      </c>
      <c r="C82" s="38" t="s">
        <v>35</v>
      </c>
      <c r="D82" s="152">
        <v>2.31</v>
      </c>
      <c r="E82" s="64">
        <v>299.76</v>
      </c>
      <c r="F82" s="35">
        <f>ROUND(E82*D82,2)</f>
        <v>692.45</v>
      </c>
      <c r="G82" s="35">
        <f t="shared" ref="G82" si="85">ROUND(F82*1.2,2)</f>
        <v>830.94</v>
      </c>
      <c r="H82" s="64"/>
      <c r="I82" s="35"/>
      <c r="J82" s="35"/>
      <c r="K82" s="64">
        <f t="shared" si="77"/>
        <v>692.45</v>
      </c>
      <c r="L82" s="42">
        <f t="shared" si="78"/>
        <v>830.94</v>
      </c>
      <c r="M82" s="71" t="s">
        <v>262</v>
      </c>
    </row>
    <row r="83" spans="1:13" x14ac:dyDescent="0.25">
      <c r="A83" s="46" t="s">
        <v>141</v>
      </c>
      <c r="B83" s="78" t="s">
        <v>374</v>
      </c>
      <c r="C83" s="48" t="s">
        <v>130</v>
      </c>
      <c r="D83" s="49">
        <f>D82*0.7*2</f>
        <v>3.234</v>
      </c>
      <c r="E83" s="70"/>
      <c r="F83" s="51"/>
      <c r="G83" s="51"/>
      <c r="H83" s="104">
        <v>296.39999999999998</v>
      </c>
      <c r="I83" s="51">
        <f t="shared" ref="I83" si="86">ROUND(H83*D83,2)</f>
        <v>958.56</v>
      </c>
      <c r="J83" s="51">
        <f t="shared" ref="J83" si="87">ROUND(I83*1.2,2)</f>
        <v>1150.27</v>
      </c>
      <c r="K83" s="70">
        <f t="shared" si="77"/>
        <v>958.56</v>
      </c>
      <c r="L83" s="68">
        <f t="shared" si="78"/>
        <v>1150.27</v>
      </c>
    </row>
    <row r="84" spans="1:13" x14ac:dyDescent="0.25">
      <c r="A84" s="46"/>
      <c r="B84" s="43" t="s">
        <v>55</v>
      </c>
      <c r="C84" s="38"/>
      <c r="D84" s="39"/>
      <c r="E84" s="64"/>
      <c r="F84" s="35"/>
      <c r="G84" s="35"/>
      <c r="H84" s="67"/>
      <c r="I84" s="35"/>
      <c r="J84" s="35"/>
      <c r="K84" s="64"/>
      <c r="L84" s="42"/>
    </row>
    <row r="85" spans="1:13" ht="30" x14ac:dyDescent="0.25">
      <c r="A85" s="38">
        <f>A82+1</f>
        <v>43</v>
      </c>
      <c r="B85" s="99" t="s">
        <v>176</v>
      </c>
      <c r="C85" s="38" t="s">
        <v>22</v>
      </c>
      <c r="D85" s="151">
        <v>22.42</v>
      </c>
      <c r="E85" s="64">
        <v>1419.5</v>
      </c>
      <c r="F85" s="35"/>
      <c r="G85" s="35"/>
      <c r="H85" s="67"/>
      <c r="I85" s="35"/>
      <c r="J85" s="35"/>
      <c r="K85" s="64"/>
      <c r="L85" s="42"/>
    </row>
    <row r="86" spans="1:13" x14ac:dyDescent="0.25">
      <c r="A86" s="46" t="s">
        <v>144</v>
      </c>
      <c r="B86" s="78" t="s">
        <v>171</v>
      </c>
      <c r="C86" s="48" t="s">
        <v>22</v>
      </c>
      <c r="D86" s="76">
        <f>D85*1.02</f>
        <v>22.868400000000001</v>
      </c>
      <c r="E86" s="70"/>
      <c r="F86" s="51"/>
      <c r="G86" s="51"/>
      <c r="H86" s="68">
        <v>3479.85</v>
      </c>
      <c r="I86" s="51">
        <f t="shared" ref="I86" si="88">ROUND(H86*D86,2)</f>
        <v>79578.600000000006</v>
      </c>
      <c r="J86" s="51">
        <f t="shared" ref="J86" si="89">ROUND(I86*1.2,2)</f>
        <v>95494.32</v>
      </c>
      <c r="K86" s="52">
        <f t="shared" ref="K86:K95" si="90">F86+I86</f>
        <v>79578.600000000006</v>
      </c>
      <c r="L86" s="51">
        <f t="shared" ref="L86:L95" si="91">G86+J86</f>
        <v>95494.32</v>
      </c>
    </row>
    <row r="87" spans="1:13" ht="30.75" customHeight="1" x14ac:dyDescent="0.25">
      <c r="A87" s="30">
        <f>A85+1</f>
        <v>44</v>
      </c>
      <c r="B87" s="99" t="s">
        <v>353</v>
      </c>
      <c r="C87" s="100" t="s">
        <v>165</v>
      </c>
      <c r="D87" s="150">
        <v>1</v>
      </c>
      <c r="E87" s="64">
        <v>9339.7999999999993</v>
      </c>
      <c r="F87" s="33">
        <f t="shared" ref="F87:F88" si="92">ROUND(E87*D87,2)</f>
        <v>9339.7999999999993</v>
      </c>
      <c r="G87" s="33">
        <f t="shared" ref="G87:G89" si="93">ROUND(F87*1.2,2)</f>
        <v>11207.76</v>
      </c>
      <c r="H87" s="61"/>
      <c r="I87" s="62"/>
      <c r="J87" s="62"/>
      <c r="K87" s="64">
        <f t="shared" si="90"/>
        <v>9339.7999999999993</v>
      </c>
      <c r="L87" s="42">
        <f t="shared" si="91"/>
        <v>11207.76</v>
      </c>
      <c r="M87" s="71" t="s">
        <v>166</v>
      </c>
    </row>
    <row r="88" spans="1:13" ht="21" customHeight="1" x14ac:dyDescent="0.25">
      <c r="A88" s="30">
        <f>A87+1</f>
        <v>45</v>
      </c>
      <c r="B88" s="99" t="s">
        <v>167</v>
      </c>
      <c r="C88" s="100" t="s">
        <v>165</v>
      </c>
      <c r="D88" s="150">
        <v>1</v>
      </c>
      <c r="E88" s="64">
        <f>ROUND(2803.18*1.33,2)</f>
        <v>3728.23</v>
      </c>
      <c r="F88" s="33">
        <f t="shared" si="92"/>
        <v>3728.23</v>
      </c>
      <c r="G88" s="33">
        <f t="shared" si="93"/>
        <v>4473.88</v>
      </c>
      <c r="H88" s="61"/>
      <c r="I88" s="62"/>
      <c r="J88" s="62"/>
      <c r="K88" s="64">
        <f t="shared" si="90"/>
        <v>3728.23</v>
      </c>
      <c r="L88" s="42">
        <f t="shared" si="91"/>
        <v>4473.88</v>
      </c>
      <c r="M88" s="71" t="s">
        <v>336</v>
      </c>
    </row>
    <row r="89" spans="1:13" ht="29.25" customHeight="1" x14ac:dyDescent="0.25">
      <c r="A89" s="30">
        <f>A88+1</f>
        <v>46</v>
      </c>
      <c r="B89" s="73" t="s">
        <v>354</v>
      </c>
      <c r="C89" s="38" t="s">
        <v>22</v>
      </c>
      <c r="D89" s="157">
        <v>21.42</v>
      </c>
      <c r="E89" s="64">
        <v>5050.3899999999994</v>
      </c>
      <c r="F89" s="35">
        <f>ROUND(E89*D89,2)</f>
        <v>108179.35</v>
      </c>
      <c r="G89" s="35">
        <f t="shared" si="93"/>
        <v>129815.22</v>
      </c>
      <c r="H89" s="64"/>
      <c r="I89" s="35"/>
      <c r="J89" s="35"/>
      <c r="K89" s="64">
        <f t="shared" si="90"/>
        <v>108179.35</v>
      </c>
      <c r="L89" s="42">
        <f t="shared" si="91"/>
        <v>129815.22</v>
      </c>
    </row>
    <row r="90" spans="1:13" x14ac:dyDescent="0.25">
      <c r="A90" s="46" t="s">
        <v>295</v>
      </c>
      <c r="B90" s="78" t="s">
        <v>355</v>
      </c>
      <c r="C90" s="48" t="s">
        <v>22</v>
      </c>
      <c r="D90" s="76">
        <f>D89*1.02</f>
        <v>21.848400000000002</v>
      </c>
      <c r="E90" s="70"/>
      <c r="F90" s="51"/>
      <c r="G90" s="51"/>
      <c r="H90" s="68">
        <v>13103.35</v>
      </c>
      <c r="I90" s="51">
        <f t="shared" ref="I90" si="94">ROUND(H90*D90,2)</f>
        <v>286287.23</v>
      </c>
      <c r="J90" s="51">
        <f t="shared" ref="J90" si="95">ROUND(I90*1.2,2)</f>
        <v>343544.68</v>
      </c>
      <c r="K90" s="52">
        <f t="shared" si="90"/>
        <v>286287.23</v>
      </c>
      <c r="L90" s="51">
        <f t="shared" si="91"/>
        <v>343544.68</v>
      </c>
      <c r="M90" s="71" t="s">
        <v>356</v>
      </c>
    </row>
    <row r="91" spans="1:13" ht="28.5" customHeight="1" x14ac:dyDescent="0.25">
      <c r="A91" s="38">
        <f>A89+1</f>
        <v>47</v>
      </c>
      <c r="B91" s="73" t="s">
        <v>170</v>
      </c>
      <c r="C91" s="38" t="s">
        <v>357</v>
      </c>
      <c r="D91" s="157">
        <v>21.42</v>
      </c>
      <c r="E91" s="123">
        <f>ROUND(1572.68*1.33,2)</f>
        <v>2091.66</v>
      </c>
      <c r="F91" s="35">
        <f>ROUND(E91*D91,2)</f>
        <v>44803.360000000001</v>
      </c>
      <c r="G91" s="35">
        <f t="shared" ref="G91" si="96">ROUND(F91*1.2,2)</f>
        <v>53764.03</v>
      </c>
      <c r="H91" s="64"/>
      <c r="I91" s="35"/>
      <c r="J91" s="35"/>
      <c r="K91" s="64">
        <f t="shared" si="90"/>
        <v>44803.360000000001</v>
      </c>
      <c r="L91" s="42">
        <f t="shared" si="91"/>
        <v>53764.03</v>
      </c>
      <c r="M91" s="71" t="s">
        <v>75</v>
      </c>
    </row>
    <row r="92" spans="1:13" x14ac:dyDescent="0.25">
      <c r="A92" s="46" t="s">
        <v>298</v>
      </c>
      <c r="B92" s="78" t="s">
        <v>171</v>
      </c>
      <c r="C92" s="48" t="s">
        <v>22</v>
      </c>
      <c r="D92" s="76">
        <f>D91*1.02</f>
        <v>21.848400000000002</v>
      </c>
      <c r="E92" s="70"/>
      <c r="F92" s="51"/>
      <c r="G92" s="51"/>
      <c r="H92" s="51">
        <v>3479.85</v>
      </c>
      <c r="I92" s="51">
        <f t="shared" ref="I92" si="97">ROUND(H92*D92,2)</f>
        <v>76029.149999999994</v>
      </c>
      <c r="J92" s="51">
        <f t="shared" ref="J92" si="98">ROUND(I92*1.2,2)</f>
        <v>91234.98</v>
      </c>
      <c r="K92" s="52">
        <f t="shared" ref="K92" si="99">F92+I92</f>
        <v>76029.149999999994</v>
      </c>
      <c r="L92" s="51">
        <f t="shared" ref="L92" si="100">G92+J92</f>
        <v>91234.98</v>
      </c>
    </row>
    <row r="93" spans="1:13" x14ac:dyDescent="0.25">
      <c r="A93" s="46" t="s">
        <v>469</v>
      </c>
      <c r="B93" s="78" t="s">
        <v>358</v>
      </c>
      <c r="C93" s="48" t="s">
        <v>66</v>
      </c>
      <c r="D93" s="90">
        <v>10</v>
      </c>
      <c r="E93" s="70"/>
      <c r="F93" s="51"/>
      <c r="G93" s="51"/>
      <c r="H93" s="104">
        <v>917.7</v>
      </c>
      <c r="I93" s="51">
        <f t="shared" ref="I93" si="101">ROUND(H93*D93,2)</f>
        <v>9177</v>
      </c>
      <c r="J93" s="51">
        <f t="shared" ref="J93" si="102">ROUND(I93*1.2,2)</f>
        <v>11012.4</v>
      </c>
      <c r="K93" s="52">
        <f t="shared" si="90"/>
        <v>9177</v>
      </c>
      <c r="L93" s="51">
        <f t="shared" si="91"/>
        <v>11012.4</v>
      </c>
    </row>
    <row r="94" spans="1:13" ht="27" customHeight="1" x14ac:dyDescent="0.25">
      <c r="A94" s="38">
        <f>A91+1</f>
        <v>48</v>
      </c>
      <c r="B94" s="73" t="s">
        <v>359</v>
      </c>
      <c r="C94" s="38" t="s">
        <v>345</v>
      </c>
      <c r="D94" s="157">
        <v>2.77</v>
      </c>
      <c r="E94" s="64">
        <v>8327.42</v>
      </c>
      <c r="F94" s="35">
        <f t="shared" ref="F94" si="103">ROUND(E94*D94,2)</f>
        <v>23066.95</v>
      </c>
      <c r="G94" s="35">
        <f t="shared" ref="G94" si="104">ROUND(F94*1.2,2)</f>
        <v>27680.34</v>
      </c>
      <c r="H94" s="67"/>
      <c r="I94" s="35"/>
      <c r="J94" s="35"/>
      <c r="K94" s="64">
        <f t="shared" si="90"/>
        <v>23066.95</v>
      </c>
      <c r="L94" s="42">
        <f t="shared" si="91"/>
        <v>27680.34</v>
      </c>
    </row>
    <row r="95" spans="1:13" x14ac:dyDescent="0.25">
      <c r="A95" s="46" t="s">
        <v>301</v>
      </c>
      <c r="B95" s="78" t="s">
        <v>72</v>
      </c>
      <c r="C95" s="48" t="s">
        <v>24</v>
      </c>
      <c r="D95" s="76">
        <f>D94*1.02</f>
        <v>2.8254000000000001</v>
      </c>
      <c r="E95" s="70"/>
      <c r="F95" s="51"/>
      <c r="G95" s="51"/>
      <c r="H95" s="51">
        <v>5322.58</v>
      </c>
      <c r="I95" s="51">
        <f t="shared" ref="I95" si="105">ROUND(H95*D95,2)</f>
        <v>15038.42</v>
      </c>
      <c r="J95" s="51">
        <f t="shared" ref="J95" si="106">ROUND(I95*1.2,2)</f>
        <v>18046.099999999999</v>
      </c>
      <c r="K95" s="52">
        <f t="shared" si="90"/>
        <v>15038.42</v>
      </c>
      <c r="L95" s="51">
        <f t="shared" si="91"/>
        <v>18046.099999999999</v>
      </c>
      <c r="M95" s="69"/>
    </row>
    <row r="96" spans="1:13" s="66" customFormat="1" ht="20.25" customHeight="1" x14ac:dyDescent="0.25">
      <c r="A96" s="46"/>
      <c r="B96" s="43" t="s">
        <v>456</v>
      </c>
      <c r="C96" s="38"/>
      <c r="D96" s="105"/>
      <c r="E96" s="35"/>
      <c r="F96" s="35"/>
      <c r="G96" s="35"/>
      <c r="H96" s="35"/>
      <c r="I96" s="35"/>
      <c r="J96" s="35"/>
      <c r="K96" s="32"/>
      <c r="L96" s="35"/>
      <c r="M96" s="41"/>
    </row>
    <row r="97" spans="1:13" ht="34.5" customHeight="1" x14ac:dyDescent="0.25">
      <c r="A97" s="38">
        <f>A94+1</f>
        <v>49</v>
      </c>
      <c r="B97" s="73" t="s">
        <v>375</v>
      </c>
      <c r="C97" s="38" t="s">
        <v>66</v>
      </c>
      <c r="D97" s="150">
        <v>1</v>
      </c>
      <c r="E97" s="64">
        <v>7035.89</v>
      </c>
      <c r="F97" s="35">
        <f>ROUND(E97*D97,2)</f>
        <v>7035.89</v>
      </c>
      <c r="G97" s="35">
        <f t="shared" ref="G97" si="107">ROUND(F97*1.2,2)</f>
        <v>8443.07</v>
      </c>
      <c r="H97" s="64"/>
      <c r="I97" s="35"/>
      <c r="J97" s="35"/>
      <c r="K97" s="64">
        <f t="shared" ref="K97:L113" si="108">F97+I97</f>
        <v>7035.89</v>
      </c>
      <c r="L97" s="42">
        <f t="shared" si="108"/>
        <v>8443.07</v>
      </c>
    </row>
    <row r="98" spans="1:13" ht="18" customHeight="1" x14ac:dyDescent="0.25">
      <c r="A98" s="46" t="s">
        <v>304</v>
      </c>
      <c r="B98" s="78" t="s">
        <v>376</v>
      </c>
      <c r="C98" s="48" t="s">
        <v>66</v>
      </c>
      <c r="D98" s="72">
        <v>1</v>
      </c>
      <c r="E98" s="70"/>
      <c r="F98" s="51"/>
      <c r="G98" s="51"/>
      <c r="H98" s="104">
        <v>16406.5</v>
      </c>
      <c r="I98" s="51">
        <f t="shared" ref="I98" si="109">ROUND(H98*D98,2)</f>
        <v>16406.5</v>
      </c>
      <c r="J98" s="51">
        <f t="shared" ref="J98" si="110">ROUND(I98*1.2,2)</f>
        <v>19687.8</v>
      </c>
      <c r="K98" s="70">
        <f t="shared" si="108"/>
        <v>16406.5</v>
      </c>
      <c r="L98" s="68">
        <f t="shared" si="108"/>
        <v>19687.8</v>
      </c>
    </row>
    <row r="99" spans="1:13" ht="28.5" customHeight="1" x14ac:dyDescent="0.25">
      <c r="A99" s="38">
        <f>A97+1</f>
        <v>50</v>
      </c>
      <c r="B99" s="73" t="s">
        <v>377</v>
      </c>
      <c r="C99" s="38" t="s">
        <v>66</v>
      </c>
      <c r="D99" s="158">
        <v>1</v>
      </c>
      <c r="E99" s="64">
        <v>14312.75</v>
      </c>
      <c r="F99" s="35">
        <f t="shared" ref="F99:F114" si="111">ROUND(E99*D99,2)</f>
        <v>14312.75</v>
      </c>
      <c r="G99" s="35">
        <f t="shared" ref="G99:G114" si="112">ROUND(F99*1.2,2)</f>
        <v>17175.3</v>
      </c>
      <c r="H99" s="64"/>
      <c r="I99" s="35"/>
      <c r="J99" s="35"/>
      <c r="K99" s="64">
        <f t="shared" si="108"/>
        <v>14312.75</v>
      </c>
      <c r="L99" s="42">
        <f t="shared" si="108"/>
        <v>17175.3</v>
      </c>
    </row>
    <row r="100" spans="1:13" ht="18.75" customHeight="1" x14ac:dyDescent="0.25">
      <c r="A100" s="46" t="s">
        <v>306</v>
      </c>
      <c r="B100" s="78" t="s">
        <v>378</v>
      </c>
      <c r="C100" s="48" t="s">
        <v>66</v>
      </c>
      <c r="D100" s="79">
        <v>1</v>
      </c>
      <c r="E100" s="70"/>
      <c r="F100" s="51"/>
      <c r="G100" s="51"/>
      <c r="H100" s="70">
        <v>109202.5</v>
      </c>
      <c r="I100" s="51">
        <f>ROUND(H100*D100,2)</f>
        <v>109202.5</v>
      </c>
      <c r="J100" s="51">
        <f>ROUND(I100*1.2,2)</f>
        <v>131043</v>
      </c>
      <c r="K100" s="52">
        <f t="shared" si="108"/>
        <v>109202.5</v>
      </c>
      <c r="L100" s="51">
        <f t="shared" si="108"/>
        <v>131043</v>
      </c>
    </row>
    <row r="101" spans="1:13" ht="31.5" customHeight="1" x14ac:dyDescent="0.25">
      <c r="A101" s="38">
        <f>A99+1</f>
        <v>51</v>
      </c>
      <c r="B101" s="73" t="s">
        <v>379</v>
      </c>
      <c r="C101" s="38" t="s">
        <v>66</v>
      </c>
      <c r="D101" s="158">
        <v>1</v>
      </c>
      <c r="E101" s="64">
        <v>5650.6</v>
      </c>
      <c r="F101" s="35">
        <f t="shared" si="111"/>
        <v>5650.6</v>
      </c>
      <c r="G101" s="35">
        <f t="shared" si="112"/>
        <v>6780.72</v>
      </c>
      <c r="H101" s="64"/>
      <c r="I101" s="35"/>
      <c r="J101" s="35"/>
      <c r="K101" s="64">
        <f t="shared" si="108"/>
        <v>5650.6</v>
      </c>
      <c r="L101" s="42">
        <f t="shared" si="108"/>
        <v>6780.72</v>
      </c>
    </row>
    <row r="102" spans="1:13" ht="18" customHeight="1" x14ac:dyDescent="0.25">
      <c r="A102" s="46" t="s">
        <v>309</v>
      </c>
      <c r="B102" s="78" t="s">
        <v>380</v>
      </c>
      <c r="C102" s="48" t="s">
        <v>66</v>
      </c>
      <c r="D102" s="79">
        <v>1</v>
      </c>
      <c r="E102" s="70"/>
      <c r="F102" s="51"/>
      <c r="G102" s="51"/>
      <c r="H102" s="70">
        <v>30988.05</v>
      </c>
      <c r="I102" s="51">
        <f>ROUND(H102*D102,2)</f>
        <v>30988.05</v>
      </c>
      <c r="J102" s="51">
        <f>ROUND(I102*1.2,2)</f>
        <v>37185.660000000003</v>
      </c>
      <c r="K102" s="52">
        <f t="shared" si="108"/>
        <v>30988.05</v>
      </c>
      <c r="L102" s="51">
        <f t="shared" si="108"/>
        <v>37185.660000000003</v>
      </c>
    </row>
    <row r="103" spans="1:13" ht="23.25" customHeight="1" x14ac:dyDescent="0.25">
      <c r="A103" s="38">
        <f>A101+1</f>
        <v>52</v>
      </c>
      <c r="B103" s="73" t="s">
        <v>381</v>
      </c>
      <c r="C103" s="38" t="s">
        <v>66</v>
      </c>
      <c r="D103" s="158">
        <v>1</v>
      </c>
      <c r="E103" s="64">
        <v>6546.68</v>
      </c>
      <c r="F103" s="35">
        <f t="shared" si="111"/>
        <v>6546.68</v>
      </c>
      <c r="G103" s="35">
        <f t="shared" si="112"/>
        <v>7856.02</v>
      </c>
      <c r="H103" s="64"/>
      <c r="I103" s="35"/>
      <c r="J103" s="35"/>
      <c r="K103" s="64">
        <f t="shared" si="108"/>
        <v>6546.68</v>
      </c>
      <c r="L103" s="42">
        <f t="shared" si="108"/>
        <v>7856.02</v>
      </c>
    </row>
    <row r="104" spans="1:13" ht="18.75" customHeight="1" x14ac:dyDescent="0.25">
      <c r="A104" s="46" t="s">
        <v>312</v>
      </c>
      <c r="B104" s="78" t="s">
        <v>383</v>
      </c>
      <c r="C104" s="48" t="s">
        <v>66</v>
      </c>
      <c r="D104" s="79">
        <v>1</v>
      </c>
      <c r="E104" s="70"/>
      <c r="F104" s="51"/>
      <c r="G104" s="51"/>
      <c r="H104" s="70">
        <v>12662.42</v>
      </c>
      <c r="I104" s="51">
        <f>ROUND(H104*D104,2)</f>
        <v>12662.42</v>
      </c>
      <c r="J104" s="51">
        <f>ROUND(I104*1.2,2)</f>
        <v>15194.9</v>
      </c>
      <c r="K104" s="52">
        <f t="shared" si="108"/>
        <v>12662.42</v>
      </c>
      <c r="L104" s="51">
        <f t="shared" si="108"/>
        <v>15194.9</v>
      </c>
      <c r="M104" s="71" t="s">
        <v>160</v>
      </c>
    </row>
    <row r="105" spans="1:13" ht="22.5" customHeight="1" x14ac:dyDescent="0.25">
      <c r="A105" s="38">
        <f>A103+1</f>
        <v>53</v>
      </c>
      <c r="B105" s="73" t="s">
        <v>384</v>
      </c>
      <c r="C105" s="38" t="s">
        <v>66</v>
      </c>
      <c r="D105" s="158">
        <v>1</v>
      </c>
      <c r="E105" s="64">
        <v>6546.68</v>
      </c>
      <c r="F105" s="35">
        <f t="shared" si="111"/>
        <v>6546.68</v>
      </c>
      <c r="G105" s="35">
        <f t="shared" si="112"/>
        <v>7856.02</v>
      </c>
      <c r="H105" s="64"/>
      <c r="I105" s="35"/>
      <c r="J105" s="35"/>
      <c r="K105" s="64">
        <f t="shared" si="108"/>
        <v>6546.68</v>
      </c>
      <c r="L105" s="42">
        <f t="shared" si="108"/>
        <v>7856.02</v>
      </c>
    </row>
    <row r="106" spans="1:13" ht="21" customHeight="1" x14ac:dyDescent="0.25">
      <c r="A106" s="46" t="s">
        <v>316</v>
      </c>
      <c r="B106" s="78" t="s">
        <v>386</v>
      </c>
      <c r="C106" s="48" t="s">
        <v>66</v>
      </c>
      <c r="D106" s="79">
        <v>1</v>
      </c>
      <c r="E106" s="70"/>
      <c r="F106" s="51"/>
      <c r="G106" s="51"/>
      <c r="H106" s="70">
        <f>ROUND(5573.33*1.15,2)</f>
        <v>6409.33</v>
      </c>
      <c r="I106" s="51">
        <f>ROUND(H106*D106,2)</f>
        <v>6409.33</v>
      </c>
      <c r="J106" s="51">
        <f>ROUND(I106*1.2,2)</f>
        <v>7691.2</v>
      </c>
      <c r="K106" s="52">
        <f t="shared" si="108"/>
        <v>6409.33</v>
      </c>
      <c r="L106" s="51">
        <f t="shared" si="108"/>
        <v>7691.2</v>
      </c>
      <c r="M106" s="71" t="s">
        <v>186</v>
      </c>
    </row>
    <row r="107" spans="1:13" ht="18" customHeight="1" x14ac:dyDescent="0.25">
      <c r="A107" s="38">
        <f>A105+1</f>
        <v>54</v>
      </c>
      <c r="B107" s="73" t="s">
        <v>305</v>
      </c>
      <c r="C107" s="38" t="s">
        <v>66</v>
      </c>
      <c r="D107" s="158">
        <v>1</v>
      </c>
      <c r="E107" s="64">
        <v>6039.48</v>
      </c>
      <c r="F107" s="35">
        <f t="shared" ref="F107" si="113">ROUND(E107*D107,2)</f>
        <v>6039.48</v>
      </c>
      <c r="G107" s="35">
        <f t="shared" ref="G107" si="114">ROUND(F107*1.2,2)</f>
        <v>7247.38</v>
      </c>
      <c r="H107" s="64"/>
      <c r="I107" s="35"/>
      <c r="J107" s="35"/>
      <c r="K107" s="64">
        <f t="shared" si="108"/>
        <v>6039.48</v>
      </c>
      <c r="L107" s="42">
        <f t="shared" si="108"/>
        <v>7247.38</v>
      </c>
    </row>
    <row r="108" spans="1:13" ht="18" customHeight="1" x14ac:dyDescent="0.25">
      <c r="A108" s="46" t="s">
        <v>382</v>
      </c>
      <c r="B108" s="78" t="s">
        <v>393</v>
      </c>
      <c r="C108" s="48" t="s">
        <v>66</v>
      </c>
      <c r="D108" s="79">
        <v>1</v>
      </c>
      <c r="E108" s="70"/>
      <c r="F108" s="51"/>
      <c r="G108" s="51"/>
      <c r="H108" s="51">
        <v>2638.15</v>
      </c>
      <c r="I108" s="51">
        <f>ROUND(H108*D108,2)</f>
        <v>2638.15</v>
      </c>
      <c r="J108" s="51">
        <f>ROUND(I108*1.2,2)</f>
        <v>3165.78</v>
      </c>
      <c r="K108" s="52">
        <f t="shared" si="108"/>
        <v>2638.15</v>
      </c>
      <c r="L108" s="51">
        <f t="shared" si="108"/>
        <v>3165.78</v>
      </c>
    </row>
    <row r="109" spans="1:13" ht="18" customHeight="1" x14ac:dyDescent="0.25">
      <c r="A109" s="38">
        <f>A107+1</f>
        <v>55</v>
      </c>
      <c r="B109" s="142" t="s">
        <v>398</v>
      </c>
      <c r="C109" s="136" t="s">
        <v>66</v>
      </c>
      <c r="D109" s="144">
        <v>2</v>
      </c>
      <c r="E109" s="64">
        <v>1389.85</v>
      </c>
      <c r="F109" s="35">
        <f t="shared" ref="F109" si="115">ROUND(E109*D109,2)</f>
        <v>2779.7</v>
      </c>
      <c r="G109" s="35">
        <f t="shared" ref="G109" si="116">ROUND(F109*1.2,2)</f>
        <v>3335.64</v>
      </c>
      <c r="H109" s="64"/>
      <c r="I109" s="35"/>
      <c r="J109" s="35"/>
      <c r="K109" s="64">
        <f t="shared" si="108"/>
        <v>2779.7</v>
      </c>
      <c r="L109" s="42">
        <f t="shared" si="108"/>
        <v>3335.64</v>
      </c>
      <c r="M109" s="71" t="s">
        <v>600</v>
      </c>
    </row>
    <row r="110" spans="1:13" ht="18" customHeight="1" x14ac:dyDescent="0.25">
      <c r="A110" s="46" t="s">
        <v>385</v>
      </c>
      <c r="B110" s="78" t="s">
        <v>400</v>
      </c>
      <c r="C110" s="48" t="s">
        <v>66</v>
      </c>
      <c r="D110" s="79">
        <v>2</v>
      </c>
      <c r="E110" s="70"/>
      <c r="F110" s="51"/>
      <c r="G110" s="51"/>
      <c r="H110" s="70">
        <v>471.2</v>
      </c>
      <c r="I110" s="51">
        <f>ROUND(H110*D110,2)</f>
        <v>942.4</v>
      </c>
      <c r="J110" s="51">
        <f>ROUND(I110*1.2,2)</f>
        <v>1130.8800000000001</v>
      </c>
      <c r="K110" s="52">
        <f t="shared" si="108"/>
        <v>942.4</v>
      </c>
      <c r="L110" s="51">
        <f t="shared" si="108"/>
        <v>1130.8800000000001</v>
      </c>
    </row>
    <row r="111" spans="1:13" ht="30" customHeight="1" x14ac:dyDescent="0.25">
      <c r="A111" s="38">
        <f>A109+1</f>
        <v>56</v>
      </c>
      <c r="B111" s="142" t="s">
        <v>387</v>
      </c>
      <c r="C111" s="38" t="s">
        <v>66</v>
      </c>
      <c r="D111" s="158">
        <v>1</v>
      </c>
      <c r="E111" s="64">
        <v>6546.68</v>
      </c>
      <c r="F111" s="35">
        <f t="shared" si="111"/>
        <v>6546.68</v>
      </c>
      <c r="G111" s="35">
        <f t="shared" si="112"/>
        <v>7856.02</v>
      </c>
      <c r="H111" s="64"/>
      <c r="I111" s="35"/>
      <c r="J111" s="35"/>
      <c r="K111" s="64">
        <f t="shared" si="108"/>
        <v>6546.68</v>
      </c>
      <c r="L111" s="42">
        <f t="shared" si="108"/>
        <v>7856.02</v>
      </c>
    </row>
    <row r="112" spans="1:13" ht="22.5" customHeight="1" x14ac:dyDescent="0.25">
      <c r="A112" s="46" t="s">
        <v>388</v>
      </c>
      <c r="B112" s="78" t="s">
        <v>195</v>
      </c>
      <c r="C112" s="48" t="s">
        <v>66</v>
      </c>
      <c r="D112" s="79">
        <v>1</v>
      </c>
      <c r="E112" s="70"/>
      <c r="F112" s="51"/>
      <c r="G112" s="51"/>
      <c r="H112" s="70">
        <v>2793</v>
      </c>
      <c r="I112" s="51">
        <f>ROUND(H112*D112,2)</f>
        <v>2793</v>
      </c>
      <c r="J112" s="51">
        <f>ROUND(I112*1.2,2)</f>
        <v>3351.6</v>
      </c>
      <c r="K112" s="52">
        <f t="shared" si="108"/>
        <v>2793</v>
      </c>
      <c r="L112" s="51">
        <f t="shared" si="108"/>
        <v>3351.6</v>
      </c>
    </row>
    <row r="113" spans="1:13" ht="22.5" customHeight="1" x14ac:dyDescent="0.25">
      <c r="A113" s="46" t="s">
        <v>389</v>
      </c>
      <c r="B113" s="78" t="s">
        <v>391</v>
      </c>
      <c r="C113" s="48" t="s">
        <v>66</v>
      </c>
      <c r="D113" s="79">
        <v>3</v>
      </c>
      <c r="E113" s="70"/>
      <c r="F113" s="51"/>
      <c r="G113" s="51"/>
      <c r="H113" s="70">
        <v>85.5</v>
      </c>
      <c r="I113" s="51">
        <f>ROUND(H113*D113,2)</f>
        <v>256.5</v>
      </c>
      <c r="J113" s="51">
        <f>ROUND(I113*1.2,2)</f>
        <v>307.8</v>
      </c>
      <c r="K113" s="52">
        <f t="shared" si="108"/>
        <v>256.5</v>
      </c>
      <c r="L113" s="51">
        <f t="shared" si="108"/>
        <v>307.8</v>
      </c>
    </row>
    <row r="114" spans="1:13" ht="27.75" customHeight="1" x14ac:dyDescent="0.25">
      <c r="A114" s="38">
        <f>A111+1</f>
        <v>57</v>
      </c>
      <c r="B114" s="142" t="s">
        <v>394</v>
      </c>
      <c r="C114" s="38" t="s">
        <v>66</v>
      </c>
      <c r="D114" s="158">
        <v>2</v>
      </c>
      <c r="E114" s="64">
        <v>6546.68</v>
      </c>
      <c r="F114" s="35">
        <f t="shared" si="111"/>
        <v>13093.36</v>
      </c>
      <c r="G114" s="35">
        <f t="shared" si="112"/>
        <v>15712.03</v>
      </c>
      <c r="H114" s="64"/>
      <c r="I114" s="35"/>
      <c r="J114" s="35"/>
      <c r="K114" s="64">
        <f t="shared" ref="K114:L120" si="117">F114+I114</f>
        <v>13093.36</v>
      </c>
      <c r="L114" s="42">
        <f t="shared" si="117"/>
        <v>15712.03</v>
      </c>
    </row>
    <row r="115" spans="1:13" ht="18" customHeight="1" x14ac:dyDescent="0.25">
      <c r="A115" s="46" t="s">
        <v>392</v>
      </c>
      <c r="B115" s="78" t="s">
        <v>396</v>
      </c>
      <c r="C115" s="48" t="s">
        <v>66</v>
      </c>
      <c r="D115" s="79">
        <v>2</v>
      </c>
      <c r="E115" s="70"/>
      <c r="F115" s="51"/>
      <c r="G115" s="51"/>
      <c r="H115" s="51">
        <v>1453.5</v>
      </c>
      <c r="I115" s="51">
        <f>ROUND(H115*D115,2)</f>
        <v>2907</v>
      </c>
      <c r="J115" s="51">
        <f>ROUND(I115*1.2,2)</f>
        <v>3488.4</v>
      </c>
      <c r="K115" s="52">
        <f t="shared" si="117"/>
        <v>2907</v>
      </c>
      <c r="L115" s="51">
        <f t="shared" si="117"/>
        <v>3488.4</v>
      </c>
    </row>
    <row r="116" spans="1:13" ht="19.5" customHeight="1" x14ac:dyDescent="0.25">
      <c r="A116" s="46" t="s">
        <v>470</v>
      </c>
      <c r="B116" s="78" t="s">
        <v>397</v>
      </c>
      <c r="C116" s="48" t="s">
        <v>66</v>
      </c>
      <c r="D116" s="79">
        <v>3</v>
      </c>
      <c r="E116" s="70"/>
      <c r="F116" s="51"/>
      <c r="G116" s="51"/>
      <c r="H116" s="70">
        <v>31.35</v>
      </c>
      <c r="I116" s="51">
        <f>ROUND(H116*D116,2)</f>
        <v>94.05</v>
      </c>
      <c r="J116" s="51">
        <f>ROUND(I116*1.2,2)</f>
        <v>112.86</v>
      </c>
      <c r="K116" s="52">
        <f t="shared" si="117"/>
        <v>94.05</v>
      </c>
      <c r="L116" s="51">
        <f t="shared" si="117"/>
        <v>112.86</v>
      </c>
    </row>
    <row r="117" spans="1:13" ht="18" customHeight="1" x14ac:dyDescent="0.25">
      <c r="A117" s="38">
        <f>A114+1</f>
        <v>58</v>
      </c>
      <c r="B117" s="142" t="s">
        <v>457</v>
      </c>
      <c r="C117" s="136" t="s">
        <v>66</v>
      </c>
      <c r="D117" s="144">
        <v>1</v>
      </c>
      <c r="E117" s="64">
        <v>4670.4399999999996</v>
      </c>
      <c r="F117" s="35">
        <f t="shared" ref="F117" si="118">ROUND(E117*D117,2)</f>
        <v>4670.4399999999996</v>
      </c>
      <c r="G117" s="35">
        <f t="shared" ref="G117" si="119">ROUND(F117*1.2,2)</f>
        <v>5604.53</v>
      </c>
      <c r="H117" s="64"/>
      <c r="I117" s="35"/>
      <c r="J117" s="35"/>
      <c r="K117" s="64">
        <f t="shared" ref="K117:K118" si="120">F117+I117</f>
        <v>4670.4399999999996</v>
      </c>
      <c r="L117" s="42">
        <f t="shared" ref="L117:L118" si="121">G117+J117</f>
        <v>5604.53</v>
      </c>
      <c r="M117" s="71" t="s">
        <v>601</v>
      </c>
    </row>
    <row r="118" spans="1:13" ht="18" customHeight="1" x14ac:dyDescent="0.25">
      <c r="A118" s="46" t="s">
        <v>395</v>
      </c>
      <c r="B118" s="78" t="s">
        <v>406</v>
      </c>
      <c r="C118" s="48" t="s">
        <v>66</v>
      </c>
      <c r="D118" s="79">
        <v>1</v>
      </c>
      <c r="E118" s="70"/>
      <c r="F118" s="51"/>
      <c r="G118" s="51"/>
      <c r="H118" s="70">
        <v>3239.5</v>
      </c>
      <c r="I118" s="51">
        <f>ROUND(H118*D118,2)</f>
        <v>3239.5</v>
      </c>
      <c r="J118" s="51">
        <f>ROUND(I118*1.2,2)</f>
        <v>3887.4</v>
      </c>
      <c r="K118" s="52">
        <f t="shared" si="120"/>
        <v>3239.5</v>
      </c>
      <c r="L118" s="51">
        <f t="shared" si="121"/>
        <v>3887.4</v>
      </c>
    </row>
    <row r="119" spans="1:13" ht="18" customHeight="1" x14ac:dyDescent="0.25">
      <c r="A119" s="38">
        <f>A117+1</f>
        <v>59</v>
      </c>
      <c r="B119" s="142" t="s">
        <v>458</v>
      </c>
      <c r="C119" s="38" t="s">
        <v>66</v>
      </c>
      <c r="D119" s="158">
        <v>1</v>
      </c>
      <c r="E119" s="64">
        <v>3358.25</v>
      </c>
      <c r="F119" s="35">
        <f t="shared" ref="F119" si="122">ROUND(E119*D119,2)</f>
        <v>3358.25</v>
      </c>
      <c r="G119" s="35">
        <f t="shared" ref="G119" si="123">ROUND(F119*1.2,2)</f>
        <v>4029.9</v>
      </c>
      <c r="H119" s="64"/>
      <c r="I119" s="35"/>
      <c r="J119" s="35"/>
      <c r="K119" s="64">
        <f t="shared" si="117"/>
        <v>3358.25</v>
      </c>
      <c r="L119" s="42">
        <f t="shared" si="117"/>
        <v>4029.9</v>
      </c>
    </row>
    <row r="120" spans="1:13" ht="20.25" customHeight="1" x14ac:dyDescent="0.25">
      <c r="A120" s="46" t="s">
        <v>399</v>
      </c>
      <c r="B120" s="78" t="s">
        <v>459</v>
      </c>
      <c r="C120" s="48" t="s">
        <v>66</v>
      </c>
      <c r="D120" s="79">
        <v>1</v>
      </c>
      <c r="E120" s="70"/>
      <c r="F120" s="51"/>
      <c r="G120" s="51"/>
      <c r="H120" s="70">
        <v>731.5</v>
      </c>
      <c r="I120" s="51">
        <f>ROUND(H120*D120,2)</f>
        <v>731.5</v>
      </c>
      <c r="J120" s="51">
        <f>ROUND(I120*1.2,2)</f>
        <v>877.8</v>
      </c>
      <c r="K120" s="52">
        <f t="shared" si="117"/>
        <v>731.5</v>
      </c>
      <c r="L120" s="51">
        <f t="shared" si="117"/>
        <v>877.8</v>
      </c>
    </row>
    <row r="121" spans="1:13" ht="18" customHeight="1" x14ac:dyDescent="0.25">
      <c r="A121" s="38">
        <f>A119+1</f>
        <v>60</v>
      </c>
      <c r="B121" s="142" t="s">
        <v>401</v>
      </c>
      <c r="C121" s="38" t="s">
        <v>66</v>
      </c>
      <c r="D121" s="158">
        <v>1</v>
      </c>
      <c r="E121" s="64">
        <v>6232.95</v>
      </c>
      <c r="F121" s="35">
        <f t="shared" ref="F121" si="124">ROUND(E121*D121,2)</f>
        <v>6232.95</v>
      </c>
      <c r="G121" s="35">
        <f t="shared" ref="G121" si="125">ROUND(F121*1.2,2)</f>
        <v>7479.54</v>
      </c>
      <c r="H121" s="64"/>
      <c r="I121" s="35"/>
      <c r="J121" s="35"/>
      <c r="K121" s="64">
        <f t="shared" ref="K121:K122" si="126">F121+I121</f>
        <v>6232.95</v>
      </c>
      <c r="L121" s="42">
        <f t="shared" ref="L121:L122" si="127">G121+J121</f>
        <v>7479.54</v>
      </c>
      <c r="M121" s="71" t="s">
        <v>593</v>
      </c>
    </row>
    <row r="122" spans="1:13" ht="18" customHeight="1" x14ac:dyDescent="0.25">
      <c r="A122" s="46" t="s">
        <v>402</v>
      </c>
      <c r="B122" s="78" t="s">
        <v>403</v>
      </c>
      <c r="C122" s="48" t="s">
        <v>66</v>
      </c>
      <c r="D122" s="79">
        <v>1</v>
      </c>
      <c r="E122" s="70"/>
      <c r="F122" s="51"/>
      <c r="G122" s="51"/>
      <c r="H122" s="70">
        <f>ROUND(2208.64/1.2*1.15,2)</f>
        <v>2116.61</v>
      </c>
      <c r="I122" s="51">
        <f>ROUND(H122*D122,2)</f>
        <v>2116.61</v>
      </c>
      <c r="J122" s="51">
        <f>ROUND(I122*1.2,2)</f>
        <v>2539.9299999999998</v>
      </c>
      <c r="K122" s="52">
        <f t="shared" si="126"/>
        <v>2116.61</v>
      </c>
      <c r="L122" s="51">
        <f t="shared" si="127"/>
        <v>2539.9299999999998</v>
      </c>
      <c r="M122" s="71" t="s">
        <v>186</v>
      </c>
    </row>
    <row r="123" spans="1:13" s="66" customFormat="1" ht="20.25" customHeight="1" x14ac:dyDescent="0.25">
      <c r="A123" s="46"/>
      <c r="B123" s="43" t="s">
        <v>460</v>
      </c>
      <c r="C123" s="38"/>
      <c r="D123" s="105"/>
      <c r="E123" s="35"/>
      <c r="F123" s="35"/>
      <c r="G123" s="35"/>
      <c r="H123" s="35"/>
      <c r="I123" s="35"/>
      <c r="J123" s="35"/>
      <c r="K123" s="32"/>
      <c r="L123" s="35"/>
      <c r="M123" s="41"/>
    </row>
    <row r="124" spans="1:13" ht="30.75" customHeight="1" x14ac:dyDescent="0.25">
      <c r="A124" s="38">
        <f>A121+1</f>
        <v>61</v>
      </c>
      <c r="B124" s="73" t="s">
        <v>375</v>
      </c>
      <c r="C124" s="38" t="s">
        <v>66</v>
      </c>
      <c r="D124" s="150">
        <v>1</v>
      </c>
      <c r="E124" s="64">
        <v>7035.89</v>
      </c>
      <c r="F124" s="35">
        <f>ROUND(E124*D124,2)</f>
        <v>7035.89</v>
      </c>
      <c r="G124" s="35">
        <f t="shared" ref="G124" si="128">ROUND(F124*1.2,2)</f>
        <v>8443.07</v>
      </c>
      <c r="H124" s="64"/>
      <c r="I124" s="35"/>
      <c r="J124" s="35"/>
      <c r="K124" s="64">
        <f t="shared" ref="K124:K133" si="129">F124+I124</f>
        <v>7035.89</v>
      </c>
      <c r="L124" s="42">
        <f t="shared" ref="L124:L133" si="130">G124+J124</f>
        <v>8443.07</v>
      </c>
    </row>
    <row r="125" spans="1:13" ht="18" customHeight="1" x14ac:dyDescent="0.25">
      <c r="A125" s="46" t="s">
        <v>405</v>
      </c>
      <c r="B125" s="78" t="s">
        <v>376</v>
      </c>
      <c r="C125" s="48" t="s">
        <v>66</v>
      </c>
      <c r="D125" s="72">
        <v>1</v>
      </c>
      <c r="E125" s="70"/>
      <c r="F125" s="51"/>
      <c r="G125" s="51"/>
      <c r="H125" s="104">
        <v>16406.5</v>
      </c>
      <c r="I125" s="51">
        <f t="shared" ref="I125" si="131">ROUND(H125*D125,2)</f>
        <v>16406.5</v>
      </c>
      <c r="J125" s="51">
        <f t="shared" ref="J125" si="132">ROUND(I125*1.2,2)</f>
        <v>19687.8</v>
      </c>
      <c r="K125" s="70">
        <f t="shared" si="129"/>
        <v>16406.5</v>
      </c>
      <c r="L125" s="68">
        <f t="shared" si="130"/>
        <v>19687.8</v>
      </c>
    </row>
    <row r="126" spans="1:13" ht="21" customHeight="1" x14ac:dyDescent="0.25">
      <c r="A126" s="38">
        <f>A124+1</f>
        <v>62</v>
      </c>
      <c r="B126" s="73" t="s">
        <v>305</v>
      </c>
      <c r="C126" s="38" t="s">
        <v>66</v>
      </c>
      <c r="D126" s="158">
        <v>2</v>
      </c>
      <c r="E126" s="64">
        <v>6039.48</v>
      </c>
      <c r="F126" s="35">
        <f t="shared" ref="F126" si="133">ROUND(E126*D126,2)</f>
        <v>12078.96</v>
      </c>
      <c r="G126" s="35">
        <f t="shared" ref="G126" si="134">ROUND(F126*1.2,2)</f>
        <v>14494.75</v>
      </c>
      <c r="H126" s="64"/>
      <c r="I126" s="35"/>
      <c r="J126" s="35"/>
      <c r="K126" s="64">
        <f t="shared" si="129"/>
        <v>12078.96</v>
      </c>
      <c r="L126" s="42">
        <f t="shared" si="130"/>
        <v>14494.75</v>
      </c>
    </row>
    <row r="127" spans="1:13" ht="21" customHeight="1" x14ac:dyDescent="0.25">
      <c r="A127" s="46" t="s">
        <v>407</v>
      </c>
      <c r="B127" s="78" t="s">
        <v>393</v>
      </c>
      <c r="C127" s="48" t="s">
        <v>66</v>
      </c>
      <c r="D127" s="79">
        <v>2</v>
      </c>
      <c r="E127" s="70"/>
      <c r="F127" s="51"/>
      <c r="G127" s="51"/>
      <c r="H127" s="51">
        <v>2638.15</v>
      </c>
      <c r="I127" s="51">
        <f>ROUND(H127*D127,2)</f>
        <v>5276.3</v>
      </c>
      <c r="J127" s="51">
        <f>ROUND(I127*1.2,2)</f>
        <v>6331.56</v>
      </c>
      <c r="K127" s="52">
        <f t="shared" si="129"/>
        <v>5276.3</v>
      </c>
      <c r="L127" s="51">
        <f t="shared" si="130"/>
        <v>6331.56</v>
      </c>
    </row>
    <row r="128" spans="1:13" ht="36.75" customHeight="1" x14ac:dyDescent="0.25">
      <c r="A128" s="38">
        <f>A126+1</f>
        <v>63</v>
      </c>
      <c r="B128" s="73" t="s">
        <v>387</v>
      </c>
      <c r="C128" s="38" t="s">
        <v>66</v>
      </c>
      <c r="D128" s="158">
        <v>2</v>
      </c>
      <c r="E128" s="64">
        <v>6546.68</v>
      </c>
      <c r="F128" s="35">
        <f t="shared" ref="F128" si="135">ROUND(E128*D128,2)</f>
        <v>13093.36</v>
      </c>
      <c r="G128" s="35">
        <f t="shared" ref="G128" si="136">ROUND(F128*1.2,2)</f>
        <v>15712.03</v>
      </c>
      <c r="H128" s="64"/>
      <c r="I128" s="35"/>
      <c r="J128" s="35"/>
      <c r="K128" s="64">
        <f t="shared" si="129"/>
        <v>13093.36</v>
      </c>
      <c r="L128" s="42">
        <f t="shared" si="130"/>
        <v>15712.03</v>
      </c>
    </row>
    <row r="129" spans="1:13" ht="18" customHeight="1" x14ac:dyDescent="0.25">
      <c r="A129" s="46" t="s">
        <v>409</v>
      </c>
      <c r="B129" s="78" t="s">
        <v>195</v>
      </c>
      <c r="C129" s="48" t="s">
        <v>66</v>
      </c>
      <c r="D129" s="79">
        <v>2</v>
      </c>
      <c r="E129" s="70"/>
      <c r="F129" s="51"/>
      <c r="G129" s="51"/>
      <c r="H129" s="70">
        <v>2793</v>
      </c>
      <c r="I129" s="51">
        <f>ROUND(H129*D129,2)</f>
        <v>5586</v>
      </c>
      <c r="J129" s="51">
        <f>ROUND(I129*1.2,2)</f>
        <v>6703.2</v>
      </c>
      <c r="K129" s="52">
        <f t="shared" si="129"/>
        <v>5586</v>
      </c>
      <c r="L129" s="51">
        <f t="shared" si="130"/>
        <v>6703.2</v>
      </c>
      <c r="M129" s="71" t="s">
        <v>413</v>
      </c>
    </row>
    <row r="130" spans="1:13" ht="29.25" customHeight="1" x14ac:dyDescent="0.25">
      <c r="A130" s="46" t="s">
        <v>471</v>
      </c>
      <c r="B130" s="78" t="s">
        <v>390</v>
      </c>
      <c r="C130" s="48" t="s">
        <v>130</v>
      </c>
      <c r="D130" s="51">
        <f>24*0.243</f>
        <v>5.8319999999999999</v>
      </c>
      <c r="E130" s="70"/>
      <c r="F130" s="51"/>
      <c r="G130" s="51"/>
      <c r="H130" s="70">
        <v>120.65</v>
      </c>
      <c r="I130" s="51">
        <f>ROUND(H130*D130,2)</f>
        <v>703.63</v>
      </c>
      <c r="J130" s="51">
        <f>ROUND(I130*1.2,2)</f>
        <v>844.36</v>
      </c>
      <c r="K130" s="52">
        <f t="shared" si="129"/>
        <v>703.63</v>
      </c>
      <c r="L130" s="51">
        <f t="shared" si="130"/>
        <v>844.36</v>
      </c>
    </row>
    <row r="131" spans="1:13" ht="19.5" customHeight="1" x14ac:dyDescent="0.25">
      <c r="A131" s="46" t="s">
        <v>472</v>
      </c>
      <c r="B131" s="78" t="s">
        <v>414</v>
      </c>
      <c r="C131" s="48" t="s">
        <v>130</v>
      </c>
      <c r="D131" s="51">
        <f>24*0.071</f>
        <v>1.7039999999999997</v>
      </c>
      <c r="E131" s="70"/>
      <c r="F131" s="51"/>
      <c r="G131" s="51"/>
      <c r="H131" s="70">
        <v>139.65</v>
      </c>
      <c r="I131" s="51">
        <f>ROUND(H131*D131,2)</f>
        <v>237.96</v>
      </c>
      <c r="J131" s="51">
        <f>ROUND(I131*1.2,2)</f>
        <v>285.55</v>
      </c>
      <c r="K131" s="52">
        <f t="shared" si="129"/>
        <v>237.96</v>
      </c>
      <c r="L131" s="51">
        <f t="shared" si="130"/>
        <v>285.55</v>
      </c>
    </row>
    <row r="132" spans="1:13" ht="19.5" customHeight="1" x14ac:dyDescent="0.25">
      <c r="A132" s="46" t="s">
        <v>473</v>
      </c>
      <c r="B132" s="78" t="s">
        <v>415</v>
      </c>
      <c r="C132" s="48" t="s">
        <v>130</v>
      </c>
      <c r="D132" s="51">
        <f>48*0.0172</f>
        <v>0.8256</v>
      </c>
      <c r="E132" s="70"/>
      <c r="F132" s="51"/>
      <c r="G132" s="51"/>
      <c r="H132" s="70">
        <v>188.1</v>
      </c>
      <c r="I132" s="51">
        <f>ROUND(H132*D132,2)</f>
        <v>155.30000000000001</v>
      </c>
      <c r="J132" s="51">
        <f>ROUND(I132*1.2,2)</f>
        <v>186.36</v>
      </c>
      <c r="K132" s="52">
        <f t="shared" si="129"/>
        <v>155.30000000000001</v>
      </c>
      <c r="L132" s="51">
        <f t="shared" si="130"/>
        <v>186.36</v>
      </c>
    </row>
    <row r="133" spans="1:13" ht="19.5" customHeight="1" x14ac:dyDescent="0.25">
      <c r="A133" s="46" t="s">
        <v>474</v>
      </c>
      <c r="B133" s="78" t="s">
        <v>391</v>
      </c>
      <c r="C133" s="48" t="s">
        <v>66</v>
      </c>
      <c r="D133" s="79">
        <v>2</v>
      </c>
      <c r="E133" s="70"/>
      <c r="F133" s="51"/>
      <c r="G133" s="51"/>
      <c r="H133" s="70">
        <v>85.5</v>
      </c>
      <c r="I133" s="51">
        <f>ROUND(H133*D133,2)</f>
        <v>171</v>
      </c>
      <c r="J133" s="51">
        <f>ROUND(I133*1.2,2)</f>
        <v>205.2</v>
      </c>
      <c r="K133" s="52">
        <f t="shared" si="129"/>
        <v>171</v>
      </c>
      <c r="L133" s="51">
        <f t="shared" si="130"/>
        <v>205.2</v>
      </c>
    </row>
    <row r="134" spans="1:13" ht="28.5" customHeight="1" x14ac:dyDescent="0.25">
      <c r="A134" s="38">
        <f>A128+1</f>
        <v>64</v>
      </c>
      <c r="B134" s="73" t="s">
        <v>408</v>
      </c>
      <c r="C134" s="38" t="s">
        <v>66</v>
      </c>
      <c r="D134" s="158">
        <v>1</v>
      </c>
      <c r="E134" s="64">
        <v>2337</v>
      </c>
      <c r="F134" s="35">
        <f t="shared" ref="F134" si="137">ROUND(E134*D134,2)</f>
        <v>2337</v>
      </c>
      <c r="G134" s="35">
        <f t="shared" ref="G134" si="138">ROUND(F134*1.2,2)</f>
        <v>2804.4</v>
      </c>
      <c r="H134" s="64"/>
      <c r="I134" s="35"/>
      <c r="J134" s="35"/>
      <c r="K134" s="64">
        <f t="shared" ref="K134:L148" si="139">F134+I134</f>
        <v>2337</v>
      </c>
      <c r="L134" s="42">
        <f t="shared" si="139"/>
        <v>2804.4</v>
      </c>
    </row>
    <row r="135" spans="1:13" ht="27" customHeight="1" x14ac:dyDescent="0.25">
      <c r="A135" s="46" t="s">
        <v>412</v>
      </c>
      <c r="B135" s="78" t="s">
        <v>410</v>
      </c>
      <c r="C135" s="48" t="s">
        <v>66</v>
      </c>
      <c r="D135" s="79">
        <v>1</v>
      </c>
      <c r="E135" s="70"/>
      <c r="F135" s="51"/>
      <c r="G135" s="51"/>
      <c r="H135" s="70">
        <v>13395.87</v>
      </c>
      <c r="I135" s="51">
        <f>ROUND(H135*D135,2)</f>
        <v>13395.87</v>
      </c>
      <c r="J135" s="51">
        <f>ROUND(I135*1.2,2)</f>
        <v>16075.04</v>
      </c>
      <c r="K135" s="52">
        <f t="shared" si="139"/>
        <v>13395.87</v>
      </c>
      <c r="L135" s="51">
        <f t="shared" si="139"/>
        <v>16075.04</v>
      </c>
      <c r="M135" s="71" t="s">
        <v>411</v>
      </c>
    </row>
    <row r="136" spans="1:13" ht="22.5" customHeight="1" x14ac:dyDescent="0.25">
      <c r="A136" s="38">
        <f>A134+1</f>
        <v>65</v>
      </c>
      <c r="B136" s="73" t="s">
        <v>423</v>
      </c>
      <c r="C136" s="38" t="s">
        <v>66</v>
      </c>
      <c r="D136" s="158">
        <v>1</v>
      </c>
      <c r="E136" s="64">
        <v>4704.3999999999996</v>
      </c>
      <c r="F136" s="35">
        <f t="shared" ref="F136" si="140">ROUND(E136*D136,2)</f>
        <v>4704.3999999999996</v>
      </c>
      <c r="G136" s="35">
        <f t="shared" ref="G136" si="141">ROUND(F136*1.2,2)</f>
        <v>5645.28</v>
      </c>
      <c r="H136" s="64"/>
      <c r="I136" s="35"/>
      <c r="J136" s="35"/>
      <c r="K136" s="64">
        <f t="shared" ref="K136:L139" si="142">F136+I136</f>
        <v>4704.3999999999996</v>
      </c>
      <c r="L136" s="42">
        <f t="shared" ref="L136:L137" si="143">G136+J136</f>
        <v>5645.28</v>
      </c>
      <c r="M136" s="71" t="s">
        <v>100</v>
      </c>
    </row>
    <row r="137" spans="1:13" ht="18" customHeight="1" x14ac:dyDescent="0.25">
      <c r="A137" s="46" t="s">
        <v>416</v>
      </c>
      <c r="B137" s="78" t="s">
        <v>102</v>
      </c>
      <c r="C137" s="48" t="s">
        <v>66</v>
      </c>
      <c r="D137" s="79">
        <v>1</v>
      </c>
      <c r="E137" s="70"/>
      <c r="F137" s="51"/>
      <c r="G137" s="51"/>
      <c r="H137" s="51">
        <v>1254</v>
      </c>
      <c r="I137" s="51">
        <f>ROUND(H137*D137,2)</f>
        <v>1254</v>
      </c>
      <c r="J137" s="51">
        <f>ROUND(I137*1.2,2)</f>
        <v>1504.8</v>
      </c>
      <c r="K137" s="52">
        <f t="shared" si="142"/>
        <v>1254</v>
      </c>
      <c r="L137" s="51">
        <f t="shared" si="143"/>
        <v>1504.8</v>
      </c>
      <c r="M137" s="71" t="s">
        <v>100</v>
      </c>
    </row>
    <row r="138" spans="1:13" ht="18.75" customHeight="1" x14ac:dyDescent="0.25">
      <c r="A138" s="38">
        <f>A136+1</f>
        <v>66</v>
      </c>
      <c r="B138" s="73" t="s">
        <v>74</v>
      </c>
      <c r="C138" s="74" t="s">
        <v>22</v>
      </c>
      <c r="D138" s="159">
        <v>1.5</v>
      </c>
      <c r="E138" s="64">
        <v>2321.87</v>
      </c>
      <c r="F138" s="33">
        <f t="shared" ref="F138" si="144">ROUND(E138*D138,2)</f>
        <v>3482.81</v>
      </c>
      <c r="G138" s="33">
        <f t="shared" ref="G138" si="145">ROUND(F138*1.2,2)</f>
        <v>4179.37</v>
      </c>
      <c r="H138" s="67"/>
      <c r="I138" s="35"/>
      <c r="J138" s="35"/>
      <c r="K138" s="64">
        <f t="shared" si="142"/>
        <v>3482.81</v>
      </c>
      <c r="L138" s="42">
        <f t="shared" si="142"/>
        <v>4179.37</v>
      </c>
      <c r="M138" s="21" t="s">
        <v>75</v>
      </c>
    </row>
    <row r="139" spans="1:13" ht="18.75" customHeight="1" x14ac:dyDescent="0.25">
      <c r="A139" s="46" t="s">
        <v>418</v>
      </c>
      <c r="B139" s="47" t="s">
        <v>58</v>
      </c>
      <c r="C139" s="48" t="s">
        <v>22</v>
      </c>
      <c r="D139" s="76">
        <f>ROUND(1.02*D138,2)</f>
        <v>1.53</v>
      </c>
      <c r="E139" s="51"/>
      <c r="F139" s="51"/>
      <c r="G139" s="51"/>
      <c r="H139" s="68">
        <v>407.29</v>
      </c>
      <c r="I139" s="51">
        <f>ROUND(H139*D139,2)</f>
        <v>623.15</v>
      </c>
      <c r="J139" s="51">
        <f>ROUND(I139*1.2,2)</f>
        <v>747.78</v>
      </c>
      <c r="K139" s="52">
        <f t="shared" si="142"/>
        <v>623.15</v>
      </c>
      <c r="L139" s="51">
        <f t="shared" si="142"/>
        <v>747.78</v>
      </c>
      <c r="M139" s="69"/>
    </row>
    <row r="140" spans="1:13" ht="18.75" customHeight="1" x14ac:dyDescent="0.25">
      <c r="A140" s="38">
        <f>A138+1</f>
        <v>67</v>
      </c>
      <c r="B140" s="73" t="s">
        <v>461</v>
      </c>
      <c r="C140" s="38" t="s">
        <v>66</v>
      </c>
      <c r="D140" s="158">
        <v>1</v>
      </c>
      <c r="E140" s="64">
        <v>1389.85</v>
      </c>
      <c r="F140" s="33">
        <f t="shared" ref="F140" si="146">ROUND(E140*D140,2)</f>
        <v>1389.85</v>
      </c>
      <c r="G140" s="33">
        <f t="shared" ref="G140" si="147">ROUND(F140*1.2,2)</f>
        <v>1667.82</v>
      </c>
      <c r="H140" s="67"/>
      <c r="I140" s="35"/>
      <c r="J140" s="35"/>
      <c r="K140" s="64">
        <f t="shared" ref="K140:K143" si="148">F140+I140</f>
        <v>1389.85</v>
      </c>
      <c r="L140" s="42">
        <f t="shared" ref="L140:L143" si="149">G140+J140</f>
        <v>1667.82</v>
      </c>
      <c r="M140" s="21"/>
    </row>
    <row r="141" spans="1:13" ht="18.75" customHeight="1" x14ac:dyDescent="0.25">
      <c r="A141" s="46" t="s">
        <v>422</v>
      </c>
      <c r="B141" s="47" t="s">
        <v>462</v>
      </c>
      <c r="C141" s="48" t="s">
        <v>66</v>
      </c>
      <c r="D141" s="90">
        <v>1</v>
      </c>
      <c r="E141" s="51"/>
      <c r="F141" s="51"/>
      <c r="G141" s="51"/>
      <c r="H141" s="68">
        <f>27160.71/2</f>
        <v>13580.355</v>
      </c>
      <c r="I141" s="51">
        <f>ROUND(H141*D141,2)</f>
        <v>13580.36</v>
      </c>
      <c r="J141" s="51">
        <f>ROUND(I141*1.2,2)</f>
        <v>16296.43</v>
      </c>
      <c r="K141" s="52">
        <f t="shared" si="148"/>
        <v>13580.36</v>
      </c>
      <c r="L141" s="51">
        <f t="shared" si="149"/>
        <v>16296.43</v>
      </c>
      <c r="M141" s="69"/>
    </row>
    <row r="142" spans="1:13" ht="21" customHeight="1" x14ac:dyDescent="0.25">
      <c r="A142" s="38">
        <f>A140+1</f>
        <v>68</v>
      </c>
      <c r="B142" s="73" t="s">
        <v>420</v>
      </c>
      <c r="C142" s="38" t="s">
        <v>66</v>
      </c>
      <c r="D142" s="158">
        <v>1</v>
      </c>
      <c r="E142" s="64">
        <v>1389.85</v>
      </c>
      <c r="F142" s="35">
        <f t="shared" ref="F142" si="150">ROUND(E142*D142,2)</f>
        <v>1389.85</v>
      </c>
      <c r="G142" s="35">
        <f t="shared" ref="G142" si="151">ROUND(F142*1.2,2)</f>
        <v>1667.82</v>
      </c>
      <c r="H142" s="64"/>
      <c r="I142" s="35"/>
      <c r="J142" s="35"/>
      <c r="K142" s="64">
        <f t="shared" si="148"/>
        <v>1389.85</v>
      </c>
      <c r="L142" s="42">
        <f t="shared" si="149"/>
        <v>1667.82</v>
      </c>
      <c r="M142" s="71" t="s">
        <v>421</v>
      </c>
    </row>
    <row r="143" spans="1:13" ht="19.5" customHeight="1" x14ac:dyDescent="0.25">
      <c r="A143" s="46" t="s">
        <v>424</v>
      </c>
      <c r="B143" s="78" t="s">
        <v>145</v>
      </c>
      <c r="C143" s="48"/>
      <c r="D143" s="79">
        <v>1</v>
      </c>
      <c r="E143" s="70"/>
      <c r="F143" s="51"/>
      <c r="G143" s="51"/>
      <c r="H143" s="70">
        <v>585.20000000000005</v>
      </c>
      <c r="I143" s="51">
        <f>ROUND(H143*D143,2)</f>
        <v>585.20000000000005</v>
      </c>
      <c r="J143" s="51">
        <f>ROUND(I143*1.2,2)</f>
        <v>702.24</v>
      </c>
      <c r="K143" s="52">
        <f t="shared" si="148"/>
        <v>585.20000000000005</v>
      </c>
      <c r="L143" s="51">
        <f t="shared" si="149"/>
        <v>702.24</v>
      </c>
      <c r="M143" s="71" t="s">
        <v>413</v>
      </c>
    </row>
    <row r="144" spans="1:13" ht="28.5" customHeight="1" x14ac:dyDescent="0.25">
      <c r="A144" s="38">
        <f>A142+1</f>
        <v>69</v>
      </c>
      <c r="B144" s="73" t="s">
        <v>417</v>
      </c>
      <c r="C144" s="38" t="s">
        <v>66</v>
      </c>
      <c r="D144" s="158">
        <v>1</v>
      </c>
      <c r="E144" s="64">
        <v>3791.45</v>
      </c>
      <c r="F144" s="35">
        <f t="shared" ref="F144" si="152">ROUND(E144*D144,2)</f>
        <v>3791.45</v>
      </c>
      <c r="G144" s="35">
        <f t="shared" ref="G144" si="153">ROUND(F144*1.2,2)</f>
        <v>4549.74</v>
      </c>
      <c r="H144" s="64"/>
      <c r="I144" s="35"/>
      <c r="J144" s="35"/>
      <c r="K144" s="64">
        <f t="shared" si="139"/>
        <v>3791.45</v>
      </c>
      <c r="L144" s="42">
        <f t="shared" si="139"/>
        <v>4549.74</v>
      </c>
      <c r="M144" s="71" t="s">
        <v>413</v>
      </c>
    </row>
    <row r="145" spans="1:13" ht="18" customHeight="1" x14ac:dyDescent="0.25">
      <c r="A145" s="46" t="s">
        <v>425</v>
      </c>
      <c r="B145" s="78" t="s">
        <v>419</v>
      </c>
      <c r="C145" s="48" t="s">
        <v>66</v>
      </c>
      <c r="D145" s="79">
        <v>1</v>
      </c>
      <c r="E145" s="70"/>
      <c r="F145" s="51"/>
      <c r="G145" s="51"/>
      <c r="H145" s="70">
        <v>6897</v>
      </c>
      <c r="I145" s="51">
        <f>ROUND(H145*D145,2)</f>
        <v>6897</v>
      </c>
      <c r="J145" s="51">
        <f>ROUND(I145*1.2,2)</f>
        <v>8276.4</v>
      </c>
      <c r="K145" s="52">
        <f t="shared" si="139"/>
        <v>6897</v>
      </c>
      <c r="L145" s="51">
        <f t="shared" si="139"/>
        <v>8276.4</v>
      </c>
      <c r="M145" s="71" t="s">
        <v>413</v>
      </c>
    </row>
    <row r="146" spans="1:13" ht="19.5" customHeight="1" x14ac:dyDescent="0.25">
      <c r="A146" s="46" t="s">
        <v>475</v>
      </c>
      <c r="B146" s="78" t="s">
        <v>463</v>
      </c>
      <c r="C146" s="48" t="s">
        <v>66</v>
      </c>
      <c r="D146" s="79">
        <v>2</v>
      </c>
      <c r="E146" s="70"/>
      <c r="F146" s="51"/>
      <c r="G146" s="51"/>
      <c r="H146" s="70">
        <v>26.6</v>
      </c>
      <c r="I146" s="51">
        <f>ROUND(H146*D146,2)</f>
        <v>53.2</v>
      </c>
      <c r="J146" s="51">
        <f>ROUND(I146*1.2,2)</f>
        <v>63.84</v>
      </c>
      <c r="K146" s="52">
        <f t="shared" si="139"/>
        <v>53.2</v>
      </c>
      <c r="L146" s="51">
        <f t="shared" si="139"/>
        <v>63.84</v>
      </c>
    </row>
    <row r="147" spans="1:13" ht="18" customHeight="1" x14ac:dyDescent="0.25">
      <c r="A147" s="38">
        <f>A144+1</f>
        <v>70</v>
      </c>
      <c r="B147" s="73" t="s">
        <v>404</v>
      </c>
      <c r="C147" s="38" t="s">
        <v>66</v>
      </c>
      <c r="D147" s="158">
        <v>2</v>
      </c>
      <c r="E147" s="64">
        <v>4670.4399999999996</v>
      </c>
      <c r="F147" s="35">
        <v>5175</v>
      </c>
      <c r="G147" s="35">
        <v>6210</v>
      </c>
      <c r="H147" s="64"/>
      <c r="I147" s="35"/>
      <c r="J147" s="35"/>
      <c r="K147" s="64">
        <f t="shared" si="139"/>
        <v>5175</v>
      </c>
      <c r="L147" s="42">
        <f t="shared" si="139"/>
        <v>6210</v>
      </c>
    </row>
    <row r="148" spans="1:13" ht="18" customHeight="1" x14ac:dyDescent="0.25">
      <c r="A148" s="46" t="s">
        <v>476</v>
      </c>
      <c r="B148" s="78" t="s">
        <v>406</v>
      </c>
      <c r="C148" s="48" t="s">
        <v>66</v>
      </c>
      <c r="D148" s="79">
        <v>2</v>
      </c>
      <c r="E148" s="70"/>
      <c r="F148" s="51"/>
      <c r="G148" s="51"/>
      <c r="H148" s="70">
        <v>3239.5</v>
      </c>
      <c r="I148" s="51">
        <f>ROUND(H148*D148,2)</f>
        <v>6479</v>
      </c>
      <c r="J148" s="51">
        <f>ROUND(I148*1.2,2)</f>
        <v>7774.8</v>
      </c>
      <c r="K148" s="52">
        <f t="shared" si="139"/>
        <v>6479</v>
      </c>
      <c r="L148" s="51">
        <f t="shared" si="139"/>
        <v>7774.8</v>
      </c>
    </row>
    <row r="149" spans="1:13" ht="23.25" customHeight="1" x14ac:dyDescent="0.25">
      <c r="A149" s="176" t="s">
        <v>148</v>
      </c>
      <c r="B149" s="177"/>
      <c r="C149" s="177"/>
      <c r="D149" s="177"/>
      <c r="E149" s="178"/>
      <c r="F149" s="118">
        <f>SUM(F7:F148)</f>
        <v>1022535.6399999994</v>
      </c>
      <c r="G149" s="118">
        <f>ROUND(F149*1.2,2)</f>
        <v>1227042.77</v>
      </c>
      <c r="H149" s="119"/>
      <c r="I149" s="118">
        <f>SUM(I7:I148)</f>
        <v>885393.83000000007</v>
      </c>
      <c r="J149" s="118">
        <f>ROUND(I149*1.2,2)</f>
        <v>1062472.6000000001</v>
      </c>
      <c r="K149" s="118">
        <f>SUM(K7:K148)</f>
        <v>1907929.469999999</v>
      </c>
      <c r="L149" s="118">
        <f>ROUND(K149*1.2,2)</f>
        <v>2289515.36</v>
      </c>
    </row>
  </sheetData>
  <mergeCells count="27">
    <mergeCell ref="A149:E149"/>
    <mergeCell ref="E23:E26"/>
    <mergeCell ref="E36:E38"/>
    <mergeCell ref="E1:L2"/>
    <mergeCell ref="E3:G3"/>
    <mergeCell ref="H3:J3"/>
    <mergeCell ref="K3:L3"/>
    <mergeCell ref="B6:D6"/>
    <mergeCell ref="L36:L38"/>
    <mergeCell ref="F36:F38"/>
    <mergeCell ref="G36:G38"/>
    <mergeCell ref="H36:H38"/>
    <mergeCell ref="I36:I38"/>
    <mergeCell ref="J36:J38"/>
    <mergeCell ref="K36:K38"/>
    <mergeCell ref="M23:M26"/>
    <mergeCell ref="A1:A4"/>
    <mergeCell ref="B1:B4"/>
    <mergeCell ref="C1:C4"/>
    <mergeCell ref="D1:D4"/>
    <mergeCell ref="I23:I26"/>
    <mergeCell ref="J23:J26"/>
    <mergeCell ref="F23:F26"/>
    <mergeCell ref="G23:G26"/>
    <mergeCell ref="H23:H26"/>
    <mergeCell ref="L23:L26"/>
    <mergeCell ref="K23:K2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M40"/>
  <sheetViews>
    <sheetView view="pageBreakPreview" zoomScale="70" zoomScaleNormal="100" zoomScaleSheetLayoutView="70" workbookViewId="0">
      <selection activeCell="D36" activeCellId="5" sqref="A1:M4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426</v>
      </c>
      <c r="C6" s="184"/>
      <c r="D6" s="184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427</v>
      </c>
      <c r="C8" s="5" t="s">
        <v>66</v>
      </c>
      <c r="D8" s="150">
        <v>42</v>
      </c>
      <c r="E8" s="40">
        <v>1055.02</v>
      </c>
      <c r="F8" s="33">
        <f t="shared" ref="F8:F11" si="0">ROUND(E8*D8,2)</f>
        <v>44310.84</v>
      </c>
      <c r="G8" s="33">
        <f t="shared" ref="G8:G11" si="1">ROUND(F8*1.2,2)</f>
        <v>53173.01</v>
      </c>
      <c r="H8" s="34"/>
      <c r="I8" s="35"/>
      <c r="J8" s="35"/>
      <c r="K8" s="32">
        <f t="shared" ref="K8:L11" si="2">F8+I8</f>
        <v>44310.84</v>
      </c>
      <c r="L8" s="33">
        <f t="shared" si="2"/>
        <v>53173.01</v>
      </c>
      <c r="M8" s="71" t="s">
        <v>25</v>
      </c>
    </row>
    <row r="9" spans="1:13" ht="22.5" customHeight="1" x14ac:dyDescent="0.25">
      <c r="A9" s="30">
        <f>A8+1</f>
        <v>2</v>
      </c>
      <c r="B9" s="37" t="s">
        <v>21</v>
      </c>
      <c r="C9" s="38" t="s">
        <v>22</v>
      </c>
      <c r="D9" s="151">
        <v>50.06</v>
      </c>
      <c r="E9" s="40">
        <v>1900</v>
      </c>
      <c r="F9" s="33">
        <f t="shared" si="0"/>
        <v>95114</v>
      </c>
      <c r="G9" s="33">
        <f t="shared" si="1"/>
        <v>114136.8</v>
      </c>
      <c r="H9" s="34"/>
      <c r="I9" s="35"/>
      <c r="J9" s="35"/>
      <c r="K9" s="32">
        <f t="shared" si="2"/>
        <v>95114</v>
      </c>
      <c r="L9" s="33">
        <f t="shared" si="2"/>
        <v>114136.8</v>
      </c>
      <c r="M9" s="41"/>
    </row>
    <row r="10" spans="1:13" ht="22.5" customHeight="1" x14ac:dyDescent="0.25">
      <c r="A10" s="30">
        <f>A9+1</f>
        <v>3</v>
      </c>
      <c r="B10" s="37" t="s">
        <v>23</v>
      </c>
      <c r="C10" s="100" t="s">
        <v>24</v>
      </c>
      <c r="D10" s="151">
        <v>32.159999999999997</v>
      </c>
      <c r="E10" s="42">
        <f>ROUND(65055.24/(297.03*0.05),2)</f>
        <v>4380.38</v>
      </c>
      <c r="F10" s="33">
        <f t="shared" si="0"/>
        <v>140873.01999999999</v>
      </c>
      <c r="G10" s="33">
        <f t="shared" si="1"/>
        <v>169047.62</v>
      </c>
      <c r="H10" s="34"/>
      <c r="I10" s="35"/>
      <c r="J10" s="35"/>
      <c r="K10" s="32">
        <f t="shared" si="2"/>
        <v>140873.01999999999</v>
      </c>
      <c r="L10" s="33">
        <f t="shared" si="2"/>
        <v>169047.62</v>
      </c>
      <c r="M10" s="21" t="s">
        <v>25</v>
      </c>
    </row>
    <row r="11" spans="1:13" ht="22.5" customHeight="1" x14ac:dyDescent="0.25">
      <c r="A11" s="30">
        <f t="shared" ref="A11" si="3">A10+1</f>
        <v>4</v>
      </c>
      <c r="B11" s="37" t="s">
        <v>26</v>
      </c>
      <c r="C11" s="100" t="s">
        <v>24</v>
      </c>
      <c r="D11" s="151">
        <v>47.78</v>
      </c>
      <c r="E11" s="64">
        <v>1440.5229999999999</v>
      </c>
      <c r="F11" s="33">
        <f t="shared" si="0"/>
        <v>68828.19</v>
      </c>
      <c r="G11" s="33">
        <f t="shared" si="1"/>
        <v>82593.83</v>
      </c>
      <c r="H11" s="35"/>
      <c r="I11" s="35"/>
      <c r="J11" s="35"/>
      <c r="K11" s="32">
        <f t="shared" si="2"/>
        <v>68828.19</v>
      </c>
      <c r="L11" s="35">
        <f t="shared" si="2"/>
        <v>82593.83</v>
      </c>
      <c r="M11" s="21" t="s">
        <v>25</v>
      </c>
    </row>
    <row r="12" spans="1:13" ht="20.25" customHeight="1" x14ac:dyDescent="0.25">
      <c r="A12" s="30"/>
      <c r="B12" s="31" t="s">
        <v>428</v>
      </c>
      <c r="C12" s="100"/>
      <c r="D12" s="151"/>
      <c r="E12" s="64"/>
      <c r="F12" s="33"/>
      <c r="G12" s="33"/>
      <c r="H12" s="35"/>
      <c r="I12" s="35"/>
      <c r="J12" s="35"/>
      <c r="K12" s="32"/>
      <c r="L12" s="35"/>
    </row>
    <row r="13" spans="1:13" ht="25.5" customHeight="1" x14ac:dyDescent="0.25">
      <c r="A13" s="30">
        <f>A11+1</f>
        <v>5</v>
      </c>
      <c r="B13" s="73" t="s">
        <v>429</v>
      </c>
      <c r="C13" s="100" t="s">
        <v>22</v>
      </c>
      <c r="D13" s="151">
        <v>41.62</v>
      </c>
      <c r="E13" s="64">
        <v>828.5</v>
      </c>
      <c r="F13" s="33">
        <f t="shared" ref="F13" si="4">ROUND(E13*D13,2)</f>
        <v>34482.17</v>
      </c>
      <c r="G13" s="33">
        <f t="shared" ref="G13" si="5">ROUND(F13*1.2,2)</f>
        <v>41378.6</v>
      </c>
      <c r="H13" s="35"/>
      <c r="I13" s="35"/>
      <c r="J13" s="35"/>
      <c r="K13" s="32">
        <f t="shared" ref="K13:L13" si="6">F13+I13</f>
        <v>34482.17</v>
      </c>
      <c r="L13" s="35">
        <f t="shared" si="6"/>
        <v>41378.6</v>
      </c>
      <c r="M13" s="21" t="s">
        <v>158</v>
      </c>
    </row>
    <row r="14" spans="1:13" ht="20.25" customHeight="1" x14ac:dyDescent="0.25">
      <c r="A14" s="30"/>
      <c r="B14" s="111" t="s">
        <v>232</v>
      </c>
      <c r="C14" s="38"/>
      <c r="D14" s="151"/>
      <c r="E14" s="127"/>
      <c r="F14" s="35"/>
      <c r="G14" s="35"/>
      <c r="H14" s="35"/>
      <c r="I14" s="35"/>
      <c r="J14" s="35"/>
      <c r="K14" s="32"/>
      <c r="L14" s="35"/>
      <c r="M14" s="71"/>
    </row>
    <row r="15" spans="1:13" ht="24" customHeight="1" x14ac:dyDescent="0.25">
      <c r="A15" s="30">
        <f>A13+1</f>
        <v>6</v>
      </c>
      <c r="B15" s="73" t="s">
        <v>477</v>
      </c>
      <c r="C15" s="100" t="s">
        <v>38</v>
      </c>
      <c r="D15" s="151">
        <v>4.2</v>
      </c>
      <c r="E15" s="64">
        <v>544.86</v>
      </c>
      <c r="F15" s="33">
        <f t="shared" ref="F15:F16" si="7">ROUND(E15*D15,2)</f>
        <v>2288.41</v>
      </c>
      <c r="G15" s="33">
        <f t="shared" ref="G15:G16" si="8">ROUND(F15*1.2,2)</f>
        <v>2746.09</v>
      </c>
      <c r="H15" s="34"/>
      <c r="I15" s="35"/>
      <c r="J15" s="35"/>
      <c r="K15" s="32">
        <f t="shared" ref="K15:L16" si="9">F15+I15</f>
        <v>2288.41</v>
      </c>
      <c r="L15" s="35">
        <f t="shared" si="9"/>
        <v>2746.09</v>
      </c>
      <c r="M15" s="71" t="s">
        <v>158</v>
      </c>
    </row>
    <row r="16" spans="1:13" ht="24" customHeight="1" x14ac:dyDescent="0.25">
      <c r="A16" s="30">
        <f>A15+1</f>
        <v>7</v>
      </c>
      <c r="B16" s="73" t="s">
        <v>27</v>
      </c>
      <c r="C16" s="38" t="s">
        <v>38</v>
      </c>
      <c r="D16" s="151">
        <v>131.21</v>
      </c>
      <c r="E16" s="64">
        <v>544.86</v>
      </c>
      <c r="F16" s="33">
        <f t="shared" si="7"/>
        <v>71491.08</v>
      </c>
      <c r="G16" s="33">
        <f t="shared" si="8"/>
        <v>85789.3</v>
      </c>
      <c r="H16" s="34"/>
      <c r="I16" s="35"/>
      <c r="J16" s="35"/>
      <c r="K16" s="32">
        <f t="shared" si="9"/>
        <v>71491.08</v>
      </c>
      <c r="L16" s="35">
        <f t="shared" si="9"/>
        <v>85789.3</v>
      </c>
      <c r="M16" s="71" t="s">
        <v>598</v>
      </c>
    </row>
    <row r="17" spans="1:13" ht="20.25" customHeight="1" x14ac:dyDescent="0.25">
      <c r="A17" s="56"/>
      <c r="B17" s="43" t="s">
        <v>45</v>
      </c>
      <c r="C17" s="38"/>
      <c r="D17" s="150"/>
      <c r="E17" s="58"/>
      <c r="F17" s="59"/>
      <c r="G17" s="60"/>
      <c r="H17" s="61"/>
      <c r="I17" s="62"/>
      <c r="J17" s="62"/>
      <c r="K17" s="63"/>
      <c r="L17" s="62"/>
    </row>
    <row r="18" spans="1:13" ht="24" customHeight="1" x14ac:dyDescent="0.25">
      <c r="A18" s="30">
        <f>A16+1</f>
        <v>8</v>
      </c>
      <c r="B18" s="99" t="s">
        <v>46</v>
      </c>
      <c r="C18" s="100" t="s">
        <v>24</v>
      </c>
      <c r="D18" s="151">
        <v>245.95</v>
      </c>
      <c r="E18" s="64">
        <v>308.75</v>
      </c>
      <c r="F18" s="33">
        <f t="shared" ref="F18:F23" si="10">ROUND(E18*D18,2)</f>
        <v>75937.06</v>
      </c>
      <c r="G18" s="33">
        <f t="shared" ref="G18:G23" si="11">ROUND(F18*1.2,2)</f>
        <v>91124.47</v>
      </c>
      <c r="H18" s="61"/>
      <c r="I18" s="62"/>
      <c r="J18" s="62"/>
      <c r="K18" s="64">
        <f t="shared" ref="K18:L23" si="12">F18+I18</f>
        <v>75937.06</v>
      </c>
      <c r="L18" s="42">
        <f t="shared" si="12"/>
        <v>91124.47</v>
      </c>
    </row>
    <row r="19" spans="1:13" ht="24" customHeight="1" x14ac:dyDescent="0.25">
      <c r="A19" s="30">
        <f>A18+1</f>
        <v>9</v>
      </c>
      <c r="B19" s="99" t="s">
        <v>47</v>
      </c>
      <c r="C19" s="100" t="s">
        <v>24</v>
      </c>
      <c r="D19" s="151">
        <v>7.6</v>
      </c>
      <c r="E19" s="64">
        <v>1688.15</v>
      </c>
      <c r="F19" s="33">
        <f t="shared" si="10"/>
        <v>12829.94</v>
      </c>
      <c r="G19" s="33">
        <f t="shared" si="11"/>
        <v>15395.93</v>
      </c>
      <c r="H19" s="61"/>
      <c r="I19" s="62"/>
      <c r="J19" s="62"/>
      <c r="K19" s="64">
        <f t="shared" si="12"/>
        <v>12829.94</v>
      </c>
      <c r="L19" s="42">
        <f t="shared" si="12"/>
        <v>15395.93</v>
      </c>
    </row>
    <row r="20" spans="1:13" ht="24" customHeight="1" x14ac:dyDescent="0.25">
      <c r="A20" s="30">
        <f>A19+1</f>
        <v>10</v>
      </c>
      <c r="B20" s="99" t="s">
        <v>233</v>
      </c>
      <c r="C20" s="100" t="s">
        <v>24</v>
      </c>
      <c r="D20" s="151">
        <v>40.56</v>
      </c>
      <c r="E20" s="64">
        <v>1310.05</v>
      </c>
      <c r="F20" s="33">
        <f t="shared" si="10"/>
        <v>53135.63</v>
      </c>
      <c r="G20" s="33">
        <f t="shared" si="11"/>
        <v>63762.76</v>
      </c>
      <c r="H20" s="35"/>
      <c r="I20" s="35"/>
      <c r="J20" s="35"/>
      <c r="K20" s="32">
        <f t="shared" si="12"/>
        <v>53135.63</v>
      </c>
      <c r="L20" s="35">
        <f t="shared" si="12"/>
        <v>63762.76</v>
      </c>
    </row>
    <row r="21" spans="1:13" ht="20.25" customHeight="1" x14ac:dyDescent="0.25">
      <c r="A21" s="46" t="s">
        <v>430</v>
      </c>
      <c r="B21" s="47" t="s">
        <v>50</v>
      </c>
      <c r="C21" s="48" t="s">
        <v>24</v>
      </c>
      <c r="D21" s="49">
        <f>D20*1.1</f>
        <v>44.616000000000007</v>
      </c>
      <c r="E21" s="70"/>
      <c r="F21" s="51"/>
      <c r="G21" s="51"/>
      <c r="H21" s="51">
        <v>1191.3</v>
      </c>
      <c r="I21" s="51">
        <f>ROUND(H21*D21,2)</f>
        <v>53151.040000000001</v>
      </c>
      <c r="J21" s="51">
        <f>ROUND(I21*1.2,2)</f>
        <v>63781.25</v>
      </c>
      <c r="K21" s="52">
        <f t="shared" si="12"/>
        <v>53151.040000000001</v>
      </c>
      <c r="L21" s="51">
        <f t="shared" si="12"/>
        <v>63781.25</v>
      </c>
    </row>
    <row r="22" spans="1:13" s="66" customFormat="1" ht="22.5" customHeight="1" x14ac:dyDescent="0.25">
      <c r="A22" s="38">
        <f>A20+1</f>
        <v>11</v>
      </c>
      <c r="B22" s="99" t="s">
        <v>153</v>
      </c>
      <c r="C22" s="100" t="s">
        <v>24</v>
      </c>
      <c r="D22" s="151">
        <v>238.74</v>
      </c>
      <c r="E22" s="64">
        <v>118.75</v>
      </c>
      <c r="F22" s="33">
        <f t="shared" si="10"/>
        <v>28350.38</v>
      </c>
      <c r="G22" s="33">
        <f t="shared" si="11"/>
        <v>34020.46</v>
      </c>
      <c r="H22" s="61"/>
      <c r="I22" s="62"/>
      <c r="J22" s="62"/>
      <c r="K22" s="64">
        <f t="shared" si="12"/>
        <v>28350.38</v>
      </c>
      <c r="L22" s="42">
        <f t="shared" si="12"/>
        <v>34020.46</v>
      </c>
      <c r="M22" s="65"/>
    </row>
    <row r="23" spans="1:13" ht="22.5" customHeight="1" x14ac:dyDescent="0.25">
      <c r="A23" s="30">
        <f>A22+1</f>
        <v>12</v>
      </c>
      <c r="B23" s="99" t="s">
        <v>53</v>
      </c>
      <c r="C23" s="100" t="s">
        <v>24</v>
      </c>
      <c r="D23" s="151">
        <v>238.74</v>
      </c>
      <c r="E23" s="64">
        <v>188.1</v>
      </c>
      <c r="F23" s="33">
        <f t="shared" si="10"/>
        <v>44906.99</v>
      </c>
      <c r="G23" s="33">
        <f t="shared" si="11"/>
        <v>53888.39</v>
      </c>
      <c r="H23" s="64"/>
      <c r="I23" s="35"/>
      <c r="J23" s="35"/>
      <c r="K23" s="64">
        <f t="shared" si="12"/>
        <v>44906.99</v>
      </c>
      <c r="L23" s="42">
        <f t="shared" si="12"/>
        <v>53888.39</v>
      </c>
    </row>
    <row r="24" spans="1:13" ht="21" customHeight="1" x14ac:dyDescent="0.25">
      <c r="A24" s="46"/>
      <c r="B24" s="43" t="s">
        <v>55</v>
      </c>
      <c r="C24" s="38"/>
      <c r="D24" s="150"/>
      <c r="E24" s="58"/>
      <c r="F24" s="59"/>
      <c r="G24" s="60"/>
      <c r="H24" s="67"/>
      <c r="I24" s="35"/>
      <c r="J24" s="35"/>
      <c r="K24" s="32"/>
      <c r="L24" s="35"/>
    </row>
    <row r="25" spans="1:13" ht="21.75" customHeight="1" x14ac:dyDescent="0.25">
      <c r="A25" s="30">
        <f>A23+1</f>
        <v>13</v>
      </c>
      <c r="B25" s="99" t="s">
        <v>164</v>
      </c>
      <c r="C25" s="38" t="s">
        <v>165</v>
      </c>
      <c r="D25" s="150">
        <v>3</v>
      </c>
      <c r="E25" s="64">
        <v>9339.7999999999993</v>
      </c>
      <c r="F25" s="42">
        <f t="shared" ref="F25:F27" si="13">ROUND(E25*D25,2)</f>
        <v>28019.4</v>
      </c>
      <c r="G25" s="42">
        <f t="shared" ref="G25:G27" si="14">ROUND(F25*1.2,2)</f>
        <v>33623.279999999999</v>
      </c>
      <c r="H25" s="34"/>
      <c r="I25" s="42"/>
      <c r="J25" s="42"/>
      <c r="K25" s="64">
        <f t="shared" ref="K25:L37" si="15">F25+I25</f>
        <v>28019.4</v>
      </c>
      <c r="L25" s="42">
        <f t="shared" si="15"/>
        <v>33623.279999999999</v>
      </c>
      <c r="M25" s="71" t="s">
        <v>166</v>
      </c>
    </row>
    <row r="26" spans="1:13" ht="21.75" customHeight="1" x14ac:dyDescent="0.25">
      <c r="A26" s="30">
        <f>A25+1</f>
        <v>14</v>
      </c>
      <c r="B26" s="99" t="s">
        <v>167</v>
      </c>
      <c r="C26" s="38" t="s">
        <v>165</v>
      </c>
      <c r="D26" s="150">
        <v>3</v>
      </c>
      <c r="E26" s="64">
        <f>ROUND(2803.18*1.33,2)</f>
        <v>3728.23</v>
      </c>
      <c r="F26" s="42">
        <f t="shared" si="13"/>
        <v>11184.69</v>
      </c>
      <c r="G26" s="42">
        <f t="shared" si="14"/>
        <v>13421.63</v>
      </c>
      <c r="H26" s="34"/>
      <c r="I26" s="42"/>
      <c r="J26" s="42"/>
      <c r="K26" s="64">
        <f t="shared" si="15"/>
        <v>11184.69</v>
      </c>
      <c r="L26" s="42">
        <f t="shared" si="15"/>
        <v>13421.63</v>
      </c>
      <c r="M26" s="71" t="s">
        <v>75</v>
      </c>
    </row>
    <row r="27" spans="1:13" ht="37.5" customHeight="1" x14ac:dyDescent="0.25">
      <c r="A27" s="30">
        <f>A26+1</f>
        <v>15</v>
      </c>
      <c r="B27" s="99" t="s">
        <v>168</v>
      </c>
      <c r="C27" s="100" t="s">
        <v>22</v>
      </c>
      <c r="D27" s="151">
        <v>38.14</v>
      </c>
      <c r="E27" s="123">
        <v>5050.3900000000003</v>
      </c>
      <c r="F27" s="35">
        <f t="shared" si="13"/>
        <v>192621.87</v>
      </c>
      <c r="G27" s="35">
        <f t="shared" si="14"/>
        <v>231146.23999999999</v>
      </c>
      <c r="H27" s="67"/>
      <c r="I27" s="35"/>
      <c r="J27" s="35"/>
      <c r="K27" s="64">
        <f t="shared" si="15"/>
        <v>192621.87</v>
      </c>
      <c r="L27" s="42">
        <f t="shared" si="15"/>
        <v>231146.23999999999</v>
      </c>
    </row>
    <row r="28" spans="1:13" ht="27.75" customHeight="1" x14ac:dyDescent="0.25">
      <c r="A28" s="46" t="s">
        <v>57</v>
      </c>
      <c r="B28" s="47" t="s">
        <v>431</v>
      </c>
      <c r="C28" s="48" t="s">
        <v>22</v>
      </c>
      <c r="D28" s="49">
        <f>1.02*38.14</f>
        <v>38.902799999999999</v>
      </c>
      <c r="E28" s="70"/>
      <c r="F28" s="68"/>
      <c r="G28" s="68"/>
      <c r="H28" s="68">
        <v>13793</v>
      </c>
      <c r="I28" s="68">
        <f>ROUND(H28*D28,2)</f>
        <v>536586.31999999995</v>
      </c>
      <c r="J28" s="68">
        <f>ROUND(I28*1.2,2)</f>
        <v>643903.57999999996</v>
      </c>
      <c r="K28" s="70">
        <f t="shared" si="15"/>
        <v>536586.31999999995</v>
      </c>
      <c r="L28" s="68">
        <f t="shared" si="15"/>
        <v>643903.57999999996</v>
      </c>
    </row>
    <row r="29" spans="1:13" ht="36.75" customHeight="1" x14ac:dyDescent="0.25">
      <c r="A29" s="30">
        <f>A27+1</f>
        <v>16</v>
      </c>
      <c r="B29" s="99" t="s">
        <v>170</v>
      </c>
      <c r="C29" s="100" t="s">
        <v>22</v>
      </c>
      <c r="D29" s="151">
        <v>38.14</v>
      </c>
      <c r="E29" s="123">
        <f>ROUND(1572.68*1.33,2)</f>
        <v>2091.66</v>
      </c>
      <c r="F29" s="35">
        <f t="shared" ref="F29" si="16">ROUND(E29*D29,2)</f>
        <v>79775.91</v>
      </c>
      <c r="G29" s="35">
        <f t="shared" ref="G29" si="17">ROUND(F29*1.2,2)</f>
        <v>95731.09</v>
      </c>
      <c r="H29" s="67"/>
      <c r="I29" s="35"/>
      <c r="J29" s="35"/>
      <c r="K29" s="64">
        <f t="shared" si="15"/>
        <v>79775.91</v>
      </c>
      <c r="L29" s="42">
        <f t="shared" si="15"/>
        <v>95731.09</v>
      </c>
      <c r="M29" s="71" t="s">
        <v>75</v>
      </c>
    </row>
    <row r="30" spans="1:13" ht="21" customHeight="1" x14ac:dyDescent="0.25">
      <c r="A30" s="46" t="s">
        <v>60</v>
      </c>
      <c r="B30" s="47" t="s">
        <v>171</v>
      </c>
      <c r="C30" s="48" t="s">
        <v>22</v>
      </c>
      <c r="D30" s="49">
        <f>1.02*38.14</f>
        <v>38.902799999999999</v>
      </c>
      <c r="E30" s="70"/>
      <c r="F30" s="51"/>
      <c r="G30" s="51"/>
      <c r="H30" s="51">
        <v>3124.17</v>
      </c>
      <c r="I30" s="51">
        <f>ROUND(H30*D30,2)</f>
        <v>121538.96</v>
      </c>
      <c r="J30" s="51">
        <f>ROUND(I30*1.2,2)</f>
        <v>145846.75</v>
      </c>
      <c r="K30" s="52">
        <f t="shared" si="15"/>
        <v>121538.96</v>
      </c>
      <c r="L30" s="51">
        <f t="shared" si="15"/>
        <v>145846.75</v>
      </c>
    </row>
    <row r="31" spans="1:13" ht="24.75" customHeight="1" x14ac:dyDescent="0.25">
      <c r="A31" s="46" t="s">
        <v>239</v>
      </c>
      <c r="B31" s="47" t="s">
        <v>173</v>
      </c>
      <c r="C31" s="48" t="s">
        <v>66</v>
      </c>
      <c r="D31" s="72">
        <v>19</v>
      </c>
      <c r="E31" s="70"/>
      <c r="F31" s="51"/>
      <c r="G31" s="51"/>
      <c r="H31" s="51">
        <v>1641.6</v>
      </c>
      <c r="I31" s="51">
        <f>ROUND(H31*D31,2)</f>
        <v>31190.400000000001</v>
      </c>
      <c r="J31" s="51">
        <f>ROUND(I31*1.2,2)</f>
        <v>37428.480000000003</v>
      </c>
      <c r="K31" s="52">
        <f t="shared" si="15"/>
        <v>31190.400000000001</v>
      </c>
      <c r="L31" s="51">
        <f t="shared" si="15"/>
        <v>37428.480000000003</v>
      </c>
    </row>
    <row r="32" spans="1:13" ht="36.75" customHeight="1" x14ac:dyDescent="0.25">
      <c r="A32" s="30">
        <f>A29+1</f>
        <v>17</v>
      </c>
      <c r="B32" s="99" t="s">
        <v>478</v>
      </c>
      <c r="C32" s="100" t="s">
        <v>22</v>
      </c>
      <c r="D32" s="151">
        <v>38.18</v>
      </c>
      <c r="E32" s="123">
        <v>1149.5</v>
      </c>
      <c r="F32" s="35">
        <f t="shared" ref="F32" si="18">ROUND(E32*D32,2)</f>
        <v>43887.91</v>
      </c>
      <c r="G32" s="35">
        <f t="shared" ref="G32" si="19">ROUND(F32*1.2,2)</f>
        <v>52665.49</v>
      </c>
      <c r="H32" s="67"/>
      <c r="I32" s="35"/>
      <c r="J32" s="35"/>
      <c r="K32" s="64">
        <f t="shared" ref="K32:K33" si="20">F32+I32</f>
        <v>43887.91</v>
      </c>
      <c r="L32" s="42">
        <f t="shared" ref="L32:L33" si="21">G32+J32</f>
        <v>52665.49</v>
      </c>
      <c r="M32" s="71" t="s">
        <v>75</v>
      </c>
    </row>
    <row r="33" spans="1:13" ht="21" customHeight="1" x14ac:dyDescent="0.25">
      <c r="A33" s="46" t="s">
        <v>63</v>
      </c>
      <c r="B33" s="47" t="s">
        <v>171</v>
      </c>
      <c r="C33" s="48" t="s">
        <v>22</v>
      </c>
      <c r="D33" s="49">
        <f>1.02*D32</f>
        <v>38.943600000000004</v>
      </c>
      <c r="E33" s="70"/>
      <c r="F33" s="51"/>
      <c r="G33" s="51"/>
      <c r="H33" s="51">
        <v>3142.17</v>
      </c>
      <c r="I33" s="51">
        <f>ROUND(H33*D33,2)</f>
        <v>122367.41</v>
      </c>
      <c r="J33" s="51">
        <f>ROUND(I33*1.2,2)</f>
        <v>146840.89000000001</v>
      </c>
      <c r="K33" s="52">
        <f t="shared" si="20"/>
        <v>122367.41</v>
      </c>
      <c r="L33" s="51">
        <f t="shared" si="21"/>
        <v>146840.89000000001</v>
      </c>
    </row>
    <row r="34" spans="1:13" ht="45" x14ac:dyDescent="0.25">
      <c r="A34" s="30">
        <f>A32+1</f>
        <v>18</v>
      </c>
      <c r="B34" s="37" t="s">
        <v>432</v>
      </c>
      <c r="C34" s="38" t="s">
        <v>66</v>
      </c>
      <c r="D34" s="150">
        <v>2</v>
      </c>
      <c r="E34" s="64">
        <v>4670.4399999999996</v>
      </c>
      <c r="F34" s="35">
        <f t="shared" ref="F34:F36" si="22">ROUND(E34*D34,2)</f>
        <v>9340.8799999999992</v>
      </c>
      <c r="G34" s="35">
        <f t="shared" ref="G34:G36" si="23">ROUND(F34*1.2,2)</f>
        <v>11209.06</v>
      </c>
      <c r="H34" s="67"/>
      <c r="I34" s="35"/>
      <c r="J34" s="35"/>
      <c r="K34" s="64">
        <f t="shared" si="15"/>
        <v>9340.8799999999992</v>
      </c>
      <c r="L34" s="42">
        <f t="shared" si="15"/>
        <v>11209.06</v>
      </c>
    </row>
    <row r="35" spans="1:13" ht="30.4" customHeight="1" x14ac:dyDescent="0.25">
      <c r="A35" s="46" t="s">
        <v>68</v>
      </c>
      <c r="B35" s="47" t="s">
        <v>433</v>
      </c>
      <c r="C35" s="48" t="s">
        <v>66</v>
      </c>
      <c r="D35" s="72">
        <v>2</v>
      </c>
      <c r="E35" s="70"/>
      <c r="F35" s="51"/>
      <c r="G35" s="51"/>
      <c r="H35" s="51">
        <v>3239.5</v>
      </c>
      <c r="I35" s="51">
        <f>ROUND(H35*D35,2)</f>
        <v>6479</v>
      </c>
      <c r="J35" s="51">
        <f>ROUND(I35*1.2,2)</f>
        <v>7774.8</v>
      </c>
      <c r="K35" s="52">
        <f t="shared" si="15"/>
        <v>6479</v>
      </c>
      <c r="L35" s="51">
        <f t="shared" si="15"/>
        <v>7774.8</v>
      </c>
    </row>
    <row r="36" spans="1:13" ht="30" x14ac:dyDescent="0.25">
      <c r="A36" s="30">
        <f>A34+1</f>
        <v>19</v>
      </c>
      <c r="B36" s="37" t="s">
        <v>70</v>
      </c>
      <c r="C36" s="38" t="s">
        <v>24</v>
      </c>
      <c r="D36" s="151">
        <v>4.9400000000000004</v>
      </c>
      <c r="E36" s="64">
        <v>8327.42</v>
      </c>
      <c r="F36" s="35">
        <f t="shared" si="22"/>
        <v>41137.449999999997</v>
      </c>
      <c r="G36" s="35">
        <f t="shared" si="23"/>
        <v>49364.94</v>
      </c>
      <c r="H36" s="67"/>
      <c r="I36" s="35"/>
      <c r="J36" s="35"/>
      <c r="K36" s="64">
        <f t="shared" si="15"/>
        <v>41137.449999999997</v>
      </c>
      <c r="L36" s="42">
        <f t="shared" si="15"/>
        <v>49364.94</v>
      </c>
    </row>
    <row r="37" spans="1:13" x14ac:dyDescent="0.25">
      <c r="A37" s="46" t="s">
        <v>71</v>
      </c>
      <c r="B37" s="47" t="s">
        <v>72</v>
      </c>
      <c r="C37" s="48" t="s">
        <v>24</v>
      </c>
      <c r="D37" s="49">
        <f>1.02*4.94</f>
        <v>5.0388000000000002</v>
      </c>
      <c r="E37" s="70"/>
      <c r="F37" s="51"/>
      <c r="G37" s="51"/>
      <c r="H37" s="51">
        <v>5322.58</v>
      </c>
      <c r="I37" s="51">
        <f t="shared" ref="I37" si="24">ROUND(H37*D37,2)</f>
        <v>26819.42</v>
      </c>
      <c r="J37" s="51">
        <f t="shared" ref="J37" si="25">ROUND(I37*1.2,2)</f>
        <v>32183.3</v>
      </c>
      <c r="K37" s="52">
        <f t="shared" si="15"/>
        <v>26819.42</v>
      </c>
      <c r="L37" s="51">
        <f t="shared" si="15"/>
        <v>32183.3</v>
      </c>
      <c r="M37" s="69"/>
    </row>
    <row r="38" spans="1:13" s="95" customFormat="1" ht="24" customHeight="1" x14ac:dyDescent="0.3">
      <c r="A38" s="185" t="s">
        <v>148</v>
      </c>
      <c r="B38" s="186"/>
      <c r="C38" s="186"/>
      <c r="D38" s="186"/>
      <c r="E38" s="187"/>
      <c r="F38" s="118">
        <f>SUM(F7:F37)</f>
        <v>1078515.82</v>
      </c>
      <c r="G38" s="118">
        <f>ROUND(F38*1.2,2)</f>
        <v>1294218.98</v>
      </c>
      <c r="H38" s="122"/>
      <c r="I38" s="118">
        <f>SUM(I7:I37)</f>
        <v>898132.55</v>
      </c>
      <c r="J38" s="118">
        <f>ROUND(I38*1.2,2)</f>
        <v>1077759.06</v>
      </c>
      <c r="K38" s="118">
        <f>SUM(K7:K37)</f>
        <v>1976648.3699999992</v>
      </c>
      <c r="L38" s="118">
        <f>ROUND(K38*1.2,2)</f>
        <v>2371978.04</v>
      </c>
      <c r="M38" s="94"/>
    </row>
    <row r="40" spans="1:13" x14ac:dyDescent="0.25">
      <c r="K40" s="96"/>
    </row>
  </sheetData>
  <mergeCells count="10">
    <mergeCell ref="B6:D6"/>
    <mergeCell ref="A38:E3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M59"/>
  <sheetViews>
    <sheetView view="pageBreakPreview" topLeftCell="A16" zoomScale="70" zoomScaleNormal="100" zoomScaleSheetLayoutView="70" workbookViewId="0">
      <selection activeCell="F38" sqref="F37:F3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479</v>
      </c>
      <c r="C6" s="184"/>
      <c r="D6" s="184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427</v>
      </c>
      <c r="C8" s="5" t="s">
        <v>66</v>
      </c>
      <c r="D8" s="150">
        <v>5</v>
      </c>
      <c r="E8" s="40">
        <v>1055.02</v>
      </c>
      <c r="F8" s="33">
        <f t="shared" ref="F8:F11" si="0">ROUND(E8*D8,2)</f>
        <v>5275.1</v>
      </c>
      <c r="G8" s="33">
        <f t="shared" ref="G8:G11" si="1">ROUND(F8*1.2,2)</f>
        <v>6330.12</v>
      </c>
      <c r="H8" s="34"/>
      <c r="I8" s="35"/>
      <c r="J8" s="35"/>
      <c r="K8" s="32">
        <f t="shared" ref="K8:L11" si="2">F8+I8</f>
        <v>5275.1</v>
      </c>
      <c r="L8" s="33">
        <f t="shared" si="2"/>
        <v>6330.12</v>
      </c>
      <c r="M8" s="71" t="s">
        <v>25</v>
      </c>
    </row>
    <row r="9" spans="1:13" ht="22.5" customHeight="1" x14ac:dyDescent="0.25">
      <c r="A9" s="30">
        <f>A8+1</f>
        <v>2</v>
      </c>
      <c r="B9" s="37" t="s">
        <v>21</v>
      </c>
      <c r="C9" s="38" t="s">
        <v>22</v>
      </c>
      <c r="D9" s="151">
        <v>15.15</v>
      </c>
      <c r="E9" s="40">
        <v>1900</v>
      </c>
      <c r="F9" s="33">
        <f t="shared" si="0"/>
        <v>28785</v>
      </c>
      <c r="G9" s="33">
        <f t="shared" si="1"/>
        <v>34542</v>
      </c>
      <c r="H9" s="34"/>
      <c r="I9" s="35"/>
      <c r="J9" s="35"/>
      <c r="K9" s="32">
        <f t="shared" si="2"/>
        <v>28785</v>
      </c>
      <c r="L9" s="33">
        <f t="shared" si="2"/>
        <v>34542</v>
      </c>
      <c r="M9" s="41"/>
    </row>
    <row r="10" spans="1:13" ht="22.5" customHeight="1" x14ac:dyDescent="0.25">
      <c r="A10" s="30">
        <f>A9+1</f>
        <v>3</v>
      </c>
      <c r="B10" s="37" t="s">
        <v>23</v>
      </c>
      <c r="C10" s="100" t="s">
        <v>24</v>
      </c>
      <c r="D10" s="151">
        <v>4.53</v>
      </c>
      <c r="E10" s="42">
        <f>ROUND(65055.24/(297.03*0.05),2)</f>
        <v>4380.38</v>
      </c>
      <c r="F10" s="33">
        <f t="shared" si="0"/>
        <v>19843.12</v>
      </c>
      <c r="G10" s="33">
        <f t="shared" si="1"/>
        <v>23811.74</v>
      </c>
      <c r="H10" s="34"/>
      <c r="I10" s="35"/>
      <c r="J10" s="35"/>
      <c r="K10" s="32">
        <f t="shared" si="2"/>
        <v>19843.12</v>
      </c>
      <c r="L10" s="33">
        <f t="shared" si="2"/>
        <v>23811.74</v>
      </c>
      <c r="M10" s="21" t="s">
        <v>25</v>
      </c>
    </row>
    <row r="11" spans="1:13" ht="22.5" customHeight="1" x14ac:dyDescent="0.25">
      <c r="A11" s="30">
        <f t="shared" ref="A11" si="3">A10+1</f>
        <v>4</v>
      </c>
      <c r="B11" s="37" t="s">
        <v>26</v>
      </c>
      <c r="C11" s="100" t="s">
        <v>24</v>
      </c>
      <c r="D11" s="151">
        <v>6.84</v>
      </c>
      <c r="E11" s="64">
        <v>1440.5229999999999</v>
      </c>
      <c r="F11" s="33">
        <f t="shared" si="0"/>
        <v>9853.18</v>
      </c>
      <c r="G11" s="33">
        <f t="shared" si="1"/>
        <v>11823.82</v>
      </c>
      <c r="H11" s="35"/>
      <c r="I11" s="35"/>
      <c r="J11" s="35"/>
      <c r="K11" s="32">
        <f t="shared" si="2"/>
        <v>9853.18</v>
      </c>
      <c r="L11" s="35">
        <f t="shared" si="2"/>
        <v>11823.82</v>
      </c>
      <c r="M11" s="21" t="s">
        <v>25</v>
      </c>
    </row>
    <row r="12" spans="1:13" ht="20.25" customHeight="1" x14ac:dyDescent="0.25">
      <c r="A12" s="30"/>
      <c r="B12" s="111" t="s">
        <v>232</v>
      </c>
      <c r="C12" s="38"/>
      <c r="D12" s="151"/>
      <c r="E12" s="127"/>
      <c r="F12" s="35"/>
      <c r="G12" s="35"/>
      <c r="H12" s="35"/>
      <c r="I12" s="35"/>
      <c r="J12" s="35"/>
      <c r="K12" s="32"/>
      <c r="L12" s="35"/>
      <c r="M12" s="71"/>
    </row>
    <row r="13" spans="1:13" ht="24" customHeight="1" x14ac:dyDescent="0.25">
      <c r="A13" s="30">
        <f>A11+1</f>
        <v>5</v>
      </c>
      <c r="B13" s="73" t="s">
        <v>477</v>
      </c>
      <c r="C13" s="100" t="s">
        <v>38</v>
      </c>
      <c r="D13" s="151">
        <v>0.5</v>
      </c>
      <c r="E13" s="42">
        <v>544.86</v>
      </c>
      <c r="F13" s="33">
        <f t="shared" ref="F13:F14" si="4">ROUND(E13*D13,2)</f>
        <v>272.43</v>
      </c>
      <c r="G13" s="33">
        <f t="shared" ref="G13:G14" si="5">ROUND(F13*1.2,2)</f>
        <v>326.92</v>
      </c>
      <c r="H13" s="34"/>
      <c r="I13" s="35"/>
      <c r="J13" s="35"/>
      <c r="K13" s="32">
        <f t="shared" ref="K13:L14" si="6">F13+I13</f>
        <v>272.43</v>
      </c>
      <c r="L13" s="35">
        <f t="shared" si="6"/>
        <v>326.92</v>
      </c>
      <c r="M13" s="71" t="s">
        <v>158</v>
      </c>
    </row>
    <row r="14" spans="1:13" ht="24" customHeight="1" x14ac:dyDescent="0.25">
      <c r="A14" s="30">
        <f>A13+1</f>
        <v>6</v>
      </c>
      <c r="B14" s="73" t="s">
        <v>27</v>
      </c>
      <c r="C14" s="100" t="s">
        <v>38</v>
      </c>
      <c r="D14" s="151">
        <v>18.64</v>
      </c>
      <c r="E14" s="42">
        <v>544.86</v>
      </c>
      <c r="F14" s="33">
        <f t="shared" si="4"/>
        <v>10156.19</v>
      </c>
      <c r="G14" s="33">
        <f t="shared" si="5"/>
        <v>12187.43</v>
      </c>
      <c r="H14" s="34"/>
      <c r="I14" s="35"/>
      <c r="J14" s="35"/>
      <c r="K14" s="32">
        <f t="shared" si="6"/>
        <v>10156.19</v>
      </c>
      <c r="L14" s="35">
        <f t="shared" si="6"/>
        <v>12187.43</v>
      </c>
      <c r="M14" s="71" t="s">
        <v>28</v>
      </c>
    </row>
    <row r="15" spans="1:13" ht="20.25" customHeight="1" x14ac:dyDescent="0.25">
      <c r="A15" s="56"/>
      <c r="B15" s="43" t="s">
        <v>45</v>
      </c>
      <c r="C15" s="38"/>
      <c r="D15" s="150"/>
      <c r="E15" s="58"/>
      <c r="F15" s="59"/>
      <c r="G15" s="60"/>
      <c r="H15" s="61"/>
      <c r="I15" s="62"/>
      <c r="J15" s="62"/>
      <c r="K15" s="63"/>
      <c r="L15" s="62"/>
    </row>
    <row r="16" spans="1:13" ht="24" customHeight="1" x14ac:dyDescent="0.25">
      <c r="A16" s="30">
        <f>A14+1</f>
        <v>7</v>
      </c>
      <c r="B16" s="99" t="s">
        <v>46</v>
      </c>
      <c r="C16" s="100" t="s">
        <v>24</v>
      </c>
      <c r="D16" s="151">
        <v>40.229999999999997</v>
      </c>
      <c r="E16" s="64">
        <v>308.75</v>
      </c>
      <c r="F16" s="33">
        <f t="shared" ref="F16:F23" si="7">ROUND(E16*D16,2)</f>
        <v>12421.01</v>
      </c>
      <c r="G16" s="33">
        <f t="shared" ref="G16:G23" si="8">ROUND(F16*1.2,2)</f>
        <v>14905.21</v>
      </c>
      <c r="H16" s="61"/>
      <c r="I16" s="62"/>
      <c r="J16" s="62"/>
      <c r="K16" s="64">
        <f t="shared" ref="K16:L23" si="9">F16+I16</f>
        <v>12421.01</v>
      </c>
      <c r="L16" s="42">
        <f t="shared" si="9"/>
        <v>14905.21</v>
      </c>
    </row>
    <row r="17" spans="1:13" ht="24" customHeight="1" x14ac:dyDescent="0.25">
      <c r="A17" s="30">
        <f>A16+1</f>
        <v>8</v>
      </c>
      <c r="B17" s="99" t="s">
        <v>47</v>
      </c>
      <c r="C17" s="100" t="s">
        <v>24</v>
      </c>
      <c r="D17" s="151">
        <v>1.1100000000000001</v>
      </c>
      <c r="E17" s="64">
        <v>1688.15</v>
      </c>
      <c r="F17" s="33">
        <f t="shared" si="7"/>
        <v>1873.85</v>
      </c>
      <c r="G17" s="33">
        <f t="shared" si="8"/>
        <v>2248.62</v>
      </c>
      <c r="H17" s="61"/>
      <c r="I17" s="62"/>
      <c r="J17" s="62"/>
      <c r="K17" s="64">
        <f t="shared" si="9"/>
        <v>1873.85</v>
      </c>
      <c r="L17" s="42">
        <f t="shared" si="9"/>
        <v>2248.62</v>
      </c>
    </row>
    <row r="18" spans="1:13" ht="20.25" customHeight="1" x14ac:dyDescent="0.25">
      <c r="A18" s="30">
        <f>A16+1</f>
        <v>8</v>
      </c>
      <c r="B18" s="37" t="s">
        <v>481</v>
      </c>
      <c r="C18" s="38" t="s">
        <v>345</v>
      </c>
      <c r="D18" s="151">
        <v>1.04</v>
      </c>
      <c r="E18" s="64">
        <v>2057.89</v>
      </c>
      <c r="F18" s="42">
        <f>ROUND(E18*D18,2)</f>
        <v>2140.21</v>
      </c>
      <c r="G18" s="42">
        <f t="shared" si="8"/>
        <v>2568.25</v>
      </c>
      <c r="H18" s="34"/>
      <c r="I18" s="42"/>
      <c r="J18" s="42"/>
      <c r="K18" s="64">
        <f t="shared" si="9"/>
        <v>2140.21</v>
      </c>
      <c r="L18" s="42">
        <f t="shared" si="9"/>
        <v>2568.25</v>
      </c>
      <c r="M18" s="71"/>
    </row>
    <row r="19" spans="1:13" ht="20.25" customHeight="1" x14ac:dyDescent="0.25">
      <c r="A19" s="46" t="s">
        <v>44</v>
      </c>
      <c r="B19" s="47" t="s">
        <v>159</v>
      </c>
      <c r="C19" s="48" t="s">
        <v>24</v>
      </c>
      <c r="D19" s="49">
        <f>D18*1.26</f>
        <v>1.3104</v>
      </c>
      <c r="E19" s="70"/>
      <c r="F19" s="68"/>
      <c r="G19" s="68"/>
      <c r="H19" s="70">
        <v>2827.08</v>
      </c>
      <c r="I19" s="51">
        <f>ROUND(H19*D19,2)</f>
        <v>3704.61</v>
      </c>
      <c r="J19" s="51">
        <f>ROUND(I19*1.2,2)</f>
        <v>4445.53</v>
      </c>
      <c r="K19" s="52">
        <f t="shared" si="9"/>
        <v>3704.61</v>
      </c>
      <c r="L19" s="51">
        <f t="shared" si="9"/>
        <v>4445.53</v>
      </c>
      <c r="M19" s="69"/>
    </row>
    <row r="20" spans="1:13" ht="24" customHeight="1" x14ac:dyDescent="0.25">
      <c r="A20" s="30">
        <f>A17+1</f>
        <v>9</v>
      </c>
      <c r="B20" s="73" t="s">
        <v>351</v>
      </c>
      <c r="C20" s="100" t="s">
        <v>24</v>
      </c>
      <c r="D20" s="151">
        <v>26.8</v>
      </c>
      <c r="E20" s="64">
        <v>1310.05</v>
      </c>
      <c r="F20" s="33">
        <f t="shared" si="7"/>
        <v>35109.339999999997</v>
      </c>
      <c r="G20" s="33">
        <f t="shared" si="8"/>
        <v>42131.21</v>
      </c>
      <c r="H20" s="35"/>
      <c r="I20" s="35"/>
      <c r="J20" s="35"/>
      <c r="K20" s="32">
        <f t="shared" si="9"/>
        <v>35109.339999999997</v>
      </c>
      <c r="L20" s="35">
        <f t="shared" si="9"/>
        <v>42131.21</v>
      </c>
    </row>
    <row r="21" spans="1:13" ht="20.25" customHeight="1" x14ac:dyDescent="0.25">
      <c r="A21" s="46" t="s">
        <v>490</v>
      </c>
      <c r="B21" s="47" t="s">
        <v>50</v>
      </c>
      <c r="C21" s="48" t="s">
        <v>24</v>
      </c>
      <c r="D21" s="49">
        <f>D20*1.1</f>
        <v>29.480000000000004</v>
      </c>
      <c r="E21" s="70"/>
      <c r="F21" s="51"/>
      <c r="G21" s="51"/>
      <c r="H21" s="51">
        <v>1191.3</v>
      </c>
      <c r="I21" s="51">
        <f>ROUND(H21*D21,2)</f>
        <v>35119.519999999997</v>
      </c>
      <c r="J21" s="51">
        <f>ROUND(I21*1.2,2)</f>
        <v>42143.42</v>
      </c>
      <c r="K21" s="52">
        <f t="shared" si="9"/>
        <v>35119.519999999997</v>
      </c>
      <c r="L21" s="51">
        <f t="shared" si="9"/>
        <v>42143.42</v>
      </c>
    </row>
    <row r="22" spans="1:13" s="66" customFormat="1" ht="22.5" customHeight="1" x14ac:dyDescent="0.25">
      <c r="A22" s="38">
        <f>A20+1</f>
        <v>10</v>
      </c>
      <c r="B22" s="99" t="s">
        <v>153</v>
      </c>
      <c r="C22" s="100" t="s">
        <v>24</v>
      </c>
      <c r="D22" s="151">
        <v>49.05</v>
      </c>
      <c r="E22" s="64">
        <v>118.75</v>
      </c>
      <c r="F22" s="33">
        <f t="shared" si="7"/>
        <v>5824.69</v>
      </c>
      <c r="G22" s="33">
        <f t="shared" si="8"/>
        <v>6989.63</v>
      </c>
      <c r="H22" s="61"/>
      <c r="I22" s="62"/>
      <c r="J22" s="62"/>
      <c r="K22" s="64">
        <f t="shared" si="9"/>
        <v>5824.69</v>
      </c>
      <c r="L22" s="42">
        <f t="shared" si="9"/>
        <v>6989.63</v>
      </c>
      <c r="M22" s="65"/>
    </row>
    <row r="23" spans="1:13" ht="22.5" customHeight="1" x14ac:dyDescent="0.25">
      <c r="A23" s="30">
        <f>A22+1</f>
        <v>11</v>
      </c>
      <c r="B23" s="99" t="s">
        <v>53</v>
      </c>
      <c r="C23" s="100" t="s">
        <v>24</v>
      </c>
      <c r="D23" s="151">
        <v>49.05</v>
      </c>
      <c r="E23" s="64">
        <v>188.1</v>
      </c>
      <c r="F23" s="33">
        <f t="shared" si="7"/>
        <v>9226.31</v>
      </c>
      <c r="G23" s="33">
        <f t="shared" si="8"/>
        <v>11071.57</v>
      </c>
      <c r="H23" s="64"/>
      <c r="I23" s="35"/>
      <c r="J23" s="35"/>
      <c r="K23" s="64">
        <f t="shared" si="9"/>
        <v>9226.31</v>
      </c>
      <c r="L23" s="42">
        <f t="shared" si="9"/>
        <v>11071.57</v>
      </c>
    </row>
    <row r="24" spans="1:13" ht="18" customHeight="1" x14ac:dyDescent="0.25">
      <c r="A24" s="46"/>
      <c r="B24" s="43" t="s">
        <v>55</v>
      </c>
      <c r="C24" s="38"/>
      <c r="D24" s="150"/>
      <c r="E24" s="58"/>
      <c r="F24" s="59"/>
      <c r="G24" s="60"/>
      <c r="H24" s="67"/>
      <c r="I24" s="35"/>
      <c r="J24" s="35"/>
      <c r="K24" s="32"/>
      <c r="L24" s="35"/>
    </row>
    <row r="25" spans="1:13" ht="18" customHeight="1" x14ac:dyDescent="0.25">
      <c r="A25" s="38">
        <f>A23+1</f>
        <v>12</v>
      </c>
      <c r="B25" s="130" t="s">
        <v>482</v>
      </c>
      <c r="C25" s="38" t="s">
        <v>66</v>
      </c>
      <c r="D25" s="150">
        <v>3</v>
      </c>
      <c r="E25" s="132">
        <v>2314.11</v>
      </c>
      <c r="F25" s="42">
        <f t="shared" ref="F25" si="10">ROUND(E25*D25,2)</f>
        <v>6942.33</v>
      </c>
      <c r="G25" s="42">
        <f t="shared" ref="G25" si="11">ROUND(F25*1.2,2)</f>
        <v>8330.7999999999993</v>
      </c>
      <c r="H25" s="34"/>
      <c r="I25" s="42"/>
      <c r="J25" s="42"/>
      <c r="K25" s="64">
        <f t="shared" ref="K25" si="12">F25+I25</f>
        <v>6942.33</v>
      </c>
      <c r="L25" s="42">
        <f t="shared" ref="L25" si="13">G25+J25</f>
        <v>8330.7999999999993</v>
      </c>
    </row>
    <row r="26" spans="1:13" ht="37.5" customHeight="1" x14ac:dyDescent="0.25">
      <c r="A26" s="30">
        <f>A25+1</f>
        <v>13</v>
      </c>
      <c r="B26" s="99" t="s">
        <v>168</v>
      </c>
      <c r="C26" s="100" t="s">
        <v>22</v>
      </c>
      <c r="D26" s="151">
        <v>7.94</v>
      </c>
      <c r="E26" s="123">
        <v>5050.3900000000003</v>
      </c>
      <c r="F26" s="35">
        <f t="shared" ref="F26" si="14">ROUND(E26*D26,2)</f>
        <v>40100.1</v>
      </c>
      <c r="G26" s="35">
        <f t="shared" ref="G26" si="15">ROUND(F26*1.2,2)</f>
        <v>48120.12</v>
      </c>
      <c r="H26" s="67"/>
      <c r="I26" s="35"/>
      <c r="J26" s="35"/>
      <c r="K26" s="64">
        <f t="shared" ref="K26:L40" si="16">F26+I26</f>
        <v>40100.1</v>
      </c>
      <c r="L26" s="42">
        <f t="shared" si="16"/>
        <v>48120.12</v>
      </c>
    </row>
    <row r="27" spans="1:13" ht="30.75" customHeight="1" x14ac:dyDescent="0.25">
      <c r="A27" s="46" t="s">
        <v>162</v>
      </c>
      <c r="B27" s="47" t="s">
        <v>431</v>
      </c>
      <c r="C27" s="48" t="s">
        <v>22</v>
      </c>
      <c r="D27" s="49">
        <f>D26*1.02</f>
        <v>8.0988000000000007</v>
      </c>
      <c r="E27" s="70"/>
      <c r="F27" s="68"/>
      <c r="G27" s="68"/>
      <c r="H27" s="68">
        <v>13103.35</v>
      </c>
      <c r="I27" s="68">
        <f>ROUND(H27*D27,2)</f>
        <v>106121.41</v>
      </c>
      <c r="J27" s="68">
        <f>ROUND(I27*1.2,2)</f>
        <v>127345.69</v>
      </c>
      <c r="K27" s="70">
        <f t="shared" si="16"/>
        <v>106121.41</v>
      </c>
      <c r="L27" s="68">
        <f t="shared" si="16"/>
        <v>127345.69</v>
      </c>
    </row>
    <row r="28" spans="1:13" ht="36.75" customHeight="1" x14ac:dyDescent="0.25">
      <c r="A28" s="30">
        <f>A26+1</f>
        <v>14</v>
      </c>
      <c r="B28" s="99" t="s">
        <v>170</v>
      </c>
      <c r="C28" s="100" t="s">
        <v>22</v>
      </c>
      <c r="D28" s="151">
        <v>7.94</v>
      </c>
      <c r="E28" s="123">
        <f>ROUND(1572.68*1.33,2)</f>
        <v>2091.66</v>
      </c>
      <c r="F28" s="35">
        <f t="shared" ref="F28" si="17">ROUND(E28*D28,2)</f>
        <v>16607.78</v>
      </c>
      <c r="G28" s="35">
        <f t="shared" ref="G28" si="18">ROUND(F28*1.2,2)</f>
        <v>19929.34</v>
      </c>
      <c r="H28" s="67"/>
      <c r="I28" s="35"/>
      <c r="J28" s="35"/>
      <c r="K28" s="64">
        <f t="shared" si="16"/>
        <v>16607.78</v>
      </c>
      <c r="L28" s="42">
        <f t="shared" si="16"/>
        <v>19929.34</v>
      </c>
      <c r="M28" s="71" t="s">
        <v>75</v>
      </c>
    </row>
    <row r="29" spans="1:13" ht="21" customHeight="1" x14ac:dyDescent="0.25">
      <c r="A29" s="46" t="s">
        <v>491</v>
      </c>
      <c r="B29" s="47" t="s">
        <v>171</v>
      </c>
      <c r="C29" s="48" t="s">
        <v>22</v>
      </c>
      <c r="D29" s="49">
        <f>D28*1.02</f>
        <v>8.0988000000000007</v>
      </c>
      <c r="E29" s="70"/>
      <c r="F29" s="51"/>
      <c r="G29" s="51"/>
      <c r="H29" s="51">
        <v>3479.85</v>
      </c>
      <c r="I29" s="51">
        <f>ROUND(H29*D29,2)</f>
        <v>28182.61</v>
      </c>
      <c r="J29" s="51">
        <f>ROUND(I29*1.2,2)</f>
        <v>33819.129999999997</v>
      </c>
      <c r="K29" s="52">
        <f t="shared" si="16"/>
        <v>28182.61</v>
      </c>
      <c r="L29" s="51">
        <f t="shared" si="16"/>
        <v>33819.129999999997</v>
      </c>
    </row>
    <row r="30" spans="1:13" ht="24.75" customHeight="1" x14ac:dyDescent="0.25">
      <c r="A30" s="46" t="s">
        <v>492</v>
      </c>
      <c r="B30" s="47" t="s">
        <v>173</v>
      </c>
      <c r="C30" s="48" t="s">
        <v>66</v>
      </c>
      <c r="D30" s="72">
        <v>3</v>
      </c>
      <c r="E30" s="70"/>
      <c r="F30" s="51"/>
      <c r="G30" s="51"/>
      <c r="H30" s="51">
        <v>917.7</v>
      </c>
      <c r="I30" s="51">
        <f>ROUND(H30*D30,2)</f>
        <v>2753.1</v>
      </c>
      <c r="J30" s="51">
        <f>ROUND(I30*1.2,2)</f>
        <v>3303.72</v>
      </c>
      <c r="K30" s="52">
        <f t="shared" si="16"/>
        <v>2753.1</v>
      </c>
      <c r="L30" s="51">
        <f t="shared" si="16"/>
        <v>3303.72</v>
      </c>
    </row>
    <row r="31" spans="1:13" ht="36.75" customHeight="1" x14ac:dyDescent="0.25">
      <c r="A31" s="30">
        <f>A28+1</f>
        <v>15</v>
      </c>
      <c r="B31" s="99" t="s">
        <v>478</v>
      </c>
      <c r="C31" s="100" t="s">
        <v>22</v>
      </c>
      <c r="D31" s="151">
        <v>8.18</v>
      </c>
      <c r="E31" s="123">
        <v>1149.5</v>
      </c>
      <c r="F31" s="35">
        <f t="shared" ref="F31" si="19">ROUND(E31*D31,2)</f>
        <v>9402.91</v>
      </c>
      <c r="G31" s="35">
        <f t="shared" ref="G31" si="20">ROUND(F31*1.2,2)</f>
        <v>11283.49</v>
      </c>
      <c r="H31" s="67"/>
      <c r="I31" s="35"/>
      <c r="J31" s="35"/>
      <c r="K31" s="64">
        <f t="shared" si="16"/>
        <v>9402.91</v>
      </c>
      <c r="L31" s="42">
        <f t="shared" si="16"/>
        <v>11283.49</v>
      </c>
      <c r="M31" s="71" t="s">
        <v>75</v>
      </c>
    </row>
    <row r="32" spans="1:13" ht="21" customHeight="1" x14ac:dyDescent="0.25">
      <c r="A32" s="46" t="s">
        <v>57</v>
      </c>
      <c r="B32" s="47" t="s">
        <v>171</v>
      </c>
      <c r="C32" s="48" t="s">
        <v>22</v>
      </c>
      <c r="D32" s="49">
        <f>D31*1.02</f>
        <v>8.3436000000000003</v>
      </c>
      <c r="E32" s="70"/>
      <c r="F32" s="51"/>
      <c r="G32" s="51"/>
      <c r="H32" s="51">
        <v>3479.85</v>
      </c>
      <c r="I32" s="51">
        <f>ROUND(H32*D32,2)</f>
        <v>29034.48</v>
      </c>
      <c r="J32" s="51">
        <f>ROUND(I32*1.2,2)</f>
        <v>34841.379999999997</v>
      </c>
      <c r="K32" s="52">
        <f t="shared" si="16"/>
        <v>29034.48</v>
      </c>
      <c r="L32" s="51">
        <f t="shared" si="16"/>
        <v>34841.379999999997</v>
      </c>
    </row>
    <row r="33" spans="1:13" ht="18.75" customHeight="1" x14ac:dyDescent="0.25">
      <c r="A33" s="38">
        <f>A31+1</f>
        <v>16</v>
      </c>
      <c r="B33" s="142" t="s">
        <v>483</v>
      </c>
      <c r="C33" s="38" t="s">
        <v>66</v>
      </c>
      <c r="D33" s="158">
        <v>3</v>
      </c>
      <c r="E33" s="64">
        <v>1449.7</v>
      </c>
      <c r="F33" s="33">
        <f t="shared" ref="F33" si="21">ROUND(E33*D33,2)</f>
        <v>4349.1000000000004</v>
      </c>
      <c r="G33" s="33">
        <f t="shared" ref="G33" si="22">ROUND(F33*1.2,2)</f>
        <v>5218.92</v>
      </c>
      <c r="H33" s="67"/>
      <c r="I33" s="35"/>
      <c r="J33" s="35"/>
      <c r="K33" s="64">
        <f t="shared" si="16"/>
        <v>4349.1000000000004</v>
      </c>
      <c r="L33" s="42">
        <f t="shared" si="16"/>
        <v>5218.92</v>
      </c>
    </row>
    <row r="34" spans="1:13" ht="18.75" customHeight="1" x14ac:dyDescent="0.25">
      <c r="A34" s="46" t="s">
        <v>60</v>
      </c>
      <c r="B34" s="78" t="s">
        <v>484</v>
      </c>
      <c r="C34" s="48" t="s">
        <v>66</v>
      </c>
      <c r="D34" s="79">
        <v>3</v>
      </c>
      <c r="E34" s="70"/>
      <c r="F34" s="51"/>
      <c r="G34" s="51"/>
      <c r="H34" s="51">
        <v>3815</v>
      </c>
      <c r="I34" s="51">
        <f>ROUND(H34*D34,2)</f>
        <v>11445</v>
      </c>
      <c r="J34" s="51">
        <f>ROUND(I34*1.2,2)</f>
        <v>13734</v>
      </c>
      <c r="K34" s="52">
        <f t="shared" si="16"/>
        <v>11445</v>
      </c>
      <c r="L34" s="51">
        <f t="shared" si="16"/>
        <v>13734</v>
      </c>
      <c r="M34" s="125"/>
    </row>
    <row r="35" spans="1:13" ht="18" customHeight="1" x14ac:dyDescent="0.25">
      <c r="A35" s="38">
        <f>A33+1</f>
        <v>17</v>
      </c>
      <c r="B35" s="142" t="s">
        <v>485</v>
      </c>
      <c r="C35" s="38" t="s">
        <v>66</v>
      </c>
      <c r="D35" s="158">
        <v>5</v>
      </c>
      <c r="E35" s="64">
        <v>9349.4249999999993</v>
      </c>
      <c r="F35" s="35">
        <f t="shared" ref="F35" si="23">ROUND(E35*D35,2)</f>
        <v>46747.13</v>
      </c>
      <c r="G35" s="35">
        <f t="shared" ref="G35" si="24">ROUND(F35*1.2,2)</f>
        <v>56096.56</v>
      </c>
      <c r="H35" s="64"/>
      <c r="I35" s="35"/>
      <c r="J35" s="35"/>
      <c r="K35" s="64">
        <f t="shared" si="16"/>
        <v>46747.13</v>
      </c>
      <c r="L35" s="42">
        <f t="shared" si="16"/>
        <v>56096.56</v>
      </c>
      <c r="M35" s="71"/>
    </row>
    <row r="36" spans="1:13" ht="18" customHeight="1" x14ac:dyDescent="0.25">
      <c r="A36" s="46" t="s">
        <v>63</v>
      </c>
      <c r="B36" s="78" t="s">
        <v>486</v>
      </c>
      <c r="C36" s="48" t="s">
        <v>66</v>
      </c>
      <c r="D36" s="79">
        <v>5</v>
      </c>
      <c r="E36" s="70"/>
      <c r="F36" s="51"/>
      <c r="G36" s="51"/>
      <c r="H36" s="70">
        <v>3870</v>
      </c>
      <c r="I36" s="51">
        <f>ROUND(H36*D36,2)</f>
        <v>19350</v>
      </c>
      <c r="J36" s="51">
        <f>ROUND(I36*1.2,2)</f>
        <v>23220</v>
      </c>
      <c r="K36" s="52">
        <f t="shared" si="16"/>
        <v>19350</v>
      </c>
      <c r="L36" s="51">
        <f t="shared" si="16"/>
        <v>23220</v>
      </c>
      <c r="M36" s="71"/>
    </row>
    <row r="37" spans="1:13" ht="45" x14ac:dyDescent="0.25">
      <c r="A37" s="30">
        <f>A35+1</f>
        <v>18</v>
      </c>
      <c r="B37" s="37" t="s">
        <v>432</v>
      </c>
      <c r="C37" s="38" t="s">
        <v>66</v>
      </c>
      <c r="D37" s="150">
        <v>3</v>
      </c>
      <c r="E37" s="64">
        <v>4670.4399999999996</v>
      </c>
      <c r="F37" s="35">
        <f t="shared" ref="F37:F39" si="25">ROUND(E37*D37,2)</f>
        <v>14011.32</v>
      </c>
      <c r="G37" s="35">
        <f t="shared" ref="G37:G39" si="26">ROUND(F37*1.2,2)</f>
        <v>16813.580000000002</v>
      </c>
      <c r="H37" s="67"/>
      <c r="I37" s="35"/>
      <c r="J37" s="35"/>
      <c r="K37" s="64">
        <f t="shared" si="16"/>
        <v>14011.32</v>
      </c>
      <c r="L37" s="42">
        <f t="shared" si="16"/>
        <v>16813.580000000002</v>
      </c>
    </row>
    <row r="38" spans="1:13" ht="31.5" customHeight="1" x14ac:dyDescent="0.25">
      <c r="A38" s="46" t="s">
        <v>68</v>
      </c>
      <c r="B38" s="47" t="s">
        <v>433</v>
      </c>
      <c r="C38" s="48" t="s">
        <v>66</v>
      </c>
      <c r="D38" s="72">
        <v>3</v>
      </c>
      <c r="E38" s="70"/>
      <c r="F38" s="51"/>
      <c r="G38" s="51"/>
      <c r="H38" s="51">
        <v>3239.5</v>
      </c>
      <c r="I38" s="51">
        <f>ROUND(H38*D38,2)</f>
        <v>9718.5</v>
      </c>
      <c r="J38" s="51">
        <f>ROUND(I38*1.2,2)</f>
        <v>11662.2</v>
      </c>
      <c r="K38" s="52">
        <f t="shared" si="16"/>
        <v>9718.5</v>
      </c>
      <c r="L38" s="51">
        <f t="shared" si="16"/>
        <v>11662.2</v>
      </c>
    </row>
    <row r="39" spans="1:13" ht="30" x14ac:dyDescent="0.25">
      <c r="A39" s="30">
        <f>A37+1</f>
        <v>19</v>
      </c>
      <c r="B39" s="137" t="s">
        <v>70</v>
      </c>
      <c r="C39" s="38" t="s">
        <v>24</v>
      </c>
      <c r="D39" s="151">
        <f>1.03+2.98+1.47</f>
        <v>5.4799999999999995</v>
      </c>
      <c r="E39" s="64">
        <v>8327.42</v>
      </c>
      <c r="F39" s="35">
        <f t="shared" si="25"/>
        <v>45634.26</v>
      </c>
      <c r="G39" s="35">
        <f t="shared" si="26"/>
        <v>54761.11</v>
      </c>
      <c r="H39" s="67"/>
      <c r="I39" s="35"/>
      <c r="J39" s="35"/>
      <c r="K39" s="64">
        <f t="shared" si="16"/>
        <v>45634.26</v>
      </c>
      <c r="L39" s="42">
        <f t="shared" si="16"/>
        <v>54761.11</v>
      </c>
    </row>
    <row r="40" spans="1:13" x14ac:dyDescent="0.25">
      <c r="A40" s="46" t="s">
        <v>71</v>
      </c>
      <c r="B40" s="47" t="s">
        <v>72</v>
      </c>
      <c r="C40" s="48" t="s">
        <v>24</v>
      </c>
      <c r="D40" s="49">
        <f>D39*1.02</f>
        <v>5.5895999999999999</v>
      </c>
      <c r="E40" s="70"/>
      <c r="F40" s="51"/>
      <c r="G40" s="51"/>
      <c r="H40" s="51">
        <v>5322.58</v>
      </c>
      <c r="I40" s="51">
        <f t="shared" ref="I40" si="27">ROUND(H40*D40,2)</f>
        <v>29751.09</v>
      </c>
      <c r="J40" s="51">
        <f t="shared" ref="J40" si="28">ROUND(I40*1.2,2)</f>
        <v>35701.31</v>
      </c>
      <c r="K40" s="52">
        <f t="shared" si="16"/>
        <v>29751.09</v>
      </c>
      <c r="L40" s="51">
        <f t="shared" si="16"/>
        <v>35701.31</v>
      </c>
      <c r="M40" s="69"/>
    </row>
    <row r="41" spans="1:13" ht="18.75" customHeight="1" x14ac:dyDescent="0.25">
      <c r="A41" s="30"/>
      <c r="B41" s="121" t="s">
        <v>495</v>
      </c>
      <c r="C41" s="100"/>
      <c r="D41" s="151"/>
      <c r="E41" s="123"/>
      <c r="F41" s="35"/>
      <c r="G41" s="35"/>
      <c r="H41" s="67"/>
      <c r="I41" s="35"/>
      <c r="J41" s="35"/>
      <c r="K41" s="64"/>
      <c r="L41" s="42"/>
    </row>
    <row r="42" spans="1:13" ht="30.75" customHeight="1" x14ac:dyDescent="0.25">
      <c r="A42" s="38">
        <f>A39+1</f>
        <v>20</v>
      </c>
      <c r="B42" s="99" t="s">
        <v>178</v>
      </c>
      <c r="C42" s="38" t="s">
        <v>24</v>
      </c>
      <c r="D42" s="151">
        <f>0.38*1+2*0.4</f>
        <v>1.1800000000000002</v>
      </c>
      <c r="E42" s="123">
        <v>17265.68</v>
      </c>
      <c r="F42" s="35">
        <f t="shared" ref="F42" si="29">ROUND(E42*D42,2)</f>
        <v>20373.5</v>
      </c>
      <c r="G42" s="35">
        <f t="shared" ref="G42" si="30">ROUND(F42*1.2,2)</f>
        <v>24448.2</v>
      </c>
      <c r="H42" s="67"/>
      <c r="I42" s="35"/>
      <c r="J42" s="35"/>
      <c r="K42" s="64">
        <f t="shared" ref="K42:L48" si="31">F42+I42</f>
        <v>20373.5</v>
      </c>
      <c r="L42" s="42">
        <f t="shared" si="31"/>
        <v>24448.2</v>
      </c>
    </row>
    <row r="43" spans="1:13" ht="18.75" customHeight="1" x14ac:dyDescent="0.25">
      <c r="A43" s="46" t="s">
        <v>76</v>
      </c>
      <c r="B43" s="47" t="s">
        <v>493</v>
      </c>
      <c r="C43" s="48" t="s">
        <v>66</v>
      </c>
      <c r="D43" s="72">
        <v>1</v>
      </c>
      <c r="E43" s="70"/>
      <c r="F43" s="51"/>
      <c r="G43" s="51"/>
      <c r="H43" s="104">
        <v>7448</v>
      </c>
      <c r="I43" s="51">
        <f t="shared" ref="I43:I44" si="32">ROUND(H43*D43,2)</f>
        <v>7448</v>
      </c>
      <c r="J43" s="51">
        <f t="shared" ref="J43:J44" si="33">ROUND(I43*1.2,2)</f>
        <v>8937.6</v>
      </c>
      <c r="K43" s="52">
        <f t="shared" si="31"/>
        <v>7448</v>
      </c>
      <c r="L43" s="51">
        <f t="shared" si="31"/>
        <v>8937.6</v>
      </c>
      <c r="M43" s="69"/>
    </row>
    <row r="44" spans="1:13" ht="18.75" customHeight="1" x14ac:dyDescent="0.25">
      <c r="A44" s="46" t="s">
        <v>172</v>
      </c>
      <c r="B44" s="47" t="s">
        <v>494</v>
      </c>
      <c r="C44" s="48" t="s">
        <v>66</v>
      </c>
      <c r="D44" s="72">
        <v>2</v>
      </c>
      <c r="E44" s="70"/>
      <c r="F44" s="51"/>
      <c r="G44" s="51"/>
      <c r="H44" s="104">
        <v>10388</v>
      </c>
      <c r="I44" s="51">
        <f t="shared" si="32"/>
        <v>20776</v>
      </c>
      <c r="J44" s="51">
        <f t="shared" si="33"/>
        <v>24931.200000000001</v>
      </c>
      <c r="K44" s="52">
        <f t="shared" si="31"/>
        <v>20776</v>
      </c>
      <c r="L44" s="51">
        <f t="shared" si="31"/>
        <v>24931.200000000001</v>
      </c>
      <c r="M44" s="69"/>
    </row>
    <row r="45" spans="1:13" ht="27.75" customHeight="1" x14ac:dyDescent="0.25">
      <c r="A45" s="38">
        <f>A42+1</f>
        <v>21</v>
      </c>
      <c r="B45" s="37" t="s">
        <v>371</v>
      </c>
      <c r="C45" s="38" t="s">
        <v>35</v>
      </c>
      <c r="D45" s="152">
        <v>14.78</v>
      </c>
      <c r="E45" s="64">
        <v>144.4</v>
      </c>
      <c r="F45" s="35">
        <f>ROUND(E45*D45,2)</f>
        <v>2134.23</v>
      </c>
      <c r="G45" s="35">
        <f t="shared" ref="G45" si="34">ROUND(F45*1.2,2)</f>
        <v>2561.08</v>
      </c>
      <c r="H45" s="64"/>
      <c r="I45" s="35"/>
      <c r="J45" s="35"/>
      <c r="K45" s="64">
        <f t="shared" si="31"/>
        <v>2134.23</v>
      </c>
      <c r="L45" s="42">
        <f t="shared" si="31"/>
        <v>2561.08</v>
      </c>
      <c r="M45" s="71" t="s">
        <v>262</v>
      </c>
    </row>
    <row r="46" spans="1:13" ht="17.25" customHeight="1" x14ac:dyDescent="0.25">
      <c r="A46" s="46" t="s">
        <v>78</v>
      </c>
      <c r="B46" s="78" t="s">
        <v>372</v>
      </c>
      <c r="C46" s="48" t="s">
        <v>220</v>
      </c>
      <c r="D46" s="117">
        <f>D45*0.3*20/16</f>
        <v>5.5424999999999986</v>
      </c>
      <c r="E46" s="70"/>
      <c r="F46" s="51"/>
      <c r="G46" s="51"/>
      <c r="H46" s="104">
        <v>237.5</v>
      </c>
      <c r="I46" s="51">
        <f>ROUND(H46*D46,2)</f>
        <v>1316.34</v>
      </c>
      <c r="J46" s="51">
        <f t="shared" ref="J46" si="35">ROUND(I46*1.2,2)</f>
        <v>1579.61</v>
      </c>
      <c r="K46" s="52">
        <f t="shared" si="31"/>
        <v>1316.34</v>
      </c>
      <c r="L46" s="51">
        <f t="shared" si="31"/>
        <v>1579.61</v>
      </c>
      <c r="M46" s="71"/>
    </row>
    <row r="47" spans="1:13" ht="28.5" customHeight="1" x14ac:dyDescent="0.25">
      <c r="A47" s="38">
        <f>A45+1</f>
        <v>22</v>
      </c>
      <c r="B47" s="37" t="s">
        <v>373</v>
      </c>
      <c r="C47" s="38" t="s">
        <v>35</v>
      </c>
      <c r="D47" s="152">
        <v>14.78</v>
      </c>
      <c r="E47" s="64">
        <v>299.76</v>
      </c>
      <c r="F47" s="35">
        <f>ROUND(E47*D47,2)</f>
        <v>4430.45</v>
      </c>
      <c r="G47" s="35">
        <f t="shared" ref="G47" si="36">ROUND(F47*1.2,2)</f>
        <v>5316.54</v>
      </c>
      <c r="H47" s="64"/>
      <c r="I47" s="35"/>
      <c r="J47" s="35"/>
      <c r="K47" s="64">
        <f t="shared" si="31"/>
        <v>4430.45</v>
      </c>
      <c r="L47" s="42">
        <f t="shared" si="31"/>
        <v>5316.54</v>
      </c>
      <c r="M47" s="71" t="s">
        <v>262</v>
      </c>
    </row>
    <row r="48" spans="1:13" x14ac:dyDescent="0.25">
      <c r="A48" s="46" t="s">
        <v>82</v>
      </c>
      <c r="B48" s="78" t="s">
        <v>374</v>
      </c>
      <c r="C48" s="48" t="s">
        <v>130</v>
      </c>
      <c r="D48" s="49">
        <f>D47*0.7*2</f>
        <v>20.691999999999997</v>
      </c>
      <c r="E48" s="70"/>
      <c r="F48" s="51"/>
      <c r="G48" s="51"/>
      <c r="H48" s="104">
        <v>296.39999999999998</v>
      </c>
      <c r="I48" s="51">
        <f t="shared" ref="I48" si="37">ROUND(H48*D48,2)</f>
        <v>6133.11</v>
      </c>
      <c r="J48" s="51">
        <f t="shared" ref="J48" si="38">ROUND(I48*1.2,2)</f>
        <v>7359.73</v>
      </c>
      <c r="K48" s="70">
        <f t="shared" si="31"/>
        <v>6133.11</v>
      </c>
      <c r="L48" s="68">
        <f t="shared" si="31"/>
        <v>7359.73</v>
      </c>
      <c r="M48" s="71"/>
    </row>
    <row r="49" spans="1:13" ht="18.75" customHeight="1" x14ac:dyDescent="0.25">
      <c r="A49" s="30"/>
      <c r="B49" s="121" t="s">
        <v>496</v>
      </c>
      <c r="C49" s="100"/>
      <c r="D49" s="151"/>
      <c r="E49" s="123"/>
      <c r="F49" s="35"/>
      <c r="G49" s="35"/>
      <c r="H49" s="67"/>
      <c r="I49" s="35"/>
      <c r="J49" s="35"/>
      <c r="K49" s="64"/>
      <c r="L49" s="42"/>
    </row>
    <row r="50" spans="1:13" ht="30.75" customHeight="1" x14ac:dyDescent="0.25">
      <c r="A50" s="38">
        <f>A47+1</f>
        <v>23</v>
      </c>
      <c r="B50" s="99" t="s">
        <v>178</v>
      </c>
      <c r="C50" s="38" t="s">
        <v>24</v>
      </c>
      <c r="D50" s="151">
        <f>0.38*1+2*0.4</f>
        <v>1.1800000000000002</v>
      </c>
      <c r="E50" s="123">
        <v>17265.68</v>
      </c>
      <c r="F50" s="35">
        <f t="shared" ref="F50" si="39">ROUND(E50*D50,2)</f>
        <v>20373.5</v>
      </c>
      <c r="G50" s="35">
        <f t="shared" ref="G50" si="40">ROUND(F50*1.2,2)</f>
        <v>24448.2</v>
      </c>
      <c r="H50" s="67"/>
      <c r="I50" s="35"/>
      <c r="J50" s="35"/>
      <c r="K50" s="64">
        <f t="shared" ref="K50:K56" si="41">F50+I50</f>
        <v>20373.5</v>
      </c>
      <c r="L50" s="42">
        <f t="shared" ref="L50:L56" si="42">G50+J50</f>
        <v>24448.2</v>
      </c>
    </row>
    <row r="51" spans="1:13" ht="18.75" customHeight="1" x14ac:dyDescent="0.25">
      <c r="A51" s="46" t="s">
        <v>85</v>
      </c>
      <c r="B51" s="47" t="s">
        <v>493</v>
      </c>
      <c r="C51" s="48" t="s">
        <v>66</v>
      </c>
      <c r="D51" s="72">
        <v>1</v>
      </c>
      <c r="E51" s="70"/>
      <c r="F51" s="51"/>
      <c r="G51" s="51"/>
      <c r="H51" s="104">
        <v>7448</v>
      </c>
      <c r="I51" s="51">
        <f t="shared" ref="I51:I52" si="43">ROUND(H51*D51,2)</f>
        <v>7448</v>
      </c>
      <c r="J51" s="51">
        <f t="shared" ref="J51:J52" si="44">ROUND(I51*1.2,2)</f>
        <v>8937.6</v>
      </c>
      <c r="K51" s="52">
        <f t="shared" si="41"/>
        <v>7448</v>
      </c>
      <c r="L51" s="51">
        <f t="shared" si="42"/>
        <v>8937.6</v>
      </c>
      <c r="M51" s="69"/>
    </row>
    <row r="52" spans="1:13" ht="18.75" customHeight="1" x14ac:dyDescent="0.25">
      <c r="A52" s="46" t="s">
        <v>446</v>
      </c>
      <c r="B52" s="47" t="s">
        <v>494</v>
      </c>
      <c r="C52" s="48" t="s">
        <v>66</v>
      </c>
      <c r="D52" s="72">
        <v>1</v>
      </c>
      <c r="E52" s="70"/>
      <c r="F52" s="51"/>
      <c r="G52" s="51"/>
      <c r="H52" s="104">
        <v>10388</v>
      </c>
      <c r="I52" s="51">
        <f t="shared" si="43"/>
        <v>10388</v>
      </c>
      <c r="J52" s="51">
        <f t="shared" si="44"/>
        <v>12465.6</v>
      </c>
      <c r="K52" s="52">
        <f t="shared" si="41"/>
        <v>10388</v>
      </c>
      <c r="L52" s="51">
        <f t="shared" si="42"/>
        <v>12465.6</v>
      </c>
      <c r="M52" s="69"/>
    </row>
    <row r="53" spans="1:13" ht="27.75" customHeight="1" x14ac:dyDescent="0.25">
      <c r="A53" s="38">
        <f>A50+1</f>
        <v>24</v>
      </c>
      <c r="B53" s="37" t="s">
        <v>371</v>
      </c>
      <c r="C53" s="38" t="s">
        <v>35</v>
      </c>
      <c r="D53" s="152">
        <v>10.029999999999999</v>
      </c>
      <c r="E53" s="64">
        <v>144.4</v>
      </c>
      <c r="F53" s="35">
        <f>ROUND(E53*D53,2)</f>
        <v>1448.33</v>
      </c>
      <c r="G53" s="35">
        <f t="shared" ref="G53" si="45">ROUND(F53*1.2,2)</f>
        <v>1738</v>
      </c>
      <c r="H53" s="64"/>
      <c r="I53" s="35"/>
      <c r="J53" s="35"/>
      <c r="K53" s="64">
        <f t="shared" si="41"/>
        <v>1448.33</v>
      </c>
      <c r="L53" s="42">
        <f t="shared" si="42"/>
        <v>1738</v>
      </c>
      <c r="M53" s="71" t="s">
        <v>262</v>
      </c>
    </row>
    <row r="54" spans="1:13" ht="17.25" customHeight="1" x14ac:dyDescent="0.25">
      <c r="A54" s="46" t="s">
        <v>88</v>
      </c>
      <c r="B54" s="78" t="s">
        <v>372</v>
      </c>
      <c r="C54" s="48" t="s">
        <v>220</v>
      </c>
      <c r="D54" s="117">
        <f>D53*0.3*20/16</f>
        <v>3.76125</v>
      </c>
      <c r="E54" s="70"/>
      <c r="F54" s="51"/>
      <c r="G54" s="51"/>
      <c r="H54" s="104">
        <v>237.5</v>
      </c>
      <c r="I54" s="51">
        <f>ROUND(H54*D54,2)</f>
        <v>893.3</v>
      </c>
      <c r="J54" s="51">
        <f t="shared" ref="J54" si="46">ROUND(I54*1.2,2)</f>
        <v>1071.96</v>
      </c>
      <c r="K54" s="52">
        <f t="shared" si="41"/>
        <v>893.3</v>
      </c>
      <c r="L54" s="51">
        <f t="shared" si="42"/>
        <v>1071.96</v>
      </c>
      <c r="M54" s="71"/>
    </row>
    <row r="55" spans="1:13" ht="28.5" customHeight="1" x14ac:dyDescent="0.25">
      <c r="A55" s="38">
        <f>A53+1</f>
        <v>25</v>
      </c>
      <c r="B55" s="37" t="s">
        <v>373</v>
      </c>
      <c r="C55" s="38" t="s">
        <v>35</v>
      </c>
      <c r="D55" s="152">
        <v>10.029999999999999</v>
      </c>
      <c r="E55" s="64">
        <v>299.76</v>
      </c>
      <c r="F55" s="35">
        <f>ROUND(E55*D55,2)</f>
        <v>3006.59</v>
      </c>
      <c r="G55" s="35">
        <f t="shared" ref="G55" si="47">ROUND(F55*1.2,2)</f>
        <v>3607.91</v>
      </c>
      <c r="H55" s="64"/>
      <c r="I55" s="35"/>
      <c r="J55" s="35"/>
      <c r="K55" s="64">
        <f t="shared" si="41"/>
        <v>3006.59</v>
      </c>
      <c r="L55" s="42">
        <f t="shared" si="42"/>
        <v>3607.91</v>
      </c>
      <c r="M55" s="71" t="s">
        <v>262</v>
      </c>
    </row>
    <row r="56" spans="1:13" x14ac:dyDescent="0.25">
      <c r="A56" s="46" t="s">
        <v>91</v>
      </c>
      <c r="B56" s="78" t="s">
        <v>374</v>
      </c>
      <c r="C56" s="48" t="s">
        <v>130</v>
      </c>
      <c r="D56" s="49">
        <f>D55*0.7*2</f>
        <v>14.041999999999998</v>
      </c>
      <c r="E56" s="70"/>
      <c r="F56" s="51"/>
      <c r="G56" s="51"/>
      <c r="H56" s="104">
        <v>296.39999999999998</v>
      </c>
      <c r="I56" s="51">
        <f t="shared" ref="I56" si="48">ROUND(H56*D56,2)</f>
        <v>4162.05</v>
      </c>
      <c r="J56" s="51">
        <f t="shared" ref="J56" si="49">ROUND(I56*1.2,2)</f>
        <v>4994.46</v>
      </c>
      <c r="K56" s="70">
        <f t="shared" si="41"/>
        <v>4162.05</v>
      </c>
      <c r="L56" s="68">
        <f t="shared" si="42"/>
        <v>4994.46</v>
      </c>
      <c r="M56" s="71"/>
    </row>
    <row r="57" spans="1:13" s="95" customFormat="1" ht="24" customHeight="1" x14ac:dyDescent="0.3">
      <c r="A57" s="185" t="s">
        <v>148</v>
      </c>
      <c r="B57" s="186"/>
      <c r="C57" s="186"/>
      <c r="D57" s="186"/>
      <c r="E57" s="187"/>
      <c r="F57" s="118">
        <f>SUM(F7:F56)</f>
        <v>376341.96</v>
      </c>
      <c r="G57" s="118">
        <f>ROUND(F57*1.2,2)</f>
        <v>451610.35</v>
      </c>
      <c r="H57" s="122"/>
      <c r="I57" s="118">
        <f>SUM(I7:I56)</f>
        <v>333745.12000000005</v>
      </c>
      <c r="J57" s="118">
        <f>ROUND(I57*1.2,2)</f>
        <v>400494.14</v>
      </c>
      <c r="K57" s="118">
        <f>SUM(K7:K56)</f>
        <v>710087.07999999984</v>
      </c>
      <c r="L57" s="118">
        <f>ROUND(K57*1.2,2)</f>
        <v>852104.5</v>
      </c>
      <c r="M57" s="94"/>
    </row>
    <row r="59" spans="1:13" x14ac:dyDescent="0.25">
      <c r="K59" s="96"/>
    </row>
  </sheetData>
  <mergeCells count="10">
    <mergeCell ref="B6:D6"/>
    <mergeCell ref="A57:E5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M33"/>
  <sheetViews>
    <sheetView view="pageBreakPreview" zoomScale="70" zoomScaleNormal="100" zoomScaleSheetLayoutView="70" workbookViewId="0">
      <selection activeCell="F16" sqref="F1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497</v>
      </c>
      <c r="C6" s="184"/>
      <c r="D6" s="184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427</v>
      </c>
      <c r="C8" s="5" t="s">
        <v>66</v>
      </c>
      <c r="D8" s="150">
        <v>36</v>
      </c>
      <c r="E8" s="40">
        <v>1055.02</v>
      </c>
      <c r="F8" s="33">
        <f t="shared" ref="F8:F11" si="0">ROUND(E8*D8,2)</f>
        <v>37980.720000000001</v>
      </c>
      <c r="G8" s="33">
        <f t="shared" ref="G8:G11" si="1">ROUND(F8*1.2,2)</f>
        <v>45576.86</v>
      </c>
      <c r="H8" s="34"/>
      <c r="I8" s="35"/>
      <c r="J8" s="35"/>
      <c r="K8" s="32">
        <f t="shared" ref="K8:L11" si="2">F8+I8</f>
        <v>37980.720000000001</v>
      </c>
      <c r="L8" s="33">
        <f t="shared" si="2"/>
        <v>45576.86</v>
      </c>
      <c r="M8" s="71" t="s">
        <v>25</v>
      </c>
    </row>
    <row r="9" spans="1:13" ht="22.5" customHeight="1" x14ac:dyDescent="0.25">
      <c r="A9" s="30">
        <f>A8+1</f>
        <v>2</v>
      </c>
      <c r="B9" s="37" t="s">
        <v>21</v>
      </c>
      <c r="C9" s="38" t="s">
        <v>22</v>
      </c>
      <c r="D9" s="151">
        <v>41</v>
      </c>
      <c r="E9" s="40">
        <v>1900</v>
      </c>
      <c r="F9" s="33">
        <f t="shared" si="0"/>
        <v>77900</v>
      </c>
      <c r="G9" s="33">
        <f t="shared" si="1"/>
        <v>93480</v>
      </c>
      <c r="H9" s="34"/>
      <c r="I9" s="35"/>
      <c r="J9" s="35"/>
      <c r="K9" s="32">
        <f t="shared" si="2"/>
        <v>77900</v>
      </c>
      <c r="L9" s="33">
        <f t="shared" si="2"/>
        <v>93480</v>
      </c>
      <c r="M9" s="41"/>
    </row>
    <row r="10" spans="1:13" ht="22.5" customHeight="1" x14ac:dyDescent="0.25">
      <c r="A10" s="30">
        <f>A9+1</f>
        <v>3</v>
      </c>
      <c r="B10" s="37" t="s">
        <v>23</v>
      </c>
      <c r="C10" s="100" t="s">
        <v>24</v>
      </c>
      <c r="D10" s="151">
        <v>16.600000000000001</v>
      </c>
      <c r="E10" s="42">
        <f>ROUND(65055.24/(297.03*0.05),2)</f>
        <v>4380.38</v>
      </c>
      <c r="F10" s="33">
        <f t="shared" si="0"/>
        <v>72714.31</v>
      </c>
      <c r="G10" s="33">
        <f t="shared" si="1"/>
        <v>87257.17</v>
      </c>
      <c r="H10" s="34"/>
      <c r="I10" s="35"/>
      <c r="J10" s="35"/>
      <c r="K10" s="32">
        <f t="shared" si="2"/>
        <v>72714.31</v>
      </c>
      <c r="L10" s="33">
        <f t="shared" si="2"/>
        <v>87257.17</v>
      </c>
      <c r="M10" s="21" t="s">
        <v>25</v>
      </c>
    </row>
    <row r="11" spans="1:13" ht="22.5" customHeight="1" x14ac:dyDescent="0.25">
      <c r="A11" s="30">
        <f t="shared" ref="A11" si="3">A10+1</f>
        <v>4</v>
      </c>
      <c r="B11" s="37" t="s">
        <v>26</v>
      </c>
      <c r="C11" s="100" t="s">
        <v>24</v>
      </c>
      <c r="D11" s="151">
        <v>20.55</v>
      </c>
      <c r="E11" s="64">
        <v>1440.5229999999999</v>
      </c>
      <c r="F11" s="33">
        <f t="shared" si="0"/>
        <v>29602.75</v>
      </c>
      <c r="G11" s="33">
        <f t="shared" si="1"/>
        <v>35523.300000000003</v>
      </c>
      <c r="H11" s="35"/>
      <c r="I11" s="35"/>
      <c r="J11" s="35"/>
      <c r="K11" s="32">
        <f t="shared" si="2"/>
        <v>29602.75</v>
      </c>
      <c r="L11" s="35">
        <f t="shared" si="2"/>
        <v>35523.300000000003</v>
      </c>
      <c r="M11" s="21" t="s">
        <v>25</v>
      </c>
    </row>
    <row r="12" spans="1:13" ht="20.25" customHeight="1" x14ac:dyDescent="0.25">
      <c r="A12" s="30"/>
      <c r="B12" s="111" t="s">
        <v>232</v>
      </c>
      <c r="C12" s="38"/>
      <c r="D12" s="151"/>
      <c r="E12" s="112"/>
      <c r="F12" s="35"/>
      <c r="G12" s="35"/>
      <c r="H12" s="35"/>
      <c r="I12" s="35"/>
      <c r="J12" s="35"/>
      <c r="K12" s="32"/>
      <c r="L12" s="35"/>
      <c r="M12" s="71"/>
    </row>
    <row r="13" spans="1:13" ht="24" customHeight="1" x14ac:dyDescent="0.25">
      <c r="A13" s="30">
        <f>A11+1</f>
        <v>5</v>
      </c>
      <c r="B13" s="73" t="s">
        <v>477</v>
      </c>
      <c r="C13" s="100" t="s">
        <v>38</v>
      </c>
      <c r="D13" s="151">
        <v>3.6</v>
      </c>
      <c r="E13" s="42">
        <v>544.86</v>
      </c>
      <c r="F13" s="33">
        <f t="shared" ref="F13:F14" si="4">ROUND(E13*D13,2)</f>
        <v>1961.5</v>
      </c>
      <c r="G13" s="33">
        <f t="shared" ref="G13:G14" si="5">ROUND(F13*1.2,2)</f>
        <v>2353.8000000000002</v>
      </c>
      <c r="H13" s="34"/>
      <c r="I13" s="35"/>
      <c r="J13" s="35"/>
      <c r="K13" s="32">
        <f t="shared" ref="K13:L14" si="6">F13+I13</f>
        <v>1961.5</v>
      </c>
      <c r="L13" s="35">
        <f t="shared" si="6"/>
        <v>2353.8000000000002</v>
      </c>
      <c r="M13" s="71" t="s">
        <v>158</v>
      </c>
    </row>
    <row r="14" spans="1:13" ht="24" customHeight="1" x14ac:dyDescent="0.25">
      <c r="A14" s="30">
        <f>A13+1</f>
        <v>6</v>
      </c>
      <c r="B14" s="73" t="s">
        <v>27</v>
      </c>
      <c r="C14" s="100" t="s">
        <v>38</v>
      </c>
      <c r="D14" s="138">
        <v>65.569999999999993</v>
      </c>
      <c r="E14" s="42">
        <v>544.86</v>
      </c>
      <c r="F14" s="33">
        <f t="shared" si="4"/>
        <v>35726.47</v>
      </c>
      <c r="G14" s="33">
        <f t="shared" si="5"/>
        <v>42871.76</v>
      </c>
      <c r="H14" s="34"/>
      <c r="I14" s="35"/>
      <c r="J14" s="35"/>
      <c r="K14" s="32">
        <f t="shared" si="6"/>
        <v>35726.47</v>
      </c>
      <c r="L14" s="35">
        <f t="shared" si="6"/>
        <v>42871.76</v>
      </c>
      <c r="M14" s="71" t="s">
        <v>602</v>
      </c>
    </row>
    <row r="15" spans="1:13" ht="20.25" customHeight="1" x14ac:dyDescent="0.25">
      <c r="A15" s="56"/>
      <c r="B15" s="43" t="s">
        <v>45</v>
      </c>
      <c r="C15" s="38"/>
      <c r="D15" s="57"/>
      <c r="E15" s="58"/>
      <c r="F15" s="59"/>
      <c r="G15" s="60"/>
      <c r="H15" s="61"/>
      <c r="I15" s="62"/>
      <c r="J15" s="62"/>
      <c r="K15" s="63"/>
      <c r="L15" s="62"/>
    </row>
    <row r="16" spans="1:13" ht="24" customHeight="1" x14ac:dyDescent="0.25">
      <c r="A16" s="30">
        <f>A14+1</f>
        <v>7</v>
      </c>
      <c r="B16" s="99" t="s">
        <v>46</v>
      </c>
      <c r="C16" s="100" t="s">
        <v>24</v>
      </c>
      <c r="D16" s="151">
        <v>84.17</v>
      </c>
      <c r="E16" s="34">
        <v>308.75</v>
      </c>
      <c r="F16" s="33">
        <f t="shared" ref="F16:F23" si="7">ROUND(E16*D16,2)</f>
        <v>25987.49</v>
      </c>
      <c r="G16" s="33">
        <f t="shared" ref="G16:G23" si="8">ROUND(F16*1.2,2)</f>
        <v>31184.99</v>
      </c>
      <c r="H16" s="61"/>
      <c r="I16" s="62"/>
      <c r="J16" s="62"/>
      <c r="K16" s="64">
        <f t="shared" ref="K16:L23" si="9">F16+I16</f>
        <v>25987.49</v>
      </c>
      <c r="L16" s="42">
        <f t="shared" si="9"/>
        <v>31184.99</v>
      </c>
    </row>
    <row r="17" spans="1:13" ht="24" customHeight="1" x14ac:dyDescent="0.25">
      <c r="A17" s="30">
        <f>A16+1</f>
        <v>8</v>
      </c>
      <c r="B17" s="99" t="s">
        <v>47</v>
      </c>
      <c r="C17" s="100" t="s">
        <v>24</v>
      </c>
      <c r="D17" s="151">
        <v>2.6</v>
      </c>
      <c r="E17" s="64">
        <v>1688.15</v>
      </c>
      <c r="F17" s="33">
        <f t="shared" si="7"/>
        <v>4389.1899999999996</v>
      </c>
      <c r="G17" s="33">
        <f t="shared" si="8"/>
        <v>5267.03</v>
      </c>
      <c r="H17" s="61"/>
      <c r="I17" s="62"/>
      <c r="J17" s="62"/>
      <c r="K17" s="64">
        <f t="shared" si="9"/>
        <v>4389.1899999999996</v>
      </c>
      <c r="L17" s="42">
        <f t="shared" si="9"/>
        <v>5267.03</v>
      </c>
    </row>
    <row r="18" spans="1:13" ht="20.25" customHeight="1" x14ac:dyDescent="0.25">
      <c r="A18" s="30">
        <f>A16+1</f>
        <v>8</v>
      </c>
      <c r="B18" s="37" t="s">
        <v>499</v>
      </c>
      <c r="C18" s="38" t="s">
        <v>345</v>
      </c>
      <c r="D18" s="151">
        <v>3.66</v>
      </c>
      <c r="E18" s="64">
        <v>1310.05</v>
      </c>
      <c r="F18" s="42">
        <f>ROUND(E18*D18,2)</f>
        <v>4794.78</v>
      </c>
      <c r="G18" s="42">
        <f t="shared" si="8"/>
        <v>5753.74</v>
      </c>
      <c r="H18" s="34"/>
      <c r="I18" s="42"/>
      <c r="J18" s="42"/>
      <c r="K18" s="64">
        <f t="shared" si="9"/>
        <v>4794.78</v>
      </c>
      <c r="L18" s="42">
        <f t="shared" si="9"/>
        <v>5753.74</v>
      </c>
      <c r="M18" s="71"/>
    </row>
    <row r="19" spans="1:13" ht="20.25" customHeight="1" x14ac:dyDescent="0.25">
      <c r="A19" s="46" t="s">
        <v>44</v>
      </c>
      <c r="B19" s="47" t="s">
        <v>50</v>
      </c>
      <c r="C19" s="48" t="s">
        <v>24</v>
      </c>
      <c r="D19" s="49">
        <f>D18*1.1</f>
        <v>4.0260000000000007</v>
      </c>
      <c r="E19" s="70"/>
      <c r="F19" s="51"/>
      <c r="G19" s="51"/>
      <c r="H19" s="51">
        <v>1191.3</v>
      </c>
      <c r="I19" s="51">
        <f>ROUND(H19*D19,2)</f>
        <v>4796.17</v>
      </c>
      <c r="J19" s="51">
        <f>ROUND(I19*1.2,2)</f>
        <v>5755.4</v>
      </c>
      <c r="K19" s="52">
        <f t="shared" si="9"/>
        <v>4796.17</v>
      </c>
      <c r="L19" s="51">
        <f t="shared" si="9"/>
        <v>5755.4</v>
      </c>
      <c r="M19" s="69"/>
    </row>
    <row r="20" spans="1:13" ht="24" customHeight="1" x14ac:dyDescent="0.25">
      <c r="A20" s="30">
        <f>A17+1</f>
        <v>9</v>
      </c>
      <c r="B20" s="73" t="s">
        <v>351</v>
      </c>
      <c r="C20" s="100" t="s">
        <v>24</v>
      </c>
      <c r="D20" s="151">
        <v>26.99</v>
      </c>
      <c r="E20" s="64">
        <v>1310.05</v>
      </c>
      <c r="F20" s="33">
        <f t="shared" si="7"/>
        <v>35358.25</v>
      </c>
      <c r="G20" s="33">
        <f t="shared" si="8"/>
        <v>42429.9</v>
      </c>
      <c r="H20" s="35"/>
      <c r="I20" s="35"/>
      <c r="J20" s="35"/>
      <c r="K20" s="32">
        <f t="shared" si="9"/>
        <v>35358.25</v>
      </c>
      <c r="L20" s="35">
        <f t="shared" si="9"/>
        <v>42429.9</v>
      </c>
    </row>
    <row r="21" spans="1:13" ht="20.25" customHeight="1" x14ac:dyDescent="0.25">
      <c r="A21" s="46" t="s">
        <v>490</v>
      </c>
      <c r="B21" s="47" t="s">
        <v>50</v>
      </c>
      <c r="C21" s="48" t="s">
        <v>24</v>
      </c>
      <c r="D21" s="49">
        <f>D20*1.1</f>
        <v>29.689</v>
      </c>
      <c r="E21" s="70"/>
      <c r="F21" s="51"/>
      <c r="G21" s="51"/>
      <c r="H21" s="51">
        <v>1191.3</v>
      </c>
      <c r="I21" s="51">
        <f>ROUND(H21*D21,2)</f>
        <v>35368.51</v>
      </c>
      <c r="J21" s="51">
        <f>ROUND(I21*1.2,2)</f>
        <v>42442.21</v>
      </c>
      <c r="K21" s="52">
        <f t="shared" si="9"/>
        <v>35368.51</v>
      </c>
      <c r="L21" s="51">
        <f t="shared" si="9"/>
        <v>42442.21</v>
      </c>
    </row>
    <row r="22" spans="1:13" s="66" customFormat="1" ht="22.5" customHeight="1" x14ac:dyDescent="0.25">
      <c r="A22" s="38">
        <f>A20+1</f>
        <v>10</v>
      </c>
      <c r="B22" s="99" t="s">
        <v>153</v>
      </c>
      <c r="C22" s="100" t="s">
        <v>24</v>
      </c>
      <c r="D22" s="151">
        <v>96.29</v>
      </c>
      <c r="E22" s="64">
        <v>118.75</v>
      </c>
      <c r="F22" s="33">
        <f t="shared" si="7"/>
        <v>11434.44</v>
      </c>
      <c r="G22" s="33">
        <f t="shared" si="8"/>
        <v>13721.33</v>
      </c>
      <c r="H22" s="61"/>
      <c r="I22" s="62"/>
      <c r="J22" s="62"/>
      <c r="K22" s="64">
        <f t="shared" si="9"/>
        <v>11434.44</v>
      </c>
      <c r="L22" s="42">
        <f t="shared" si="9"/>
        <v>13721.33</v>
      </c>
      <c r="M22" s="65"/>
    </row>
    <row r="23" spans="1:13" ht="22.5" customHeight="1" x14ac:dyDescent="0.25">
      <c r="A23" s="30">
        <f>A22+1</f>
        <v>11</v>
      </c>
      <c r="B23" s="99" t="s">
        <v>53</v>
      </c>
      <c r="C23" s="100" t="s">
        <v>24</v>
      </c>
      <c r="D23" s="138">
        <v>69.290000000000006</v>
      </c>
      <c r="E23" s="64">
        <v>188.1</v>
      </c>
      <c r="F23" s="33">
        <f t="shared" si="7"/>
        <v>13033.45</v>
      </c>
      <c r="G23" s="33">
        <f t="shared" si="8"/>
        <v>15640.14</v>
      </c>
      <c r="H23" s="64"/>
      <c r="I23" s="35"/>
      <c r="J23" s="35"/>
      <c r="K23" s="64">
        <f t="shared" si="9"/>
        <v>13033.45</v>
      </c>
      <c r="L23" s="42">
        <f t="shared" si="9"/>
        <v>15640.14</v>
      </c>
      <c r="M23" s="139">
        <v>96.29</v>
      </c>
    </row>
    <row r="24" spans="1:13" ht="18" customHeight="1" x14ac:dyDescent="0.25">
      <c r="A24" s="46"/>
      <c r="B24" s="43" t="s">
        <v>55</v>
      </c>
      <c r="C24" s="38"/>
      <c r="D24" s="57"/>
      <c r="E24" s="58"/>
      <c r="F24" s="59"/>
      <c r="G24" s="60"/>
      <c r="H24" s="67"/>
      <c r="I24" s="35"/>
      <c r="J24" s="35"/>
      <c r="K24" s="32"/>
      <c r="L24" s="35"/>
    </row>
    <row r="25" spans="1:13" ht="18" customHeight="1" x14ac:dyDescent="0.25">
      <c r="A25" s="38">
        <f>A23+1</f>
        <v>12</v>
      </c>
      <c r="B25" s="99" t="s">
        <v>236</v>
      </c>
      <c r="C25" s="38" t="s">
        <v>165</v>
      </c>
      <c r="D25" s="150">
        <v>2</v>
      </c>
      <c r="E25" s="64">
        <f>9339.8/530*315</f>
        <v>5551.0132075471693</v>
      </c>
      <c r="F25" s="42">
        <f t="shared" ref="F25:F26" si="10">ROUND(E25*D25,2)</f>
        <v>11102.03</v>
      </c>
      <c r="G25" s="42">
        <f t="shared" ref="G25:G26" si="11">ROUND(F25*1.2,2)</f>
        <v>13322.44</v>
      </c>
      <c r="H25" s="34"/>
      <c r="I25" s="42"/>
      <c r="J25" s="42"/>
      <c r="K25" s="64">
        <f t="shared" ref="K25:L26" si="12">F25+I25</f>
        <v>11102.03</v>
      </c>
      <c r="L25" s="42">
        <f t="shared" si="12"/>
        <v>13322.44</v>
      </c>
      <c r="M25" s="71" t="s">
        <v>237</v>
      </c>
    </row>
    <row r="26" spans="1:13" ht="18" customHeight="1" x14ac:dyDescent="0.25">
      <c r="A26" s="30">
        <f>A25+1</f>
        <v>13</v>
      </c>
      <c r="B26" s="147" t="s">
        <v>167</v>
      </c>
      <c r="C26" s="141" t="s">
        <v>165</v>
      </c>
      <c r="D26" s="148">
        <v>2</v>
      </c>
      <c r="E26" s="64">
        <f>ROUND(1863.6*1.33,2)</f>
        <v>2478.59</v>
      </c>
      <c r="F26" s="42">
        <f t="shared" si="10"/>
        <v>4957.18</v>
      </c>
      <c r="G26" s="42">
        <f t="shared" si="11"/>
        <v>5948.62</v>
      </c>
      <c r="H26" s="34"/>
      <c r="I26" s="42"/>
      <c r="J26" s="42"/>
      <c r="K26" s="64">
        <f t="shared" si="12"/>
        <v>4957.18</v>
      </c>
      <c r="L26" s="42">
        <f t="shared" si="12"/>
        <v>5948.62</v>
      </c>
      <c r="M26" s="71" t="s">
        <v>603</v>
      </c>
    </row>
    <row r="27" spans="1:13" ht="25.5" customHeight="1" x14ac:dyDescent="0.25">
      <c r="A27" s="30">
        <f>A26+1</f>
        <v>14</v>
      </c>
      <c r="B27" s="99" t="s">
        <v>478</v>
      </c>
      <c r="C27" s="100" t="s">
        <v>22</v>
      </c>
      <c r="D27" s="151">
        <v>32.42</v>
      </c>
      <c r="E27" s="123">
        <v>1149.5</v>
      </c>
      <c r="F27" s="35">
        <f t="shared" ref="F27" si="13">ROUND(E27*D27,2)</f>
        <v>37266.79</v>
      </c>
      <c r="G27" s="35">
        <f t="shared" ref="G27" si="14">ROUND(F27*1.2,2)</f>
        <v>44720.15</v>
      </c>
      <c r="H27" s="67"/>
      <c r="I27" s="35"/>
      <c r="J27" s="35"/>
      <c r="K27" s="64">
        <f t="shared" ref="K27:L30" si="15">F27+I27</f>
        <v>37266.79</v>
      </c>
      <c r="L27" s="42">
        <f t="shared" si="15"/>
        <v>44720.15</v>
      </c>
      <c r="M27" s="71" t="s">
        <v>75</v>
      </c>
    </row>
    <row r="28" spans="1:13" ht="21" customHeight="1" x14ac:dyDescent="0.25">
      <c r="A28" s="46" t="s">
        <v>491</v>
      </c>
      <c r="B28" s="47" t="s">
        <v>171</v>
      </c>
      <c r="C28" s="48" t="s">
        <v>22</v>
      </c>
      <c r="D28" s="49">
        <f>D27*1.02</f>
        <v>33.068400000000004</v>
      </c>
      <c r="E28" s="50"/>
      <c r="F28" s="51"/>
      <c r="G28" s="51"/>
      <c r="H28" s="51">
        <v>3479.85</v>
      </c>
      <c r="I28" s="51">
        <f>ROUND(H28*D28,2)</f>
        <v>115073.07</v>
      </c>
      <c r="J28" s="51">
        <f>ROUND(I28*1.2,2)</f>
        <v>138087.67999999999</v>
      </c>
      <c r="K28" s="52">
        <f t="shared" si="15"/>
        <v>115073.07</v>
      </c>
      <c r="L28" s="51">
        <f t="shared" si="15"/>
        <v>138087.67999999999</v>
      </c>
    </row>
    <row r="29" spans="1:13" ht="18" customHeight="1" x14ac:dyDescent="0.25">
      <c r="A29" s="30">
        <f>A27+1</f>
        <v>15</v>
      </c>
      <c r="B29" s="147" t="s">
        <v>234</v>
      </c>
      <c r="C29" s="141" t="s">
        <v>38</v>
      </c>
      <c r="D29" s="138">
        <v>17.25</v>
      </c>
      <c r="E29" s="34">
        <v>308.75</v>
      </c>
      <c r="F29" s="33">
        <f t="shared" ref="F29:F30" si="16">ROUND(E29*D29,2)</f>
        <v>5325.94</v>
      </c>
      <c r="G29" s="33">
        <f t="shared" ref="G29:G30" si="17">ROUND(F29*1.2,2)</f>
        <v>6391.13</v>
      </c>
      <c r="H29" s="34"/>
      <c r="I29" s="42"/>
      <c r="J29" s="42"/>
      <c r="K29" s="64">
        <f t="shared" si="15"/>
        <v>5325.94</v>
      </c>
      <c r="L29" s="42">
        <f t="shared" si="15"/>
        <v>6391.13</v>
      </c>
      <c r="M29" s="71" t="s">
        <v>603</v>
      </c>
    </row>
    <row r="30" spans="1:13" ht="18" customHeight="1" x14ac:dyDescent="0.25">
      <c r="A30" s="30">
        <f>A29+1</f>
        <v>16</v>
      </c>
      <c r="B30" s="99" t="s">
        <v>235</v>
      </c>
      <c r="C30" s="100" t="s">
        <v>38</v>
      </c>
      <c r="D30" s="151">
        <v>17.25</v>
      </c>
      <c r="E30" s="34">
        <v>350</v>
      </c>
      <c r="F30" s="33">
        <f t="shared" si="16"/>
        <v>6037.5</v>
      </c>
      <c r="G30" s="33">
        <f t="shared" si="17"/>
        <v>7245</v>
      </c>
      <c r="H30" s="34"/>
      <c r="I30" s="42"/>
      <c r="J30" s="42"/>
      <c r="K30" s="64">
        <f t="shared" si="15"/>
        <v>6037.5</v>
      </c>
      <c r="L30" s="42">
        <f t="shared" si="15"/>
        <v>7245</v>
      </c>
      <c r="M30" s="71"/>
    </row>
    <row r="31" spans="1:13" s="95" customFormat="1" ht="24" customHeight="1" x14ac:dyDescent="0.3">
      <c r="A31" s="185" t="s">
        <v>148</v>
      </c>
      <c r="B31" s="186"/>
      <c r="C31" s="186"/>
      <c r="D31" s="186"/>
      <c r="E31" s="187"/>
      <c r="F31" s="118">
        <f>SUM(F7:F30)</f>
        <v>415572.79000000004</v>
      </c>
      <c r="G31" s="118">
        <f>ROUND(F31*1.2,2)</f>
        <v>498687.35</v>
      </c>
      <c r="H31" s="122"/>
      <c r="I31" s="118">
        <f>SUM(I7:I30)</f>
        <v>155237.75</v>
      </c>
      <c r="J31" s="118">
        <f>ROUND(I31*1.2,2)</f>
        <v>186285.3</v>
      </c>
      <c r="K31" s="118">
        <f>SUM(K7:K30)</f>
        <v>570810.54</v>
      </c>
      <c r="L31" s="118">
        <f>ROUND(K31*1.2,2)</f>
        <v>684972.65</v>
      </c>
      <c r="M31" s="94"/>
    </row>
    <row r="33" spans="11:11" x14ac:dyDescent="0.25">
      <c r="K33" s="96"/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M117"/>
  <sheetViews>
    <sheetView view="pageBreakPreview" zoomScale="70" zoomScaleNormal="100" zoomScaleSheetLayoutView="70" workbookViewId="0">
      <selection activeCell="L28" sqref="L2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230</v>
      </c>
      <c r="C6" s="184"/>
      <c r="D6" s="184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30">
        <v>1</v>
      </c>
      <c r="B8" s="37" t="s">
        <v>21</v>
      </c>
      <c r="C8" s="38" t="s">
        <v>22</v>
      </c>
      <c r="D8" s="151">
        <v>105.48</v>
      </c>
      <c r="E8" s="40">
        <v>1900</v>
      </c>
      <c r="F8" s="33">
        <f t="shared" ref="F8:F10" si="0">ROUND(E8*D8,2)</f>
        <v>200412</v>
      </c>
      <c r="G8" s="33">
        <f t="shared" ref="G8:G10" si="1">ROUND(F8*1.2,2)</f>
        <v>240494.4</v>
      </c>
      <c r="H8" s="34"/>
      <c r="I8" s="35"/>
      <c r="J8" s="35"/>
      <c r="K8" s="32">
        <f t="shared" ref="K8:L10" si="2">F8+I8</f>
        <v>200412</v>
      </c>
      <c r="L8" s="33">
        <f t="shared" si="2"/>
        <v>240494.4</v>
      </c>
      <c r="M8" s="41"/>
    </row>
    <row r="9" spans="1:13" ht="18" customHeight="1" x14ac:dyDescent="0.25">
      <c r="A9" s="30">
        <f>A8+1</f>
        <v>2</v>
      </c>
      <c r="B9" s="37" t="s">
        <v>23</v>
      </c>
      <c r="C9" s="100" t="s">
        <v>24</v>
      </c>
      <c r="D9" s="151">
        <v>28.91</v>
      </c>
      <c r="E9" s="42">
        <f>ROUND(65055.24/(297.03*0.05),2)</f>
        <v>4380.38</v>
      </c>
      <c r="F9" s="33">
        <f t="shared" si="0"/>
        <v>126636.79</v>
      </c>
      <c r="G9" s="33">
        <f t="shared" si="1"/>
        <v>151964.15</v>
      </c>
      <c r="H9" s="34"/>
      <c r="I9" s="35"/>
      <c r="J9" s="35"/>
      <c r="K9" s="32">
        <f t="shared" si="2"/>
        <v>126636.79</v>
      </c>
      <c r="L9" s="33">
        <f t="shared" si="2"/>
        <v>151964.15</v>
      </c>
      <c r="M9" s="21" t="s">
        <v>231</v>
      </c>
    </row>
    <row r="10" spans="1:13" ht="20.25" customHeight="1" x14ac:dyDescent="0.25">
      <c r="A10" s="30">
        <f t="shared" ref="A10" si="3">A9+1</f>
        <v>3</v>
      </c>
      <c r="B10" s="37" t="s">
        <v>26</v>
      </c>
      <c r="C10" s="100" t="s">
        <v>24</v>
      </c>
      <c r="D10" s="151">
        <v>42.1</v>
      </c>
      <c r="E10" s="64">
        <v>1440.5229999999999</v>
      </c>
      <c r="F10" s="33">
        <f t="shared" si="0"/>
        <v>60646.02</v>
      </c>
      <c r="G10" s="33">
        <f t="shared" si="1"/>
        <v>72775.22</v>
      </c>
      <c r="H10" s="35"/>
      <c r="I10" s="35"/>
      <c r="J10" s="35"/>
      <c r="K10" s="32">
        <f t="shared" si="2"/>
        <v>60646.02</v>
      </c>
      <c r="L10" s="35">
        <f t="shared" si="2"/>
        <v>72775.22</v>
      </c>
      <c r="M10" s="21" t="s">
        <v>231</v>
      </c>
    </row>
    <row r="11" spans="1:13" ht="20.25" customHeight="1" x14ac:dyDescent="0.25">
      <c r="A11" s="30"/>
      <c r="B11" s="111" t="s">
        <v>232</v>
      </c>
      <c r="C11" s="38"/>
      <c r="D11" s="151"/>
      <c r="E11" s="112"/>
      <c r="F11" s="35"/>
      <c r="G11" s="35"/>
      <c r="H11" s="35"/>
      <c r="I11" s="35"/>
      <c r="J11" s="35"/>
      <c r="K11" s="32"/>
      <c r="L11" s="35"/>
      <c r="M11" s="71"/>
    </row>
    <row r="12" spans="1:13" ht="20.25" customHeight="1" x14ac:dyDescent="0.25">
      <c r="A12" s="30">
        <f>A10+1</f>
        <v>4</v>
      </c>
      <c r="B12" s="73" t="s">
        <v>27</v>
      </c>
      <c r="C12" s="38" t="s">
        <v>38</v>
      </c>
      <c r="D12" s="151">
        <v>116.76</v>
      </c>
      <c r="E12" s="42">
        <v>544.86</v>
      </c>
      <c r="F12" s="33">
        <f t="shared" ref="F12" si="4">ROUND(E12*D12,2)</f>
        <v>63617.85</v>
      </c>
      <c r="G12" s="33">
        <f t="shared" ref="G12" si="5">ROUND(F12*1.2,2)</f>
        <v>76341.42</v>
      </c>
      <c r="H12" s="34"/>
      <c r="I12" s="35"/>
      <c r="J12" s="35"/>
      <c r="K12" s="32">
        <f t="shared" ref="K12:L12" si="6">F12+I12</f>
        <v>63617.85</v>
      </c>
      <c r="L12" s="35">
        <f t="shared" si="6"/>
        <v>76341.42</v>
      </c>
      <c r="M12" s="21" t="s">
        <v>152</v>
      </c>
    </row>
    <row r="13" spans="1:13" ht="20.25" customHeight="1" x14ac:dyDescent="0.25">
      <c r="A13" s="56"/>
      <c r="B13" s="43" t="s">
        <v>45</v>
      </c>
      <c r="C13" s="38"/>
      <c r="D13" s="150"/>
      <c r="E13" s="58"/>
      <c r="F13" s="59"/>
      <c r="G13" s="60"/>
      <c r="H13" s="61"/>
      <c r="I13" s="62"/>
      <c r="J13" s="62"/>
      <c r="K13" s="63"/>
      <c r="L13" s="62"/>
    </row>
    <row r="14" spans="1:13" ht="20.25" customHeight="1" x14ac:dyDescent="0.25">
      <c r="A14" s="30">
        <f>A12+1</f>
        <v>5</v>
      </c>
      <c r="B14" s="99" t="s">
        <v>46</v>
      </c>
      <c r="C14" s="100" t="s">
        <v>24</v>
      </c>
      <c r="D14" s="151">
        <v>138.57</v>
      </c>
      <c r="E14" s="34">
        <v>308.75</v>
      </c>
      <c r="F14" s="33">
        <f t="shared" ref="F14:F23" si="7">ROUND(E14*D14,2)</f>
        <v>42783.49</v>
      </c>
      <c r="G14" s="33">
        <f t="shared" ref="G14:G23" si="8">ROUND(F14*1.2,2)</f>
        <v>51340.19</v>
      </c>
      <c r="H14" s="61"/>
      <c r="I14" s="62"/>
      <c r="J14" s="62"/>
      <c r="K14" s="64">
        <f t="shared" ref="K14:L23" si="9">F14+I14</f>
        <v>42783.49</v>
      </c>
      <c r="L14" s="42">
        <f t="shared" si="9"/>
        <v>51340.19</v>
      </c>
    </row>
    <row r="15" spans="1:13" ht="20.25" customHeight="1" x14ac:dyDescent="0.25">
      <c r="A15" s="30">
        <f>A14+1</f>
        <v>6</v>
      </c>
      <c r="B15" s="99" t="s">
        <v>47</v>
      </c>
      <c r="C15" s="100" t="s">
        <v>24</v>
      </c>
      <c r="D15" s="151">
        <v>4.29</v>
      </c>
      <c r="E15" s="34">
        <v>1688.15</v>
      </c>
      <c r="F15" s="33">
        <f t="shared" si="7"/>
        <v>7242.16</v>
      </c>
      <c r="G15" s="33">
        <f t="shared" si="8"/>
        <v>8690.59</v>
      </c>
      <c r="H15" s="61"/>
      <c r="I15" s="62"/>
      <c r="J15" s="62"/>
      <c r="K15" s="64">
        <f t="shared" si="9"/>
        <v>7242.16</v>
      </c>
      <c r="L15" s="42">
        <f t="shared" si="9"/>
        <v>8690.59</v>
      </c>
    </row>
    <row r="16" spans="1:13" ht="20.25" customHeight="1" x14ac:dyDescent="0.25">
      <c r="A16" s="30">
        <f>A15+1</f>
        <v>7</v>
      </c>
      <c r="B16" s="99" t="s">
        <v>48</v>
      </c>
      <c r="C16" s="100" t="s">
        <v>24</v>
      </c>
      <c r="D16" s="151">
        <v>2.17</v>
      </c>
      <c r="E16" s="34">
        <v>1310.05</v>
      </c>
      <c r="F16" s="33">
        <f t="shared" si="7"/>
        <v>2842.81</v>
      </c>
      <c r="G16" s="33">
        <f t="shared" si="8"/>
        <v>3411.37</v>
      </c>
      <c r="H16" s="61"/>
      <c r="I16" s="62"/>
      <c r="J16" s="62"/>
      <c r="K16" s="64">
        <f t="shared" si="9"/>
        <v>2842.81</v>
      </c>
      <c r="L16" s="42">
        <f t="shared" si="9"/>
        <v>3411.37</v>
      </c>
    </row>
    <row r="17" spans="1:13" ht="20.25" customHeight="1" x14ac:dyDescent="0.25">
      <c r="A17" s="46" t="s">
        <v>40</v>
      </c>
      <c r="B17" s="47" t="s">
        <v>50</v>
      </c>
      <c r="C17" s="48" t="s">
        <v>24</v>
      </c>
      <c r="D17" s="49">
        <f>2.17*1.1</f>
        <v>2.387</v>
      </c>
      <c r="E17" s="50"/>
      <c r="F17" s="51"/>
      <c r="G17" s="51"/>
      <c r="H17" s="51">
        <v>1191.3</v>
      </c>
      <c r="I17" s="51">
        <f>ROUND(H17*D17,2)</f>
        <v>2843.63</v>
      </c>
      <c r="J17" s="51">
        <f>ROUND(I17*1.2,2)</f>
        <v>3412.36</v>
      </c>
      <c r="K17" s="52">
        <f t="shared" si="9"/>
        <v>2843.63</v>
      </c>
      <c r="L17" s="51">
        <f t="shared" si="9"/>
        <v>3412.36</v>
      </c>
    </row>
    <row r="18" spans="1:13" ht="20.25" customHeight="1" x14ac:dyDescent="0.25">
      <c r="A18" s="38">
        <f>A16+1</f>
        <v>8</v>
      </c>
      <c r="B18" s="99" t="s">
        <v>233</v>
      </c>
      <c r="C18" s="100" t="s">
        <v>24</v>
      </c>
      <c r="D18" s="151">
        <v>33.78</v>
      </c>
      <c r="E18" s="34">
        <v>1310.05</v>
      </c>
      <c r="F18" s="33">
        <f t="shared" si="7"/>
        <v>44253.49</v>
      </c>
      <c r="G18" s="33">
        <f t="shared" si="8"/>
        <v>53104.19</v>
      </c>
      <c r="H18" s="35"/>
      <c r="I18" s="35"/>
      <c r="J18" s="35"/>
      <c r="K18" s="32">
        <f t="shared" si="9"/>
        <v>44253.49</v>
      </c>
      <c r="L18" s="35">
        <f t="shared" si="9"/>
        <v>53104.19</v>
      </c>
    </row>
    <row r="19" spans="1:13" ht="20.25" customHeight="1" x14ac:dyDescent="0.25">
      <c r="A19" s="46" t="s">
        <v>44</v>
      </c>
      <c r="B19" s="47" t="s">
        <v>50</v>
      </c>
      <c r="C19" s="48" t="s">
        <v>24</v>
      </c>
      <c r="D19" s="49">
        <f>D18*1.1</f>
        <v>37.158000000000001</v>
      </c>
      <c r="E19" s="50"/>
      <c r="F19" s="51"/>
      <c r="G19" s="51"/>
      <c r="H19" s="51">
        <v>1191.3</v>
      </c>
      <c r="I19" s="51">
        <f>ROUND(H19*D19,2)</f>
        <v>44266.33</v>
      </c>
      <c r="J19" s="51">
        <f>ROUND(I19*1.2,2)</f>
        <v>53119.6</v>
      </c>
      <c r="K19" s="52">
        <f t="shared" si="9"/>
        <v>44266.33</v>
      </c>
      <c r="L19" s="51">
        <f t="shared" si="9"/>
        <v>53119.6</v>
      </c>
    </row>
    <row r="20" spans="1:13" s="66" customFormat="1" ht="21.75" customHeight="1" x14ac:dyDescent="0.25">
      <c r="A20" s="38">
        <f>A18+1</f>
        <v>9</v>
      </c>
      <c r="B20" s="99" t="s">
        <v>153</v>
      </c>
      <c r="C20" s="100" t="s">
        <v>24</v>
      </c>
      <c r="D20" s="151">
        <v>171.97</v>
      </c>
      <c r="E20" s="34">
        <v>118.75</v>
      </c>
      <c r="F20" s="33">
        <f t="shared" si="7"/>
        <v>20421.439999999999</v>
      </c>
      <c r="G20" s="33">
        <f t="shared" si="8"/>
        <v>24505.73</v>
      </c>
      <c r="H20" s="61"/>
      <c r="I20" s="62"/>
      <c r="J20" s="62"/>
      <c r="K20" s="64">
        <f t="shared" si="9"/>
        <v>20421.439999999999</v>
      </c>
      <c r="L20" s="42">
        <f t="shared" si="9"/>
        <v>24505.73</v>
      </c>
      <c r="M20" s="65"/>
    </row>
    <row r="21" spans="1:13" ht="18.75" customHeight="1" x14ac:dyDescent="0.25">
      <c r="A21" s="30">
        <f>A20+1</f>
        <v>10</v>
      </c>
      <c r="B21" s="99" t="s">
        <v>53</v>
      </c>
      <c r="C21" s="100" t="s">
        <v>24</v>
      </c>
      <c r="D21" s="151">
        <v>171.97</v>
      </c>
      <c r="E21" s="34">
        <v>188.1</v>
      </c>
      <c r="F21" s="33">
        <f t="shared" si="7"/>
        <v>32347.56</v>
      </c>
      <c r="G21" s="33">
        <f t="shared" si="8"/>
        <v>38817.07</v>
      </c>
      <c r="H21" s="64"/>
      <c r="I21" s="35"/>
      <c r="J21" s="35"/>
      <c r="K21" s="64">
        <f t="shared" si="9"/>
        <v>32347.56</v>
      </c>
      <c r="L21" s="42">
        <f t="shared" si="9"/>
        <v>38817.07</v>
      </c>
    </row>
    <row r="22" spans="1:13" ht="18" customHeight="1" x14ac:dyDescent="0.25">
      <c r="A22" s="30">
        <f>A21+1</f>
        <v>11</v>
      </c>
      <c r="B22" s="99" t="s">
        <v>234</v>
      </c>
      <c r="C22" s="100" t="s">
        <v>38</v>
      </c>
      <c r="D22" s="151">
        <v>66.099999999999994</v>
      </c>
      <c r="E22" s="34">
        <v>308.75</v>
      </c>
      <c r="F22" s="33">
        <f t="shared" si="7"/>
        <v>20408.38</v>
      </c>
      <c r="G22" s="33">
        <f t="shared" si="8"/>
        <v>24490.06</v>
      </c>
      <c r="H22" s="34"/>
      <c r="I22" s="42"/>
      <c r="J22" s="42"/>
      <c r="K22" s="64">
        <f t="shared" si="9"/>
        <v>20408.38</v>
      </c>
      <c r="L22" s="42">
        <f t="shared" si="9"/>
        <v>24490.06</v>
      </c>
      <c r="M22" s="71"/>
    </row>
    <row r="23" spans="1:13" ht="18" customHeight="1" x14ac:dyDescent="0.25">
      <c r="A23" s="30">
        <f>A22+1</f>
        <v>12</v>
      </c>
      <c r="B23" s="99" t="s">
        <v>235</v>
      </c>
      <c r="C23" s="100" t="s">
        <v>38</v>
      </c>
      <c r="D23" s="151">
        <v>66.099999999999994</v>
      </c>
      <c r="E23" s="34">
        <v>350</v>
      </c>
      <c r="F23" s="33">
        <f t="shared" si="7"/>
        <v>23135</v>
      </c>
      <c r="G23" s="33">
        <f t="shared" si="8"/>
        <v>27762</v>
      </c>
      <c r="H23" s="34"/>
      <c r="I23" s="42"/>
      <c r="J23" s="42"/>
      <c r="K23" s="64">
        <f t="shared" si="9"/>
        <v>23135</v>
      </c>
      <c r="L23" s="42">
        <f t="shared" si="9"/>
        <v>27762</v>
      </c>
      <c r="M23" s="71"/>
    </row>
    <row r="24" spans="1:13" ht="18" customHeight="1" x14ac:dyDescent="0.25">
      <c r="A24" s="46"/>
      <c r="B24" s="43" t="s">
        <v>55</v>
      </c>
      <c r="C24" s="38"/>
      <c r="D24" s="150"/>
      <c r="E24" s="58"/>
      <c r="F24" s="59"/>
      <c r="G24" s="60"/>
      <c r="H24" s="67"/>
      <c r="I24" s="35"/>
      <c r="J24" s="35"/>
      <c r="K24" s="32"/>
      <c r="L24" s="35"/>
    </row>
    <row r="25" spans="1:13" ht="18" customHeight="1" x14ac:dyDescent="0.25">
      <c r="A25" s="38">
        <f>A23+1</f>
        <v>13</v>
      </c>
      <c r="B25" s="99" t="s">
        <v>236</v>
      </c>
      <c r="C25" s="38" t="s">
        <v>165</v>
      </c>
      <c r="D25" s="150">
        <v>2</v>
      </c>
      <c r="E25" s="34">
        <f>9339.8/530*315</f>
        <v>5551.0132075471693</v>
      </c>
      <c r="F25" s="42">
        <f t="shared" ref="F25:F27" si="10">ROUND(E25*D25,2)</f>
        <v>11102.03</v>
      </c>
      <c r="G25" s="42">
        <f t="shared" ref="G25:G27" si="11">ROUND(F25*1.2,2)</f>
        <v>13322.44</v>
      </c>
      <c r="H25" s="34"/>
      <c r="I25" s="42"/>
      <c r="J25" s="42"/>
      <c r="K25" s="64">
        <f t="shared" ref="K25:L40" si="12">F25+I25</f>
        <v>11102.03</v>
      </c>
      <c r="L25" s="42">
        <f t="shared" si="12"/>
        <v>13322.44</v>
      </c>
      <c r="M25" s="71" t="s">
        <v>237</v>
      </c>
    </row>
    <row r="26" spans="1:13" ht="18" customHeight="1" x14ac:dyDescent="0.25">
      <c r="A26" s="30">
        <f>A25+1</f>
        <v>14</v>
      </c>
      <c r="B26" s="99" t="s">
        <v>167</v>
      </c>
      <c r="C26" s="38" t="s">
        <v>165</v>
      </c>
      <c r="D26" s="150">
        <v>2</v>
      </c>
      <c r="E26" s="34">
        <f>ROUND(1863.6*1.33,2)</f>
        <v>2478.59</v>
      </c>
      <c r="F26" s="42">
        <f t="shared" si="10"/>
        <v>4957.18</v>
      </c>
      <c r="G26" s="42">
        <f t="shared" si="11"/>
        <v>5948.62</v>
      </c>
      <c r="H26" s="34"/>
      <c r="I26" s="42"/>
      <c r="J26" s="42"/>
      <c r="K26" s="64">
        <f t="shared" si="12"/>
        <v>4957.18</v>
      </c>
      <c r="L26" s="42">
        <f t="shared" si="12"/>
        <v>5948.62</v>
      </c>
      <c r="M26" s="71"/>
    </row>
    <row r="27" spans="1:13" ht="33.75" customHeight="1" x14ac:dyDescent="0.25">
      <c r="A27" s="30">
        <f>A26+1</f>
        <v>15</v>
      </c>
      <c r="B27" s="37" t="s">
        <v>59</v>
      </c>
      <c r="C27" s="100" t="s">
        <v>22</v>
      </c>
      <c r="D27" s="151">
        <v>27.01</v>
      </c>
      <c r="E27" s="34">
        <v>1450.65</v>
      </c>
      <c r="F27" s="33">
        <f t="shared" si="10"/>
        <v>39182.06</v>
      </c>
      <c r="G27" s="33">
        <f t="shared" si="11"/>
        <v>47018.47</v>
      </c>
      <c r="H27" s="61"/>
      <c r="I27" s="62"/>
      <c r="J27" s="62"/>
      <c r="K27" s="64">
        <f t="shared" si="12"/>
        <v>39182.06</v>
      </c>
      <c r="L27" s="42">
        <f t="shared" si="12"/>
        <v>47018.47</v>
      </c>
      <c r="M27" s="71"/>
    </row>
    <row r="28" spans="1:13" ht="32.25" customHeight="1" x14ac:dyDescent="0.25">
      <c r="A28" s="46" t="s">
        <v>57</v>
      </c>
      <c r="B28" s="47" t="s">
        <v>61</v>
      </c>
      <c r="C28" s="48" t="s">
        <v>22</v>
      </c>
      <c r="D28" s="49">
        <f>1.02*27.01</f>
        <v>27.550200000000004</v>
      </c>
      <c r="E28" s="51"/>
      <c r="F28" s="51"/>
      <c r="G28" s="51"/>
      <c r="H28" s="68">
        <v>7288.13</v>
      </c>
      <c r="I28" s="68">
        <f>ROUND(H28*D28,2)</f>
        <v>200789.44</v>
      </c>
      <c r="J28" s="68">
        <f>ROUND(I28*1.2,2)</f>
        <v>240947.33</v>
      </c>
      <c r="K28" s="70">
        <f t="shared" si="12"/>
        <v>200789.44</v>
      </c>
      <c r="L28" s="68">
        <f t="shared" si="12"/>
        <v>240947.33</v>
      </c>
      <c r="M28" s="71"/>
    </row>
    <row r="29" spans="1:13" ht="30" x14ac:dyDescent="0.25">
      <c r="A29" s="30">
        <f>A27+1</f>
        <v>16</v>
      </c>
      <c r="B29" s="99" t="s">
        <v>62</v>
      </c>
      <c r="C29" s="100" t="s">
        <v>22</v>
      </c>
      <c r="D29" s="151">
        <v>27.01</v>
      </c>
      <c r="E29" s="34">
        <v>1084.9000000000001</v>
      </c>
      <c r="F29" s="33">
        <f t="shared" ref="F29" si="13">ROUND(E29*D29,2)</f>
        <v>29303.15</v>
      </c>
      <c r="G29" s="33">
        <f t="shared" ref="G29" si="14">ROUND(F29*1.2,2)</f>
        <v>35163.78</v>
      </c>
      <c r="H29" s="61"/>
      <c r="I29" s="62"/>
      <c r="J29" s="62"/>
      <c r="K29" s="64">
        <f t="shared" si="12"/>
        <v>29303.15</v>
      </c>
      <c r="L29" s="42">
        <f t="shared" si="12"/>
        <v>35163.78</v>
      </c>
    </row>
    <row r="30" spans="1:13" ht="20.25" customHeight="1" x14ac:dyDescent="0.25">
      <c r="A30" s="46" t="s">
        <v>60</v>
      </c>
      <c r="B30" s="47" t="s">
        <v>238</v>
      </c>
      <c r="C30" s="48" t="s">
        <v>22</v>
      </c>
      <c r="D30" s="49">
        <f>1.02*27.01</f>
        <v>27.550200000000004</v>
      </c>
      <c r="E30" s="50"/>
      <c r="F30" s="51"/>
      <c r="G30" s="51"/>
      <c r="H30" s="68">
        <v>407.29</v>
      </c>
      <c r="I30" s="51">
        <f>ROUND(H30*D30,2)</f>
        <v>11220.92</v>
      </c>
      <c r="J30" s="51">
        <f>ROUND(I30*1.2,2)</f>
        <v>13465.1</v>
      </c>
      <c r="K30" s="52">
        <f t="shared" si="12"/>
        <v>11220.92</v>
      </c>
      <c r="L30" s="51">
        <f t="shared" si="12"/>
        <v>13465.1</v>
      </c>
      <c r="M30" s="69"/>
    </row>
    <row r="31" spans="1:13" ht="21" customHeight="1" x14ac:dyDescent="0.25">
      <c r="A31" s="46" t="s">
        <v>239</v>
      </c>
      <c r="B31" s="47" t="s">
        <v>65</v>
      </c>
      <c r="C31" s="48" t="s">
        <v>66</v>
      </c>
      <c r="D31" s="113">
        <v>13</v>
      </c>
      <c r="E31" s="50"/>
      <c r="F31" s="51"/>
      <c r="G31" s="51"/>
      <c r="H31" s="51">
        <v>541.5</v>
      </c>
      <c r="I31" s="51">
        <f>ROUND(H31*D31,2)</f>
        <v>7039.5</v>
      </c>
      <c r="J31" s="51">
        <f>ROUND(I31*1.2,2)</f>
        <v>8447.4</v>
      </c>
      <c r="K31" s="52">
        <f t="shared" si="12"/>
        <v>7039.5</v>
      </c>
      <c r="L31" s="51">
        <f t="shared" si="12"/>
        <v>8447.4</v>
      </c>
      <c r="M31" s="71"/>
    </row>
    <row r="32" spans="1:13" ht="38.25" customHeight="1" x14ac:dyDescent="0.25">
      <c r="A32" s="30">
        <f>A29+1</f>
        <v>17</v>
      </c>
      <c r="B32" s="73" t="s">
        <v>70</v>
      </c>
      <c r="C32" s="38" t="s">
        <v>24</v>
      </c>
      <c r="D32" s="160">
        <v>1.77</v>
      </c>
      <c r="E32" s="34">
        <v>8327.42</v>
      </c>
      <c r="F32" s="33">
        <f t="shared" ref="F32" si="15">ROUND(E32*D32,2)</f>
        <v>14739.53</v>
      </c>
      <c r="G32" s="33">
        <f t="shared" ref="G32" si="16">ROUND(F32*1.2,2)</f>
        <v>17687.439999999999</v>
      </c>
      <c r="H32" s="61"/>
      <c r="I32" s="62"/>
      <c r="J32" s="62"/>
      <c r="K32" s="64">
        <f t="shared" si="12"/>
        <v>14739.53</v>
      </c>
      <c r="L32" s="42">
        <f t="shared" si="12"/>
        <v>17687.439999999999</v>
      </c>
    </row>
    <row r="33" spans="1:13" ht="19.5" customHeight="1" x14ac:dyDescent="0.25">
      <c r="A33" s="46" t="s">
        <v>63</v>
      </c>
      <c r="B33" s="47" t="s">
        <v>72</v>
      </c>
      <c r="C33" s="48" t="s">
        <v>24</v>
      </c>
      <c r="D33" s="49">
        <f>1.02*1.77</f>
        <v>1.8054000000000001</v>
      </c>
      <c r="E33" s="50"/>
      <c r="F33" s="51"/>
      <c r="G33" s="51"/>
      <c r="H33" s="51">
        <v>5322.58</v>
      </c>
      <c r="I33" s="51">
        <f>ROUND(H33*D33,2)</f>
        <v>9609.39</v>
      </c>
      <c r="J33" s="51">
        <f>ROUND(I33*1.2,2)</f>
        <v>11531.27</v>
      </c>
      <c r="K33" s="52">
        <f t="shared" si="12"/>
        <v>9609.39</v>
      </c>
      <c r="L33" s="51">
        <f t="shared" si="12"/>
        <v>11531.27</v>
      </c>
      <c r="M33" s="69"/>
    </row>
    <row r="34" spans="1:13" ht="45.75" customHeight="1" x14ac:dyDescent="0.25">
      <c r="A34" s="38">
        <f>A32+1</f>
        <v>18</v>
      </c>
      <c r="B34" s="99" t="s">
        <v>67</v>
      </c>
      <c r="C34" s="100" t="s">
        <v>66</v>
      </c>
      <c r="D34" s="150">
        <v>1</v>
      </c>
      <c r="E34" s="34">
        <v>3190.34</v>
      </c>
      <c r="F34" s="33">
        <f t="shared" ref="F34" si="17">ROUND(E34*D34,2)</f>
        <v>3190.34</v>
      </c>
      <c r="G34" s="33">
        <f t="shared" ref="G34" si="18">ROUND(F34*1.2,2)</f>
        <v>3828.41</v>
      </c>
      <c r="H34" s="61"/>
      <c r="I34" s="62"/>
      <c r="J34" s="62"/>
      <c r="K34" s="64">
        <f t="shared" si="12"/>
        <v>3190.34</v>
      </c>
      <c r="L34" s="42">
        <f t="shared" si="12"/>
        <v>3828.41</v>
      </c>
    </row>
    <row r="35" spans="1:13" ht="32.25" customHeight="1" x14ac:dyDescent="0.25">
      <c r="A35" s="46" t="s">
        <v>68</v>
      </c>
      <c r="B35" s="47" t="s">
        <v>240</v>
      </c>
      <c r="C35" s="48" t="s">
        <v>66</v>
      </c>
      <c r="D35" s="72">
        <v>1</v>
      </c>
      <c r="E35" s="50"/>
      <c r="F35" s="51"/>
      <c r="G35" s="51"/>
      <c r="H35" s="51">
        <v>731.5</v>
      </c>
      <c r="I35" s="51">
        <f>ROUND(H35*D35,2)</f>
        <v>731.5</v>
      </c>
      <c r="J35" s="51">
        <f>ROUND(I35*1.2,2)</f>
        <v>877.8</v>
      </c>
      <c r="K35" s="52">
        <f t="shared" si="12"/>
        <v>731.5</v>
      </c>
      <c r="L35" s="51">
        <f t="shared" si="12"/>
        <v>877.8</v>
      </c>
    </row>
    <row r="36" spans="1:13" ht="30" customHeight="1" x14ac:dyDescent="0.25">
      <c r="A36" s="38">
        <f>A34+1</f>
        <v>19</v>
      </c>
      <c r="B36" s="99" t="s">
        <v>56</v>
      </c>
      <c r="C36" s="100" t="s">
        <v>22</v>
      </c>
      <c r="D36" s="150">
        <v>51</v>
      </c>
      <c r="E36" s="34">
        <v>966.15</v>
      </c>
      <c r="F36" s="33">
        <f t="shared" ref="F36:F40" si="19">ROUND(E36*D36,2)</f>
        <v>49273.65</v>
      </c>
      <c r="G36" s="33">
        <f t="shared" ref="G36:G40" si="20">ROUND(F36*1.2,2)</f>
        <v>59128.38</v>
      </c>
      <c r="H36" s="61"/>
      <c r="I36" s="62"/>
      <c r="J36" s="62"/>
      <c r="K36" s="64">
        <f t="shared" si="12"/>
        <v>49273.65</v>
      </c>
      <c r="L36" s="42">
        <f t="shared" si="12"/>
        <v>59128.38</v>
      </c>
      <c r="M36" s="71"/>
    </row>
    <row r="37" spans="1:13" ht="20.25" customHeight="1" x14ac:dyDescent="0.25">
      <c r="A37" s="46" t="s">
        <v>71</v>
      </c>
      <c r="B37" s="47" t="s">
        <v>238</v>
      </c>
      <c r="C37" s="48" t="s">
        <v>22</v>
      </c>
      <c r="D37" s="49">
        <f>1.02*51</f>
        <v>52.02</v>
      </c>
      <c r="E37" s="50"/>
      <c r="F37" s="51"/>
      <c r="G37" s="51"/>
      <c r="H37" s="68">
        <v>407.29</v>
      </c>
      <c r="I37" s="51">
        <f>ROUND(H37*D37,2)</f>
        <v>21187.23</v>
      </c>
      <c r="J37" s="51">
        <f>ROUND(I37*1.2,2)</f>
        <v>25424.68</v>
      </c>
      <c r="K37" s="52">
        <f t="shared" si="12"/>
        <v>21187.23</v>
      </c>
      <c r="L37" s="51">
        <f t="shared" si="12"/>
        <v>25424.68</v>
      </c>
      <c r="M37" s="69"/>
    </row>
    <row r="38" spans="1:13" ht="31.5" customHeight="1" x14ac:dyDescent="0.25">
      <c r="A38" s="38">
        <f>A36+1</f>
        <v>20</v>
      </c>
      <c r="B38" s="99" t="s">
        <v>241</v>
      </c>
      <c r="C38" s="100" t="s">
        <v>66</v>
      </c>
      <c r="D38" s="150">
        <v>1</v>
      </c>
      <c r="E38" s="34">
        <v>3791.45</v>
      </c>
      <c r="F38" s="33">
        <f t="shared" si="19"/>
        <v>3791.45</v>
      </c>
      <c r="G38" s="33">
        <f t="shared" si="20"/>
        <v>4549.74</v>
      </c>
      <c r="H38" s="61"/>
      <c r="I38" s="62"/>
      <c r="J38" s="62"/>
      <c r="K38" s="64">
        <f t="shared" si="12"/>
        <v>3791.45</v>
      </c>
      <c r="L38" s="42">
        <f t="shared" si="12"/>
        <v>4549.74</v>
      </c>
    </row>
    <row r="39" spans="1:13" ht="23.25" customHeight="1" x14ac:dyDescent="0.25">
      <c r="A39" s="46" t="s">
        <v>76</v>
      </c>
      <c r="B39" s="47" t="s">
        <v>242</v>
      </c>
      <c r="C39" s="48" t="s">
        <v>66</v>
      </c>
      <c r="D39" s="72">
        <v>1</v>
      </c>
      <c r="E39" s="50"/>
      <c r="F39" s="51"/>
      <c r="G39" s="51"/>
      <c r="H39" s="51">
        <v>6897</v>
      </c>
      <c r="I39" s="51">
        <f>ROUND(H39*D39,2)</f>
        <v>6897</v>
      </c>
      <c r="J39" s="51">
        <f>ROUND(I39*1.2,2)</f>
        <v>8276.4</v>
      </c>
      <c r="K39" s="52">
        <f t="shared" si="12"/>
        <v>6897</v>
      </c>
      <c r="L39" s="51">
        <f t="shared" si="12"/>
        <v>8276.4</v>
      </c>
    </row>
    <row r="40" spans="1:13" ht="29.25" customHeight="1" x14ac:dyDescent="0.25">
      <c r="A40" s="38">
        <f>A38+1</f>
        <v>21</v>
      </c>
      <c r="B40" s="99" t="s">
        <v>243</v>
      </c>
      <c r="C40" s="100" t="s">
        <v>66</v>
      </c>
      <c r="D40" s="150">
        <v>1</v>
      </c>
      <c r="E40" s="34">
        <v>1389.85</v>
      </c>
      <c r="F40" s="33">
        <f t="shared" si="19"/>
        <v>1389.85</v>
      </c>
      <c r="G40" s="33">
        <f t="shared" si="20"/>
        <v>1667.82</v>
      </c>
      <c r="H40" s="61"/>
      <c r="I40" s="62"/>
      <c r="J40" s="62"/>
      <c r="K40" s="64">
        <f t="shared" si="12"/>
        <v>1389.85</v>
      </c>
      <c r="L40" s="42">
        <f t="shared" si="12"/>
        <v>1667.82</v>
      </c>
      <c r="M40" s="71"/>
    </row>
    <row r="41" spans="1:13" ht="21.75" customHeight="1" x14ac:dyDescent="0.25">
      <c r="A41" s="46" t="s">
        <v>78</v>
      </c>
      <c r="B41" s="47" t="s">
        <v>145</v>
      </c>
      <c r="C41" s="48" t="s">
        <v>66</v>
      </c>
      <c r="D41" s="72">
        <v>1</v>
      </c>
      <c r="E41" s="50"/>
      <c r="F41" s="51"/>
      <c r="G41" s="51"/>
      <c r="H41" s="51">
        <v>585.20000000000005</v>
      </c>
      <c r="I41" s="51">
        <f>ROUND(H41*D41,2)</f>
        <v>585.20000000000005</v>
      </c>
      <c r="J41" s="51">
        <f>ROUND(I41*1.2,2)</f>
        <v>702.24</v>
      </c>
      <c r="K41" s="52">
        <f t="shared" ref="K41:L41" si="21">F41+I41</f>
        <v>585.20000000000005</v>
      </c>
      <c r="L41" s="51">
        <f t="shared" si="21"/>
        <v>702.24</v>
      </c>
      <c r="M41" s="71"/>
    </row>
    <row r="42" spans="1:13" ht="21.75" customHeight="1" x14ac:dyDescent="0.25">
      <c r="A42" s="30"/>
      <c r="B42" s="114" t="s">
        <v>244</v>
      </c>
      <c r="C42" s="38"/>
      <c r="D42" s="39"/>
      <c r="E42" s="34"/>
      <c r="F42" s="35"/>
      <c r="G42" s="35"/>
      <c r="H42" s="67"/>
      <c r="I42" s="35"/>
      <c r="J42" s="35"/>
      <c r="K42" s="64"/>
      <c r="L42" s="42"/>
    </row>
    <row r="43" spans="1:13" ht="15.75" x14ac:dyDescent="0.25">
      <c r="A43" s="46"/>
      <c r="B43" s="43" t="s">
        <v>45</v>
      </c>
      <c r="C43" s="38"/>
      <c r="D43" s="39"/>
      <c r="E43" s="34"/>
      <c r="F43" s="35"/>
      <c r="G43" s="35"/>
      <c r="H43" s="35"/>
      <c r="I43" s="35"/>
      <c r="J43" s="35"/>
      <c r="K43" s="32"/>
      <c r="L43" s="35"/>
    </row>
    <row r="44" spans="1:13" ht="18.75" customHeight="1" x14ac:dyDescent="0.25">
      <c r="A44" s="30">
        <f>A40+1</f>
        <v>22</v>
      </c>
      <c r="B44" s="99" t="s">
        <v>46</v>
      </c>
      <c r="C44" s="100" t="s">
        <v>24</v>
      </c>
      <c r="D44" s="151">
        <v>168.14</v>
      </c>
      <c r="E44" s="34">
        <v>308.75</v>
      </c>
      <c r="F44" s="33">
        <f t="shared" ref="F44:F46" si="22">ROUND(E44*D44,2)</f>
        <v>51913.23</v>
      </c>
      <c r="G44" s="33">
        <f t="shared" ref="G44:G46" si="23">ROUND(F44*1.2,2)</f>
        <v>62295.88</v>
      </c>
      <c r="H44" s="61"/>
      <c r="I44" s="62"/>
      <c r="J44" s="62"/>
      <c r="K44" s="64">
        <f t="shared" ref="K44:L58" si="24">F44+I44</f>
        <v>51913.23</v>
      </c>
      <c r="L44" s="42">
        <f t="shared" si="24"/>
        <v>62295.88</v>
      </c>
    </row>
    <row r="45" spans="1:13" ht="18.75" customHeight="1" x14ac:dyDescent="0.25">
      <c r="A45" s="38">
        <f>A44+1</f>
        <v>23</v>
      </c>
      <c r="B45" s="99" t="s">
        <v>47</v>
      </c>
      <c r="C45" s="100" t="s">
        <v>24</v>
      </c>
      <c r="D45" s="151">
        <v>5.2</v>
      </c>
      <c r="E45" s="34">
        <v>1688.15</v>
      </c>
      <c r="F45" s="33">
        <f t="shared" si="22"/>
        <v>8778.3799999999992</v>
      </c>
      <c r="G45" s="33">
        <f t="shared" si="23"/>
        <v>10534.06</v>
      </c>
      <c r="H45" s="61"/>
      <c r="I45" s="62"/>
      <c r="J45" s="62"/>
      <c r="K45" s="64">
        <f t="shared" si="24"/>
        <v>8778.3799999999992</v>
      </c>
      <c r="L45" s="42">
        <f t="shared" si="24"/>
        <v>10534.06</v>
      </c>
    </row>
    <row r="46" spans="1:13" ht="18.75" customHeight="1" x14ac:dyDescent="0.25">
      <c r="A46" s="38">
        <f>A45+1</f>
        <v>24</v>
      </c>
      <c r="B46" s="37" t="s">
        <v>245</v>
      </c>
      <c r="C46" s="38" t="s">
        <v>24</v>
      </c>
      <c r="D46" s="151">
        <v>2.57</v>
      </c>
      <c r="E46" s="34">
        <v>2057.89</v>
      </c>
      <c r="F46" s="42">
        <f t="shared" si="22"/>
        <v>5288.78</v>
      </c>
      <c r="G46" s="42">
        <f t="shared" si="23"/>
        <v>6346.54</v>
      </c>
      <c r="H46" s="34"/>
      <c r="I46" s="42"/>
      <c r="J46" s="42"/>
      <c r="K46" s="64">
        <f t="shared" si="24"/>
        <v>5288.78</v>
      </c>
      <c r="L46" s="42">
        <f t="shared" si="24"/>
        <v>6346.54</v>
      </c>
    </row>
    <row r="47" spans="1:13" ht="18.75" customHeight="1" x14ac:dyDescent="0.25">
      <c r="A47" s="46" t="s">
        <v>88</v>
      </c>
      <c r="B47" s="47" t="s">
        <v>159</v>
      </c>
      <c r="C47" s="48" t="s">
        <v>24</v>
      </c>
      <c r="D47" s="49">
        <f>2.57*1.26</f>
        <v>3.2382</v>
      </c>
      <c r="E47" s="50"/>
      <c r="F47" s="68"/>
      <c r="G47" s="68"/>
      <c r="H47" s="50">
        <v>2827.08</v>
      </c>
      <c r="I47" s="51">
        <f>ROUND(H47*D47,2)</f>
        <v>9154.65</v>
      </c>
      <c r="J47" s="51">
        <f>ROUND(I47*1.2,2)</f>
        <v>10985.58</v>
      </c>
      <c r="K47" s="52">
        <f t="shared" si="24"/>
        <v>9154.65</v>
      </c>
      <c r="L47" s="51">
        <f t="shared" si="24"/>
        <v>10985.58</v>
      </c>
      <c r="M47" s="69"/>
    </row>
    <row r="48" spans="1:13" ht="18.75" customHeight="1" x14ac:dyDescent="0.25">
      <c r="A48" s="38">
        <f>A46+1</f>
        <v>25</v>
      </c>
      <c r="B48" s="73" t="s">
        <v>246</v>
      </c>
      <c r="C48" s="38" t="s">
        <v>24</v>
      </c>
      <c r="D48" s="151">
        <v>128.63</v>
      </c>
      <c r="E48" s="34">
        <v>1310.05</v>
      </c>
      <c r="F48" s="42">
        <f t="shared" ref="F48" si="25">ROUND(E48*D48,2)</f>
        <v>168511.73</v>
      </c>
      <c r="G48" s="42">
        <f t="shared" ref="G48" si="26">ROUND(F48*1.2,2)</f>
        <v>202214.08</v>
      </c>
      <c r="H48" s="34"/>
      <c r="I48" s="35"/>
      <c r="J48" s="35"/>
      <c r="K48" s="32">
        <f t="shared" si="24"/>
        <v>168511.73</v>
      </c>
      <c r="L48" s="35">
        <f t="shared" si="24"/>
        <v>202214.08</v>
      </c>
    </row>
    <row r="49" spans="1:13" ht="18.75" customHeight="1" x14ac:dyDescent="0.25">
      <c r="A49" s="46" t="s">
        <v>91</v>
      </c>
      <c r="B49" s="47" t="s">
        <v>50</v>
      </c>
      <c r="C49" s="48" t="s">
        <v>24</v>
      </c>
      <c r="D49" s="49">
        <f>128.63*1.1</f>
        <v>141.49299999999999</v>
      </c>
      <c r="E49" s="50"/>
      <c r="F49" s="51"/>
      <c r="G49" s="51"/>
      <c r="H49" s="51">
        <v>1191.3</v>
      </c>
      <c r="I49" s="51">
        <f>ROUND(H49*D49,2)</f>
        <v>168560.61</v>
      </c>
      <c r="J49" s="51">
        <f>ROUND(I49*1.2,2)</f>
        <v>202272.73</v>
      </c>
      <c r="K49" s="52">
        <f t="shared" si="24"/>
        <v>168560.61</v>
      </c>
      <c r="L49" s="51">
        <f t="shared" si="24"/>
        <v>202272.73</v>
      </c>
    </row>
    <row r="50" spans="1:13" ht="18.75" customHeight="1" x14ac:dyDescent="0.25">
      <c r="A50" s="38">
        <f>A48+1</f>
        <v>26</v>
      </c>
      <c r="B50" s="99" t="s">
        <v>53</v>
      </c>
      <c r="C50" s="100" t="s">
        <v>24</v>
      </c>
      <c r="D50" s="151">
        <v>128.63</v>
      </c>
      <c r="E50" s="34">
        <v>188.1</v>
      </c>
      <c r="F50" s="33">
        <f t="shared" ref="F50" si="27">ROUND(E50*D50,2)</f>
        <v>24195.3</v>
      </c>
      <c r="G50" s="33">
        <f t="shared" ref="G50:G51" si="28">ROUND(F50*1.2,2)</f>
        <v>29034.36</v>
      </c>
      <c r="H50" s="64"/>
      <c r="I50" s="35"/>
      <c r="J50" s="35"/>
      <c r="K50" s="64">
        <f t="shared" si="24"/>
        <v>24195.3</v>
      </c>
      <c r="L50" s="42">
        <f t="shared" si="24"/>
        <v>29034.36</v>
      </c>
    </row>
    <row r="51" spans="1:13" ht="18.75" customHeight="1" x14ac:dyDescent="0.25">
      <c r="A51" s="38">
        <f>A50+1</f>
        <v>27</v>
      </c>
      <c r="B51" s="37" t="s">
        <v>54</v>
      </c>
      <c r="C51" s="38" t="s">
        <v>38</v>
      </c>
      <c r="D51" s="151">
        <v>263.3</v>
      </c>
      <c r="E51" s="34">
        <v>308.75</v>
      </c>
      <c r="F51" s="35">
        <f>ROUND(E51*D51,2)</f>
        <v>81293.88</v>
      </c>
      <c r="G51" s="35">
        <f t="shared" si="28"/>
        <v>97552.66</v>
      </c>
      <c r="H51" s="64"/>
      <c r="I51" s="35"/>
      <c r="J51" s="35"/>
      <c r="K51" s="64">
        <f t="shared" si="24"/>
        <v>81293.88</v>
      </c>
      <c r="L51" s="42">
        <f t="shared" si="24"/>
        <v>97552.66</v>
      </c>
    </row>
    <row r="52" spans="1:13" ht="18.75" customHeight="1" x14ac:dyDescent="0.25">
      <c r="A52" s="46"/>
      <c r="B52" s="43" t="s">
        <v>247</v>
      </c>
      <c r="C52" s="38"/>
      <c r="D52" s="39"/>
      <c r="E52" s="34"/>
      <c r="F52" s="35"/>
      <c r="G52" s="35"/>
      <c r="H52" s="67"/>
      <c r="I52" s="35"/>
      <c r="J52" s="35"/>
      <c r="K52" s="32">
        <f t="shared" si="24"/>
        <v>0</v>
      </c>
      <c r="L52" s="35">
        <f t="shared" si="24"/>
        <v>0</v>
      </c>
    </row>
    <row r="53" spans="1:13" ht="18.75" customHeight="1" x14ac:dyDescent="0.25">
      <c r="A53" s="38">
        <f>A51+1</f>
        <v>28</v>
      </c>
      <c r="B53" s="73" t="s">
        <v>248</v>
      </c>
      <c r="C53" s="100" t="s">
        <v>24</v>
      </c>
      <c r="D53" s="151">
        <v>1.31</v>
      </c>
      <c r="E53" s="34">
        <v>6804.09</v>
      </c>
      <c r="F53" s="35">
        <f>ROUND(E53*D53,2)</f>
        <v>8913.36</v>
      </c>
      <c r="G53" s="35">
        <f t="shared" ref="G53" si="29">ROUND(F53*1.2,2)</f>
        <v>10696.03</v>
      </c>
      <c r="H53" s="64"/>
      <c r="I53" s="35"/>
      <c r="J53" s="35"/>
      <c r="K53" s="64">
        <f t="shared" si="24"/>
        <v>8913.36</v>
      </c>
      <c r="L53" s="42">
        <f t="shared" si="24"/>
        <v>10696.03</v>
      </c>
    </row>
    <row r="54" spans="1:13" ht="18.75" customHeight="1" x14ac:dyDescent="0.25">
      <c r="A54" s="46" t="s">
        <v>101</v>
      </c>
      <c r="B54" s="78" t="s">
        <v>249</v>
      </c>
      <c r="C54" s="48" t="s">
        <v>24</v>
      </c>
      <c r="D54" s="76">
        <f>1.02*1.31</f>
        <v>1.3362000000000001</v>
      </c>
      <c r="E54" s="50"/>
      <c r="F54" s="51"/>
      <c r="G54" s="51"/>
      <c r="H54" s="104">
        <v>6230</v>
      </c>
      <c r="I54" s="51">
        <f>ROUND(H54*D54,2)</f>
        <v>8324.5300000000007</v>
      </c>
      <c r="J54" s="51">
        <f>ROUND(I54*1.2,2)</f>
        <v>9989.44</v>
      </c>
      <c r="K54" s="52">
        <f t="shared" si="24"/>
        <v>8324.5300000000007</v>
      </c>
      <c r="L54" s="51">
        <f t="shared" si="24"/>
        <v>9989.44</v>
      </c>
      <c r="M54" s="21" t="s">
        <v>80</v>
      </c>
    </row>
    <row r="55" spans="1:13" ht="18.75" customHeight="1" x14ac:dyDescent="0.25">
      <c r="A55" s="38">
        <f>A53+1</f>
        <v>29</v>
      </c>
      <c r="B55" s="99" t="s">
        <v>250</v>
      </c>
      <c r="C55" s="100" t="s">
        <v>24</v>
      </c>
      <c r="D55" s="151">
        <v>3.92</v>
      </c>
      <c r="E55" s="45">
        <v>9602.2199999999993</v>
      </c>
      <c r="F55" s="35">
        <f>ROUND(E55*D55,2)</f>
        <v>37640.699999999997</v>
      </c>
      <c r="G55" s="35">
        <f t="shared" ref="G55" si="30">ROUND(F55*1.2,2)</f>
        <v>45168.84</v>
      </c>
      <c r="H55" s="64"/>
      <c r="I55" s="35"/>
      <c r="J55" s="35"/>
      <c r="K55" s="64">
        <f t="shared" si="24"/>
        <v>37640.699999999997</v>
      </c>
      <c r="L55" s="42">
        <f t="shared" si="24"/>
        <v>45168.84</v>
      </c>
      <c r="M55" s="21" t="s">
        <v>251</v>
      </c>
    </row>
    <row r="56" spans="1:13" ht="18.75" customHeight="1" x14ac:dyDescent="0.25">
      <c r="A56" s="46" t="s">
        <v>104</v>
      </c>
      <c r="B56" s="78" t="s">
        <v>252</v>
      </c>
      <c r="C56" s="48" t="s">
        <v>24</v>
      </c>
      <c r="D56" s="76">
        <f>1.02*3.92</f>
        <v>3.9984000000000002</v>
      </c>
      <c r="E56" s="50"/>
      <c r="F56" s="51"/>
      <c r="G56" s="51"/>
      <c r="H56" s="104">
        <v>6230</v>
      </c>
      <c r="I56" s="51">
        <f>ROUND(H56*D56,2)</f>
        <v>24910.03</v>
      </c>
      <c r="J56" s="51">
        <f>ROUND(I56*1.2,2)</f>
        <v>29892.04</v>
      </c>
      <c r="K56" s="52">
        <f t="shared" si="24"/>
        <v>24910.03</v>
      </c>
      <c r="L56" s="51">
        <f t="shared" si="24"/>
        <v>29892.04</v>
      </c>
      <c r="M56" s="21" t="s">
        <v>80</v>
      </c>
    </row>
    <row r="57" spans="1:13" ht="18.75" customHeight="1" x14ac:dyDescent="0.25">
      <c r="A57" s="46" t="s">
        <v>253</v>
      </c>
      <c r="B57" s="78" t="s">
        <v>254</v>
      </c>
      <c r="C57" s="48" t="s">
        <v>130</v>
      </c>
      <c r="D57" s="89">
        <f>434.5</f>
        <v>434.5</v>
      </c>
      <c r="E57" s="50"/>
      <c r="F57" s="51"/>
      <c r="G57" s="51"/>
      <c r="H57" s="104">
        <v>80.75</v>
      </c>
      <c r="I57" s="51">
        <f t="shared" ref="I57:I58" si="31">ROUND(H57*D57,2)</f>
        <v>35085.879999999997</v>
      </c>
      <c r="J57" s="51">
        <f t="shared" ref="J57:J58" si="32">ROUND(I57*1.2,2)</f>
        <v>42103.06</v>
      </c>
      <c r="K57" s="52">
        <f t="shared" si="24"/>
        <v>35085.879999999997</v>
      </c>
      <c r="L57" s="51">
        <f t="shared" si="24"/>
        <v>42103.06</v>
      </c>
      <c r="M57" s="21" t="s">
        <v>255</v>
      </c>
    </row>
    <row r="58" spans="1:13" ht="18.75" customHeight="1" x14ac:dyDescent="0.25">
      <c r="A58" s="46" t="s">
        <v>256</v>
      </c>
      <c r="B58" s="78" t="s">
        <v>257</v>
      </c>
      <c r="C58" s="48" t="s">
        <v>130</v>
      </c>
      <c r="D58" s="76">
        <f>14.55+4.92</f>
        <v>19.47</v>
      </c>
      <c r="E58" s="50"/>
      <c r="F58" s="51"/>
      <c r="G58" s="51"/>
      <c r="H58" s="104">
        <v>80.75</v>
      </c>
      <c r="I58" s="51">
        <f t="shared" si="31"/>
        <v>1572.2</v>
      </c>
      <c r="J58" s="51">
        <f t="shared" si="32"/>
        <v>1886.64</v>
      </c>
      <c r="K58" s="52">
        <f t="shared" si="24"/>
        <v>1572.2</v>
      </c>
      <c r="L58" s="51">
        <f t="shared" si="24"/>
        <v>1886.64</v>
      </c>
      <c r="M58" s="21" t="s">
        <v>255</v>
      </c>
    </row>
    <row r="59" spans="1:13" ht="18.75" customHeight="1" x14ac:dyDescent="0.25">
      <c r="A59" s="46"/>
      <c r="B59" s="43" t="s">
        <v>258</v>
      </c>
      <c r="C59" s="38"/>
      <c r="D59" s="105"/>
      <c r="E59" s="34"/>
      <c r="F59" s="35"/>
      <c r="G59" s="35"/>
      <c r="H59" s="67"/>
      <c r="I59" s="35"/>
      <c r="J59" s="35"/>
      <c r="K59" s="32"/>
      <c r="L59" s="35"/>
    </row>
    <row r="60" spans="1:13" ht="18.75" customHeight="1" x14ac:dyDescent="0.25">
      <c r="A60" s="30">
        <f>A55+1</f>
        <v>30</v>
      </c>
      <c r="B60" s="73" t="s">
        <v>259</v>
      </c>
      <c r="C60" s="38" t="s">
        <v>66</v>
      </c>
      <c r="D60" s="156">
        <v>63</v>
      </c>
      <c r="E60" s="34">
        <f>ROUND(1452.55*1.33,2)</f>
        <v>1931.89</v>
      </c>
      <c r="F60" s="35">
        <f>ROUND(E60*D60,2)</f>
        <v>121709.07</v>
      </c>
      <c r="G60" s="35">
        <f t="shared" ref="G60" si="33">ROUND(F60*1.2,2)</f>
        <v>146050.88</v>
      </c>
      <c r="H60" s="64"/>
      <c r="I60" s="35"/>
      <c r="J60" s="35"/>
      <c r="K60" s="64">
        <f t="shared" ref="K60:L65" si="34">F60+I60</f>
        <v>121709.07</v>
      </c>
      <c r="L60" s="42">
        <f t="shared" si="34"/>
        <v>146050.88</v>
      </c>
      <c r="M60" s="71"/>
    </row>
    <row r="61" spans="1:13" ht="18.75" customHeight="1" x14ac:dyDescent="0.25">
      <c r="A61" s="46" t="s">
        <v>107</v>
      </c>
      <c r="B61" s="78" t="s">
        <v>260</v>
      </c>
      <c r="C61" s="48" t="s">
        <v>66</v>
      </c>
      <c r="D61" s="90">
        <v>63</v>
      </c>
      <c r="E61" s="50"/>
      <c r="F61" s="51"/>
      <c r="G61" s="51"/>
      <c r="H61" s="104">
        <f>ROUND(3900/1.2*1.15,2)</f>
        <v>3737.5</v>
      </c>
      <c r="I61" s="51">
        <f t="shared" ref="I61" si="35">ROUND(H61*D61,2)</f>
        <v>235462.5</v>
      </c>
      <c r="J61" s="51">
        <f t="shared" ref="J61" si="36">ROUND(I61*1.2,2)</f>
        <v>282555</v>
      </c>
      <c r="K61" s="52">
        <f t="shared" si="34"/>
        <v>235462.5</v>
      </c>
      <c r="L61" s="51">
        <f t="shared" si="34"/>
        <v>282555</v>
      </c>
      <c r="M61" s="69" t="s">
        <v>80</v>
      </c>
    </row>
    <row r="62" spans="1:13" ht="18.75" customHeight="1" x14ac:dyDescent="0.25">
      <c r="A62" s="38">
        <f>A60+1</f>
        <v>31</v>
      </c>
      <c r="B62" s="73" t="s">
        <v>261</v>
      </c>
      <c r="C62" s="38" t="s">
        <v>35</v>
      </c>
      <c r="D62" s="157">
        <v>35.51</v>
      </c>
      <c r="E62" s="34">
        <v>144.4</v>
      </c>
      <c r="F62" s="35">
        <f>ROUND(E62*D62,2)</f>
        <v>5127.6400000000003</v>
      </c>
      <c r="G62" s="35">
        <f t="shared" ref="G62" si="37">ROUND(F62*1.2,2)</f>
        <v>6153.17</v>
      </c>
      <c r="H62" s="64"/>
      <c r="I62" s="35"/>
      <c r="J62" s="35"/>
      <c r="K62" s="64">
        <f t="shared" si="34"/>
        <v>5127.6400000000003</v>
      </c>
      <c r="L62" s="42">
        <f t="shared" si="34"/>
        <v>6153.17</v>
      </c>
      <c r="M62" s="71" t="s">
        <v>262</v>
      </c>
    </row>
    <row r="63" spans="1:13" ht="18.75" customHeight="1" x14ac:dyDescent="0.25">
      <c r="A63" s="46" t="s">
        <v>110</v>
      </c>
      <c r="B63" s="78" t="s">
        <v>263</v>
      </c>
      <c r="C63" s="48" t="s">
        <v>220</v>
      </c>
      <c r="D63" s="76">
        <f>MROUND(35.51*0.3*20/16,2)</f>
        <v>14</v>
      </c>
      <c r="E63" s="50"/>
      <c r="F63" s="51"/>
      <c r="G63" s="51"/>
      <c r="H63" s="104">
        <v>237.5</v>
      </c>
      <c r="I63" s="51">
        <f t="shared" ref="I63" si="38">ROUND(H63*D63,2)</f>
        <v>3325</v>
      </c>
      <c r="J63" s="51">
        <f t="shared" ref="J63" si="39">ROUND(I63*1.2,2)</f>
        <v>3990</v>
      </c>
      <c r="K63" s="52">
        <f t="shared" si="34"/>
        <v>3325</v>
      </c>
      <c r="L63" s="51">
        <f t="shared" si="34"/>
        <v>3990</v>
      </c>
    </row>
    <row r="64" spans="1:13" ht="18.75" customHeight="1" x14ac:dyDescent="0.25">
      <c r="A64" s="38">
        <f>A62+1</f>
        <v>32</v>
      </c>
      <c r="B64" s="73" t="s">
        <v>264</v>
      </c>
      <c r="C64" s="38" t="s">
        <v>35</v>
      </c>
      <c r="D64" s="157">
        <v>35.51</v>
      </c>
      <c r="E64" s="34">
        <v>299.76</v>
      </c>
      <c r="F64" s="35">
        <f>ROUND(E64*D64,2)</f>
        <v>10644.48</v>
      </c>
      <c r="G64" s="35">
        <f t="shared" ref="G64" si="40">ROUND(F64*1.2,2)</f>
        <v>12773.38</v>
      </c>
      <c r="H64" s="64"/>
      <c r="I64" s="35"/>
      <c r="J64" s="35"/>
      <c r="K64" s="64">
        <f t="shared" si="34"/>
        <v>10644.48</v>
      </c>
      <c r="L64" s="42">
        <f t="shared" si="34"/>
        <v>12773.38</v>
      </c>
      <c r="M64" s="71" t="s">
        <v>262</v>
      </c>
    </row>
    <row r="65" spans="1:13" ht="18.75" customHeight="1" x14ac:dyDescent="0.25">
      <c r="A65" s="46" t="s">
        <v>113</v>
      </c>
      <c r="B65" s="78" t="s">
        <v>265</v>
      </c>
      <c r="C65" s="48" t="s">
        <v>130</v>
      </c>
      <c r="D65" s="76">
        <f>MROUND(35.51*0.7*2,2)</f>
        <v>50</v>
      </c>
      <c r="E65" s="50"/>
      <c r="F65" s="51"/>
      <c r="G65" s="51"/>
      <c r="H65" s="104">
        <v>296.39999999999998</v>
      </c>
      <c r="I65" s="51">
        <f t="shared" ref="I65" si="41">ROUND(H65*D65,2)</f>
        <v>14820</v>
      </c>
      <c r="J65" s="51">
        <f t="shared" ref="J65" si="42">ROUND(I65*1.2,2)</f>
        <v>17784</v>
      </c>
      <c r="K65" s="52">
        <f t="shared" si="34"/>
        <v>14820</v>
      </c>
      <c r="L65" s="51">
        <f t="shared" si="34"/>
        <v>17784</v>
      </c>
    </row>
    <row r="66" spans="1:13" s="66" customFormat="1" ht="20.25" customHeight="1" x14ac:dyDescent="0.25">
      <c r="A66" s="46"/>
      <c r="B66" s="115" t="s">
        <v>266</v>
      </c>
      <c r="C66" s="38"/>
      <c r="D66" s="105"/>
      <c r="E66" s="35"/>
      <c r="F66" s="35"/>
      <c r="G66" s="35"/>
      <c r="H66" s="35"/>
      <c r="I66" s="35"/>
      <c r="J66" s="35"/>
      <c r="K66" s="32"/>
      <c r="L66" s="35"/>
      <c r="M66" s="65"/>
    </row>
    <row r="67" spans="1:13" ht="18.75" customHeight="1" x14ac:dyDescent="0.25">
      <c r="A67" s="30">
        <f>A64+1</f>
        <v>33</v>
      </c>
      <c r="B67" s="99" t="s">
        <v>250</v>
      </c>
      <c r="C67" s="100" t="s">
        <v>24</v>
      </c>
      <c r="D67" s="151">
        <v>3.69</v>
      </c>
      <c r="E67" s="45">
        <v>9602.2199999999993</v>
      </c>
      <c r="F67" s="35">
        <f>ROUND(E67*D67,2)</f>
        <v>35432.19</v>
      </c>
      <c r="G67" s="35">
        <f t="shared" ref="G67" si="43">ROUND(F67*1.2,2)</f>
        <v>42518.63</v>
      </c>
      <c r="H67" s="64"/>
      <c r="I67" s="35"/>
      <c r="J67" s="35"/>
      <c r="K67" s="64">
        <f t="shared" ref="K67:L80" si="44">F67+I67</f>
        <v>35432.19</v>
      </c>
      <c r="L67" s="42">
        <f t="shared" si="44"/>
        <v>42518.63</v>
      </c>
      <c r="M67" s="21" t="s">
        <v>251</v>
      </c>
    </row>
    <row r="68" spans="1:13" ht="18.75" customHeight="1" x14ac:dyDescent="0.25">
      <c r="A68" s="46" t="s">
        <v>116</v>
      </c>
      <c r="B68" s="78" t="s">
        <v>252</v>
      </c>
      <c r="C68" s="48" t="s">
        <v>24</v>
      </c>
      <c r="D68" s="76">
        <v>3.69</v>
      </c>
      <c r="E68" s="50"/>
      <c r="F68" s="51"/>
      <c r="G68" s="51"/>
      <c r="H68" s="104">
        <v>6230</v>
      </c>
      <c r="I68" s="51">
        <f>ROUND(H68*D68,2)</f>
        <v>22988.7</v>
      </c>
      <c r="J68" s="51">
        <f>ROUND(I68*1.2,2)</f>
        <v>27586.44</v>
      </c>
      <c r="K68" s="52">
        <f t="shared" si="44"/>
        <v>22988.7</v>
      </c>
      <c r="L68" s="51">
        <f t="shared" si="44"/>
        <v>27586.44</v>
      </c>
      <c r="M68" s="21" t="s">
        <v>80</v>
      </c>
    </row>
    <row r="69" spans="1:13" ht="18.75" customHeight="1" x14ac:dyDescent="0.25">
      <c r="A69" s="46" t="s">
        <v>267</v>
      </c>
      <c r="B69" s="78" t="s">
        <v>254</v>
      </c>
      <c r="C69" s="48" t="s">
        <v>130</v>
      </c>
      <c r="D69" s="89">
        <f>434.5</f>
        <v>434.5</v>
      </c>
      <c r="E69" s="50"/>
      <c r="F69" s="51"/>
      <c r="G69" s="51"/>
      <c r="H69" s="104">
        <v>80.75</v>
      </c>
      <c r="I69" s="51">
        <f t="shared" ref="I69:I70" si="45">ROUND(H69*D69,2)</f>
        <v>35085.879999999997</v>
      </c>
      <c r="J69" s="51">
        <f t="shared" ref="J69:J70" si="46">ROUND(I69*1.2,2)</f>
        <v>42103.06</v>
      </c>
      <c r="K69" s="52">
        <f t="shared" si="44"/>
        <v>35085.879999999997</v>
      </c>
      <c r="L69" s="51">
        <f t="shared" si="44"/>
        <v>42103.06</v>
      </c>
      <c r="M69" s="21" t="s">
        <v>255</v>
      </c>
    </row>
    <row r="70" spans="1:13" ht="18.75" customHeight="1" x14ac:dyDescent="0.25">
      <c r="A70" s="46" t="s">
        <v>268</v>
      </c>
      <c r="B70" s="78" t="s">
        <v>257</v>
      </c>
      <c r="C70" s="48" t="s">
        <v>130</v>
      </c>
      <c r="D70" s="76">
        <f>14.55+4.92</f>
        <v>19.47</v>
      </c>
      <c r="E70" s="50"/>
      <c r="F70" s="51"/>
      <c r="G70" s="51"/>
      <c r="H70" s="104">
        <v>80.75</v>
      </c>
      <c r="I70" s="51">
        <f t="shared" si="45"/>
        <v>1572.2</v>
      </c>
      <c r="J70" s="51">
        <f t="shared" si="46"/>
        <v>1886.64</v>
      </c>
      <c r="K70" s="52">
        <f t="shared" si="44"/>
        <v>1572.2</v>
      </c>
      <c r="L70" s="51">
        <f t="shared" si="44"/>
        <v>1886.64</v>
      </c>
      <c r="M70" s="21" t="s">
        <v>255</v>
      </c>
    </row>
    <row r="71" spans="1:13" ht="18.75" customHeight="1" x14ac:dyDescent="0.25">
      <c r="A71" s="30">
        <f>A67+1</f>
        <v>34</v>
      </c>
      <c r="B71" s="73" t="s">
        <v>269</v>
      </c>
      <c r="C71" s="38" t="s">
        <v>35</v>
      </c>
      <c r="D71" s="157">
        <v>16.920000000000002</v>
      </c>
      <c r="E71" s="34">
        <v>144.4</v>
      </c>
      <c r="F71" s="35">
        <f>ROUND(E71*D71,2)</f>
        <v>2443.25</v>
      </c>
      <c r="G71" s="35">
        <f t="shared" ref="G71" si="47">ROUND(F71*1.2,2)</f>
        <v>2931.9</v>
      </c>
      <c r="H71" s="64"/>
      <c r="I71" s="35"/>
      <c r="J71" s="35"/>
      <c r="K71" s="64">
        <f t="shared" si="44"/>
        <v>2443.25</v>
      </c>
      <c r="L71" s="42">
        <f t="shared" si="44"/>
        <v>2931.9</v>
      </c>
      <c r="M71" s="71" t="s">
        <v>262</v>
      </c>
    </row>
    <row r="72" spans="1:13" ht="18.75" customHeight="1" x14ac:dyDescent="0.25">
      <c r="A72" s="46" t="s">
        <v>120</v>
      </c>
      <c r="B72" s="78" t="s">
        <v>263</v>
      </c>
      <c r="C72" s="48" t="s">
        <v>220</v>
      </c>
      <c r="D72" s="76">
        <f>MROUND(16.92*0.3*20/16,2)</f>
        <v>6</v>
      </c>
      <c r="E72" s="50"/>
      <c r="F72" s="51"/>
      <c r="G72" s="51"/>
      <c r="H72" s="104">
        <v>237.5</v>
      </c>
      <c r="I72" s="51">
        <f t="shared" ref="I72" si="48">ROUND(H72*D72,2)</f>
        <v>1425</v>
      </c>
      <c r="J72" s="51">
        <f t="shared" ref="J72" si="49">ROUND(I72*1.2,2)</f>
        <v>1710</v>
      </c>
      <c r="K72" s="52">
        <f t="shared" si="44"/>
        <v>1425</v>
      </c>
      <c r="L72" s="51">
        <f t="shared" si="44"/>
        <v>1710</v>
      </c>
      <c r="M72" s="71"/>
    </row>
    <row r="73" spans="1:13" ht="18.75" customHeight="1" x14ac:dyDescent="0.25">
      <c r="A73" s="38">
        <f>A71+1</f>
        <v>35</v>
      </c>
      <c r="B73" s="37" t="s">
        <v>270</v>
      </c>
      <c r="C73" s="38" t="s">
        <v>35</v>
      </c>
      <c r="D73" s="157">
        <v>16.920000000000002</v>
      </c>
      <c r="E73" s="34">
        <v>299.76</v>
      </c>
      <c r="F73" s="35">
        <f>ROUND(E73*D73,2)</f>
        <v>5071.9399999999996</v>
      </c>
      <c r="G73" s="35">
        <f t="shared" ref="G73" si="50">ROUND(F73*1.2,2)</f>
        <v>6086.33</v>
      </c>
      <c r="H73" s="64"/>
      <c r="I73" s="35"/>
      <c r="J73" s="35"/>
      <c r="K73" s="64">
        <f t="shared" si="44"/>
        <v>5071.9399999999996</v>
      </c>
      <c r="L73" s="42">
        <f t="shared" si="44"/>
        <v>6086.33</v>
      </c>
      <c r="M73" s="71" t="s">
        <v>262</v>
      </c>
    </row>
    <row r="74" spans="1:13" ht="18.75" customHeight="1" x14ac:dyDescent="0.25">
      <c r="A74" s="46" t="s">
        <v>122</v>
      </c>
      <c r="B74" s="78" t="s">
        <v>265</v>
      </c>
      <c r="C74" s="48" t="s">
        <v>130</v>
      </c>
      <c r="D74" s="76">
        <f>MROUND(16.92*0.7*2,2)</f>
        <v>24</v>
      </c>
      <c r="E74" s="50"/>
      <c r="F74" s="51"/>
      <c r="G74" s="51"/>
      <c r="H74" s="104">
        <v>296.39999999999998</v>
      </c>
      <c r="I74" s="51">
        <f t="shared" ref="I74" si="51">ROUND(H74*D74,2)</f>
        <v>7113.6</v>
      </c>
      <c r="J74" s="51">
        <f t="shared" ref="J74" si="52">ROUND(I74*1.2,2)</f>
        <v>8536.32</v>
      </c>
      <c r="K74" s="52">
        <f t="shared" si="44"/>
        <v>7113.6</v>
      </c>
      <c r="L74" s="51">
        <f t="shared" si="44"/>
        <v>8536.32</v>
      </c>
    </row>
    <row r="75" spans="1:13" ht="18.75" customHeight="1" x14ac:dyDescent="0.25">
      <c r="A75" s="38">
        <f>A73+1</f>
        <v>36</v>
      </c>
      <c r="B75" s="37" t="s">
        <v>271</v>
      </c>
      <c r="C75" s="100" t="s">
        <v>24</v>
      </c>
      <c r="D75" s="140">
        <f>0.024*2</f>
        <v>4.8000000000000001E-2</v>
      </c>
      <c r="E75" s="45">
        <v>17265.68</v>
      </c>
      <c r="F75" s="35">
        <f>ROUND(E75*D75,2)</f>
        <v>828.75</v>
      </c>
      <c r="G75" s="35">
        <f t="shared" ref="G75" si="53">ROUND(F75*1.2,2)</f>
        <v>994.5</v>
      </c>
      <c r="H75" s="64"/>
      <c r="I75" s="35"/>
      <c r="J75" s="35"/>
      <c r="K75" s="64">
        <f t="shared" si="44"/>
        <v>828.75</v>
      </c>
      <c r="L75" s="42">
        <f t="shared" si="44"/>
        <v>994.5</v>
      </c>
      <c r="M75" s="139">
        <v>0.16</v>
      </c>
    </row>
    <row r="76" spans="1:13" ht="18.75" customHeight="1" x14ac:dyDescent="0.25">
      <c r="A76" s="46" t="s">
        <v>216</v>
      </c>
      <c r="B76" s="78" t="s">
        <v>185</v>
      </c>
      <c r="C76" s="48" t="s">
        <v>66</v>
      </c>
      <c r="D76" s="72">
        <v>2</v>
      </c>
      <c r="E76" s="50"/>
      <c r="F76" s="51"/>
      <c r="G76" s="51"/>
      <c r="H76" s="104">
        <f>ROUND(1150/1.2*1.15,2)</f>
        <v>1102.08</v>
      </c>
      <c r="I76" s="51">
        <f t="shared" ref="I76" si="54">ROUND(H76*D76,2)</f>
        <v>2204.16</v>
      </c>
      <c r="J76" s="51">
        <f t="shared" ref="J76" si="55">ROUND(I76*1.2,2)</f>
        <v>2644.99</v>
      </c>
      <c r="K76" s="52">
        <f t="shared" si="44"/>
        <v>2204.16</v>
      </c>
      <c r="L76" s="51">
        <f t="shared" si="44"/>
        <v>2644.99</v>
      </c>
    </row>
    <row r="77" spans="1:13" ht="18.75" customHeight="1" x14ac:dyDescent="0.25">
      <c r="A77" s="38">
        <f>A75+1</f>
        <v>37</v>
      </c>
      <c r="B77" s="37" t="s">
        <v>272</v>
      </c>
      <c r="C77" s="38" t="s">
        <v>66</v>
      </c>
      <c r="D77" s="138">
        <f>0.73*2</f>
        <v>1.46</v>
      </c>
      <c r="E77" s="45">
        <v>17265.68</v>
      </c>
      <c r="F77" s="35">
        <f>ROUND(E77*D77,2)</f>
        <v>25207.89</v>
      </c>
      <c r="G77" s="35">
        <f t="shared" ref="G77" si="56">ROUND(F77*1.2,2)</f>
        <v>30249.47</v>
      </c>
      <c r="H77" s="64"/>
      <c r="I77" s="35"/>
      <c r="J77" s="35"/>
      <c r="K77" s="64">
        <f t="shared" si="44"/>
        <v>25207.89</v>
      </c>
      <c r="L77" s="42">
        <f t="shared" si="44"/>
        <v>30249.47</v>
      </c>
      <c r="M77" s="71" t="s">
        <v>604</v>
      </c>
    </row>
    <row r="78" spans="1:13" ht="18.75" customHeight="1" x14ac:dyDescent="0.25">
      <c r="A78" s="46" t="s">
        <v>125</v>
      </c>
      <c r="B78" s="78" t="s">
        <v>273</v>
      </c>
      <c r="C78" s="48" t="s">
        <v>66</v>
      </c>
      <c r="D78" s="72">
        <v>2</v>
      </c>
      <c r="E78" s="50"/>
      <c r="F78" s="51"/>
      <c r="G78" s="51"/>
      <c r="H78" s="104">
        <f>ROUND(((30870+14210)/2)/1.2*1.15,2)</f>
        <v>21600.83</v>
      </c>
      <c r="I78" s="51">
        <f t="shared" ref="I78" si="57">ROUND(H78*D78,2)</f>
        <v>43201.66</v>
      </c>
      <c r="J78" s="51">
        <f t="shared" ref="J78" si="58">ROUND(I78*1.2,2)</f>
        <v>51841.99</v>
      </c>
      <c r="K78" s="70">
        <f t="shared" si="44"/>
        <v>43201.66</v>
      </c>
      <c r="L78" s="68">
        <f t="shared" si="44"/>
        <v>51841.99</v>
      </c>
      <c r="M78" s="21" t="s">
        <v>80</v>
      </c>
    </row>
    <row r="79" spans="1:13" ht="28.5" customHeight="1" x14ac:dyDescent="0.25">
      <c r="A79" s="38">
        <f>A77+1</f>
        <v>38</v>
      </c>
      <c r="B79" s="73" t="s">
        <v>274</v>
      </c>
      <c r="C79" s="38" t="s">
        <v>66</v>
      </c>
      <c r="D79" s="150">
        <v>2</v>
      </c>
      <c r="E79" s="34">
        <f>ROUND(4508.53*1.33,2)</f>
        <v>5996.34</v>
      </c>
      <c r="F79" s="35">
        <f>ROUND(E79*D79,2)</f>
        <v>11992.68</v>
      </c>
      <c r="G79" s="35">
        <f t="shared" ref="G79" si="59">ROUND(F79*1.2,2)</f>
        <v>14391.22</v>
      </c>
      <c r="H79" s="64"/>
      <c r="I79" s="35"/>
      <c r="J79" s="35"/>
      <c r="K79" s="64">
        <f t="shared" si="44"/>
        <v>11992.68</v>
      </c>
      <c r="L79" s="42">
        <f t="shared" si="44"/>
        <v>14391.22</v>
      </c>
      <c r="M79" s="71" t="s">
        <v>75</v>
      </c>
    </row>
    <row r="80" spans="1:13" ht="18.75" customHeight="1" x14ac:dyDescent="0.25">
      <c r="A80" s="46" t="s">
        <v>128</v>
      </c>
      <c r="B80" s="78" t="s">
        <v>275</v>
      </c>
      <c r="C80" s="48" t="s">
        <v>66</v>
      </c>
      <c r="D80" s="72">
        <v>2</v>
      </c>
      <c r="E80" s="50"/>
      <c r="F80" s="51"/>
      <c r="G80" s="51"/>
      <c r="H80" s="104">
        <f>ROUND(15850/1.2*1.15,2)</f>
        <v>15189.58</v>
      </c>
      <c r="I80" s="51">
        <f t="shared" ref="I80" si="60">ROUND(H80*D80,2)</f>
        <v>30379.16</v>
      </c>
      <c r="J80" s="51">
        <f t="shared" ref="J80" si="61">ROUND(I80*1.2,2)</f>
        <v>36454.99</v>
      </c>
      <c r="K80" s="70">
        <f t="shared" si="44"/>
        <v>30379.16</v>
      </c>
      <c r="L80" s="68">
        <f t="shared" si="44"/>
        <v>36454.99</v>
      </c>
    </row>
    <row r="81" spans="1:13" ht="18.75" customHeight="1" x14ac:dyDescent="0.25">
      <c r="A81" s="46"/>
      <c r="B81" s="115" t="s">
        <v>276</v>
      </c>
      <c r="C81" s="38"/>
      <c r="D81" s="77"/>
      <c r="E81" s="34"/>
      <c r="F81" s="35"/>
      <c r="G81" s="35"/>
      <c r="H81" s="35"/>
      <c r="I81" s="35"/>
      <c r="J81" s="35"/>
      <c r="K81" s="32"/>
      <c r="L81" s="35"/>
    </row>
    <row r="82" spans="1:13" ht="28.5" customHeight="1" x14ac:dyDescent="0.25">
      <c r="A82" s="38">
        <f>A79+1</f>
        <v>39</v>
      </c>
      <c r="B82" s="73" t="s">
        <v>277</v>
      </c>
      <c r="C82" s="38" t="s">
        <v>66</v>
      </c>
      <c r="D82" s="158">
        <v>1</v>
      </c>
      <c r="E82" s="34">
        <v>11232.26</v>
      </c>
      <c r="F82" s="35">
        <f t="shared" ref="F82:F106" si="62">ROUND(E82*D82,2)</f>
        <v>11232.26</v>
      </c>
      <c r="G82" s="35">
        <f t="shared" ref="G82:G106" si="63">ROUND(F82*1.2,2)</f>
        <v>13478.71</v>
      </c>
      <c r="H82" s="64"/>
      <c r="I82" s="35"/>
      <c r="J82" s="35"/>
      <c r="K82" s="64">
        <f t="shared" ref="K82:L106" si="64">F82+I82</f>
        <v>11232.26</v>
      </c>
      <c r="L82" s="42">
        <f t="shared" si="64"/>
        <v>13478.71</v>
      </c>
      <c r="M82" s="71" t="s">
        <v>75</v>
      </c>
    </row>
    <row r="83" spans="1:13" ht="18.75" customHeight="1" x14ac:dyDescent="0.25">
      <c r="A83" s="46" t="s">
        <v>132</v>
      </c>
      <c r="B83" s="78" t="s">
        <v>278</v>
      </c>
      <c r="C83" s="48" t="s">
        <v>66</v>
      </c>
      <c r="D83" s="79">
        <v>1</v>
      </c>
      <c r="E83" s="50"/>
      <c r="F83" s="51"/>
      <c r="G83" s="51"/>
      <c r="H83" s="70">
        <f>ROUND(97090*1.15,2)</f>
        <v>111653.5</v>
      </c>
      <c r="I83" s="51">
        <f>ROUND(H83*D83,2)</f>
        <v>111653.5</v>
      </c>
      <c r="J83" s="51">
        <f>ROUND(I83*1.2,2)</f>
        <v>133984.20000000001</v>
      </c>
      <c r="K83" s="52">
        <f t="shared" si="64"/>
        <v>111653.5</v>
      </c>
      <c r="L83" s="51">
        <f t="shared" si="64"/>
        <v>133984.20000000001</v>
      </c>
      <c r="M83" s="21" t="s">
        <v>80</v>
      </c>
    </row>
    <row r="84" spans="1:13" ht="18.75" customHeight="1" x14ac:dyDescent="0.25">
      <c r="A84" s="46" t="s">
        <v>279</v>
      </c>
      <c r="B84" s="78" t="s">
        <v>280</v>
      </c>
      <c r="C84" s="48" t="s">
        <v>66</v>
      </c>
      <c r="D84" s="79">
        <v>1</v>
      </c>
      <c r="E84" s="50"/>
      <c r="F84" s="51"/>
      <c r="G84" s="51"/>
      <c r="H84" s="70">
        <f>ROUND(443.35*1.15,2)</f>
        <v>509.85</v>
      </c>
      <c r="I84" s="51">
        <f>ROUND(H84*D84,2)</f>
        <v>509.85</v>
      </c>
      <c r="J84" s="51">
        <f>ROUND(I84*1.2,2)</f>
        <v>611.82000000000005</v>
      </c>
      <c r="K84" s="52">
        <f t="shared" si="64"/>
        <v>509.85</v>
      </c>
      <c r="L84" s="51">
        <f t="shared" si="64"/>
        <v>611.82000000000005</v>
      </c>
      <c r="M84" s="21" t="s">
        <v>80</v>
      </c>
    </row>
    <row r="85" spans="1:13" ht="18.75" customHeight="1" x14ac:dyDescent="0.25">
      <c r="A85" s="38">
        <f>A82+1</f>
        <v>40</v>
      </c>
      <c r="B85" s="73" t="s">
        <v>281</v>
      </c>
      <c r="C85" s="38" t="s">
        <v>66</v>
      </c>
      <c r="D85" s="158">
        <v>4</v>
      </c>
      <c r="E85" s="34">
        <v>14312.75</v>
      </c>
      <c r="F85" s="35">
        <f t="shared" si="62"/>
        <v>57251</v>
      </c>
      <c r="G85" s="35">
        <f t="shared" si="63"/>
        <v>68701.2</v>
      </c>
      <c r="H85" s="64"/>
      <c r="I85" s="35"/>
      <c r="J85" s="35"/>
      <c r="K85" s="64">
        <f t="shared" si="64"/>
        <v>57251</v>
      </c>
      <c r="L85" s="42">
        <f t="shared" si="64"/>
        <v>68701.2</v>
      </c>
    </row>
    <row r="86" spans="1:13" ht="18.75" customHeight="1" x14ac:dyDescent="0.25">
      <c r="A86" s="46" t="s">
        <v>136</v>
      </c>
      <c r="B86" s="78" t="s">
        <v>282</v>
      </c>
      <c r="C86" s="48" t="s">
        <v>66</v>
      </c>
      <c r="D86" s="79">
        <v>4</v>
      </c>
      <c r="E86" s="50"/>
      <c r="F86" s="51"/>
      <c r="G86" s="51"/>
      <c r="H86" s="106">
        <v>109202.5</v>
      </c>
      <c r="I86" s="51">
        <f>ROUND(H86*D86,2)</f>
        <v>436810</v>
      </c>
      <c r="J86" s="51">
        <f>ROUND(I86*1.2,2)</f>
        <v>524172</v>
      </c>
      <c r="K86" s="52">
        <f t="shared" si="64"/>
        <v>436810</v>
      </c>
      <c r="L86" s="51">
        <f t="shared" si="64"/>
        <v>524172</v>
      </c>
    </row>
    <row r="87" spans="1:13" ht="18.75" customHeight="1" x14ac:dyDescent="0.25">
      <c r="A87" s="46" t="s">
        <v>283</v>
      </c>
      <c r="B87" s="78" t="s">
        <v>280</v>
      </c>
      <c r="C87" s="48" t="s">
        <v>66</v>
      </c>
      <c r="D87" s="79">
        <v>4</v>
      </c>
      <c r="E87" s="50"/>
      <c r="F87" s="51"/>
      <c r="G87" s="51"/>
      <c r="H87" s="70">
        <f>ROUND(443.35*1.15,2)</f>
        <v>509.85</v>
      </c>
      <c r="I87" s="51">
        <f>ROUND(H87*D87,2)</f>
        <v>2039.4</v>
      </c>
      <c r="J87" s="51">
        <f>ROUND(I87*1.2,2)</f>
        <v>2447.2800000000002</v>
      </c>
      <c r="K87" s="52">
        <f t="shared" si="64"/>
        <v>2039.4</v>
      </c>
      <c r="L87" s="51">
        <f t="shared" si="64"/>
        <v>2447.2800000000002</v>
      </c>
      <c r="M87" s="21" t="s">
        <v>80</v>
      </c>
    </row>
    <row r="88" spans="1:13" ht="18.75" customHeight="1" x14ac:dyDescent="0.25">
      <c r="A88" s="38">
        <f>A85+1</f>
        <v>41</v>
      </c>
      <c r="B88" s="73" t="s">
        <v>284</v>
      </c>
      <c r="C88" s="38" t="s">
        <v>66</v>
      </c>
      <c r="D88" s="158">
        <v>2</v>
      </c>
      <c r="E88" s="34">
        <f>ROUND(1468.66*1.33,2)</f>
        <v>1953.32</v>
      </c>
      <c r="F88" s="35">
        <f t="shared" si="62"/>
        <v>3906.64</v>
      </c>
      <c r="G88" s="35">
        <f t="shared" si="63"/>
        <v>4687.97</v>
      </c>
      <c r="H88" s="64"/>
      <c r="I88" s="35"/>
      <c r="J88" s="35"/>
      <c r="K88" s="64">
        <f t="shared" si="64"/>
        <v>3906.64</v>
      </c>
      <c r="L88" s="42">
        <f t="shared" si="64"/>
        <v>4687.97</v>
      </c>
    </row>
    <row r="89" spans="1:13" ht="18.75" customHeight="1" x14ac:dyDescent="0.25">
      <c r="A89" s="46" t="s">
        <v>138</v>
      </c>
      <c r="B89" s="78" t="s">
        <v>285</v>
      </c>
      <c r="C89" s="48" t="s">
        <v>66</v>
      </c>
      <c r="D89" s="79">
        <v>2</v>
      </c>
      <c r="E89" s="50"/>
      <c r="F89" s="51"/>
      <c r="G89" s="51"/>
      <c r="H89" s="70">
        <f>ROUND(19016.5*1.15,2)</f>
        <v>21868.98</v>
      </c>
      <c r="I89" s="51">
        <f>ROUND(H89*D89,2)</f>
        <v>43737.96</v>
      </c>
      <c r="J89" s="51">
        <f>ROUND(I89*1.2,2)</f>
        <v>52485.55</v>
      </c>
      <c r="K89" s="52">
        <f t="shared" si="64"/>
        <v>43737.96</v>
      </c>
      <c r="L89" s="51">
        <f t="shared" si="64"/>
        <v>52485.55</v>
      </c>
      <c r="M89" s="21" t="s">
        <v>80</v>
      </c>
    </row>
    <row r="90" spans="1:13" ht="30.75" customHeight="1" x14ac:dyDescent="0.25">
      <c r="A90" s="38">
        <f>A88+1</f>
        <v>42</v>
      </c>
      <c r="B90" s="73" t="s">
        <v>228</v>
      </c>
      <c r="C90" s="38" t="s">
        <v>66</v>
      </c>
      <c r="D90" s="158">
        <v>2</v>
      </c>
      <c r="E90" s="34">
        <f>ROUND(7253.94*1.33,2)</f>
        <v>9647.74</v>
      </c>
      <c r="F90" s="35">
        <f t="shared" si="62"/>
        <v>19295.48</v>
      </c>
      <c r="G90" s="35">
        <f t="shared" si="63"/>
        <v>23154.58</v>
      </c>
      <c r="H90" s="64"/>
      <c r="I90" s="35"/>
      <c r="J90" s="35"/>
      <c r="K90" s="64">
        <f t="shared" si="64"/>
        <v>19295.48</v>
      </c>
      <c r="L90" s="42">
        <f t="shared" si="64"/>
        <v>23154.58</v>
      </c>
      <c r="M90" s="71"/>
    </row>
    <row r="91" spans="1:13" ht="18.75" customHeight="1" x14ac:dyDescent="0.25">
      <c r="A91" s="46" t="s">
        <v>141</v>
      </c>
      <c r="B91" s="78" t="s">
        <v>229</v>
      </c>
      <c r="C91" s="48" t="s">
        <v>66</v>
      </c>
      <c r="D91" s="79">
        <v>2</v>
      </c>
      <c r="E91" s="50"/>
      <c r="F91" s="51"/>
      <c r="G91" s="51"/>
      <c r="H91" s="106">
        <f>ROUND(11010.8*1.15,2)</f>
        <v>12662.42</v>
      </c>
      <c r="I91" s="51">
        <f>ROUND(H91*D91,2)</f>
        <v>25324.84</v>
      </c>
      <c r="J91" s="51">
        <f>ROUND(I91*1.2,2)</f>
        <v>30389.81</v>
      </c>
      <c r="K91" s="52">
        <f t="shared" si="64"/>
        <v>25324.84</v>
      </c>
      <c r="L91" s="51">
        <f t="shared" si="64"/>
        <v>30389.81</v>
      </c>
      <c r="M91" s="21" t="s">
        <v>80</v>
      </c>
    </row>
    <row r="92" spans="1:13" ht="33" customHeight="1" x14ac:dyDescent="0.25">
      <c r="A92" s="38">
        <f>A90+1</f>
        <v>43</v>
      </c>
      <c r="B92" s="73" t="s">
        <v>286</v>
      </c>
      <c r="C92" s="38" t="s">
        <v>66</v>
      </c>
      <c r="D92" s="158">
        <v>1</v>
      </c>
      <c r="E92" s="34">
        <v>7035.89</v>
      </c>
      <c r="F92" s="35">
        <f t="shared" si="62"/>
        <v>7035.89</v>
      </c>
      <c r="G92" s="35">
        <f t="shared" si="63"/>
        <v>8443.07</v>
      </c>
      <c r="H92" s="64"/>
      <c r="I92" s="35"/>
      <c r="J92" s="35"/>
      <c r="K92" s="64">
        <f t="shared" si="64"/>
        <v>7035.89</v>
      </c>
      <c r="L92" s="42">
        <f t="shared" si="64"/>
        <v>8443.07</v>
      </c>
      <c r="M92" s="71"/>
    </row>
    <row r="93" spans="1:13" ht="18.75" customHeight="1" x14ac:dyDescent="0.25">
      <c r="A93" s="46" t="s">
        <v>144</v>
      </c>
      <c r="B93" s="78" t="s">
        <v>287</v>
      </c>
      <c r="C93" s="48" t="s">
        <v>66</v>
      </c>
      <c r="D93" s="79">
        <v>1</v>
      </c>
      <c r="E93" s="50"/>
      <c r="F93" s="51"/>
      <c r="G93" s="51"/>
      <c r="H93" s="70">
        <f>ROUND(29167*1.15,2)</f>
        <v>33542.050000000003</v>
      </c>
      <c r="I93" s="51">
        <f>ROUND(H93*D93,2)</f>
        <v>33542.050000000003</v>
      </c>
      <c r="J93" s="51">
        <f>ROUND(I93*1.2,2)</f>
        <v>40250.46</v>
      </c>
      <c r="K93" s="52">
        <f t="shared" si="64"/>
        <v>33542.050000000003</v>
      </c>
      <c r="L93" s="51">
        <f t="shared" si="64"/>
        <v>40250.46</v>
      </c>
      <c r="M93" s="21" t="s">
        <v>80</v>
      </c>
    </row>
    <row r="94" spans="1:13" ht="18.75" customHeight="1" x14ac:dyDescent="0.25">
      <c r="A94" s="46" t="s">
        <v>288</v>
      </c>
      <c r="B94" s="78" t="s">
        <v>280</v>
      </c>
      <c r="C94" s="48" t="s">
        <v>66</v>
      </c>
      <c r="D94" s="79">
        <v>2</v>
      </c>
      <c r="E94" s="50"/>
      <c r="F94" s="51"/>
      <c r="G94" s="51"/>
      <c r="H94" s="70">
        <f>ROUND(443.35*1.15,2)</f>
        <v>509.85</v>
      </c>
      <c r="I94" s="51">
        <f>ROUND(H94*D94,2)</f>
        <v>1019.7</v>
      </c>
      <c r="J94" s="51">
        <f>ROUND(I94*1.2,2)</f>
        <v>1223.6400000000001</v>
      </c>
      <c r="K94" s="52">
        <f t="shared" si="64"/>
        <v>1019.7</v>
      </c>
      <c r="L94" s="51">
        <f t="shared" si="64"/>
        <v>1223.6400000000001</v>
      </c>
      <c r="M94" s="21" t="s">
        <v>80</v>
      </c>
    </row>
    <row r="95" spans="1:13" ht="18.75" customHeight="1" x14ac:dyDescent="0.25">
      <c r="A95" s="38">
        <f>A92+1</f>
        <v>44</v>
      </c>
      <c r="B95" s="73" t="s">
        <v>289</v>
      </c>
      <c r="C95" s="38" t="s">
        <v>66</v>
      </c>
      <c r="D95" s="158">
        <v>3</v>
      </c>
      <c r="E95" s="34">
        <v>1389.85</v>
      </c>
      <c r="F95" s="35">
        <f t="shared" si="62"/>
        <v>4169.55</v>
      </c>
      <c r="G95" s="35">
        <f t="shared" si="63"/>
        <v>5003.46</v>
      </c>
      <c r="H95" s="64"/>
      <c r="I95" s="35"/>
      <c r="J95" s="35"/>
      <c r="K95" s="64">
        <f t="shared" si="64"/>
        <v>4169.55</v>
      </c>
      <c r="L95" s="42">
        <f t="shared" si="64"/>
        <v>5003.46</v>
      </c>
    </row>
    <row r="96" spans="1:13" ht="18.75" customHeight="1" x14ac:dyDescent="0.25">
      <c r="A96" s="46" t="s">
        <v>147</v>
      </c>
      <c r="B96" s="78" t="s">
        <v>290</v>
      </c>
      <c r="C96" s="48" t="s">
        <v>66</v>
      </c>
      <c r="D96" s="79">
        <v>3</v>
      </c>
      <c r="E96" s="50"/>
      <c r="F96" s="51"/>
      <c r="G96" s="51"/>
      <c r="H96" s="51">
        <v>585.20000000000005</v>
      </c>
      <c r="I96" s="51">
        <f>ROUND(H96*D96,2)</f>
        <v>1755.6</v>
      </c>
      <c r="J96" s="51">
        <f>ROUND(I96*1.2,2)</f>
        <v>2106.7199999999998</v>
      </c>
      <c r="K96" s="52">
        <f t="shared" si="64"/>
        <v>1755.6</v>
      </c>
      <c r="L96" s="51">
        <f t="shared" si="64"/>
        <v>2106.7199999999998</v>
      </c>
    </row>
    <row r="97" spans="1:13" ht="18.75" customHeight="1" x14ac:dyDescent="0.25">
      <c r="A97" s="38">
        <f>A95+1</f>
        <v>45</v>
      </c>
      <c r="B97" s="73" t="s">
        <v>204</v>
      </c>
      <c r="C97" s="38" t="s">
        <v>66</v>
      </c>
      <c r="D97" s="158">
        <v>3</v>
      </c>
      <c r="E97" s="34">
        <v>3601.88</v>
      </c>
      <c r="F97" s="35">
        <f t="shared" si="62"/>
        <v>10805.64</v>
      </c>
      <c r="G97" s="35">
        <f t="shared" si="63"/>
        <v>12966.77</v>
      </c>
      <c r="H97" s="64"/>
      <c r="I97" s="35"/>
      <c r="J97" s="35"/>
      <c r="K97" s="64">
        <f t="shared" si="64"/>
        <v>10805.64</v>
      </c>
      <c r="L97" s="42">
        <f t="shared" si="64"/>
        <v>12966.77</v>
      </c>
    </row>
    <row r="98" spans="1:13" ht="18.75" customHeight="1" x14ac:dyDescent="0.25">
      <c r="A98" s="46" t="s">
        <v>291</v>
      </c>
      <c r="B98" s="78" t="s">
        <v>205</v>
      </c>
      <c r="C98" s="48" t="s">
        <v>66</v>
      </c>
      <c r="D98" s="79">
        <v>3</v>
      </c>
      <c r="E98" s="50"/>
      <c r="F98" s="51"/>
      <c r="G98" s="51"/>
      <c r="H98" s="104">
        <v>6897</v>
      </c>
      <c r="I98" s="51">
        <f>ROUND(H98*D98,2)</f>
        <v>20691</v>
      </c>
      <c r="J98" s="51">
        <f>ROUND(I98*1.2,2)</f>
        <v>24829.200000000001</v>
      </c>
      <c r="K98" s="52">
        <f t="shared" si="64"/>
        <v>20691</v>
      </c>
      <c r="L98" s="51">
        <f t="shared" si="64"/>
        <v>24829.200000000001</v>
      </c>
    </row>
    <row r="99" spans="1:13" ht="18.75" customHeight="1" x14ac:dyDescent="0.25">
      <c r="A99" s="46" t="s">
        <v>292</v>
      </c>
      <c r="B99" s="78" t="s">
        <v>293</v>
      </c>
      <c r="C99" s="48" t="s">
        <v>66</v>
      </c>
      <c r="D99" s="79">
        <v>3</v>
      </c>
      <c r="E99" s="50"/>
      <c r="F99" s="51"/>
      <c r="G99" s="51"/>
      <c r="H99" s="70">
        <f>ROUND(71.06*1.15,2)</f>
        <v>81.72</v>
      </c>
      <c r="I99" s="51">
        <f>ROUND(H99*D99,2)</f>
        <v>245.16</v>
      </c>
      <c r="J99" s="51">
        <f>ROUND(I99*1.2,2)</f>
        <v>294.19</v>
      </c>
      <c r="K99" s="52">
        <f>F99+I99</f>
        <v>245.16</v>
      </c>
      <c r="L99" s="51">
        <f>G99+J99</f>
        <v>294.19</v>
      </c>
      <c r="M99" s="21" t="s">
        <v>80</v>
      </c>
    </row>
    <row r="100" spans="1:13" ht="18.75" customHeight="1" x14ac:dyDescent="0.25">
      <c r="A100" s="38">
        <f>A97+1</f>
        <v>46</v>
      </c>
      <c r="B100" s="73" t="s">
        <v>294</v>
      </c>
      <c r="C100" s="38" t="s">
        <v>66</v>
      </c>
      <c r="D100" s="158">
        <v>1</v>
      </c>
      <c r="E100" s="34">
        <v>4704.3999999999996</v>
      </c>
      <c r="F100" s="35">
        <f t="shared" si="62"/>
        <v>4704.3999999999996</v>
      </c>
      <c r="G100" s="35">
        <f t="shared" si="63"/>
        <v>5645.28</v>
      </c>
      <c r="H100" s="64"/>
      <c r="I100" s="35"/>
      <c r="J100" s="35"/>
      <c r="K100" s="64">
        <f t="shared" si="64"/>
        <v>4704.3999999999996</v>
      </c>
      <c r="L100" s="42">
        <f t="shared" si="64"/>
        <v>5645.28</v>
      </c>
      <c r="M100" s="21" t="s">
        <v>100</v>
      </c>
    </row>
    <row r="101" spans="1:13" ht="18.75" customHeight="1" x14ac:dyDescent="0.25">
      <c r="A101" s="46" t="s">
        <v>295</v>
      </c>
      <c r="B101" s="78" t="s">
        <v>296</v>
      </c>
      <c r="C101" s="48" t="s">
        <v>66</v>
      </c>
      <c r="D101" s="79">
        <v>1</v>
      </c>
      <c r="E101" s="50"/>
      <c r="F101" s="51"/>
      <c r="G101" s="51"/>
      <c r="H101" s="70">
        <f>ROUND(1916*1.15,2)</f>
        <v>2203.4</v>
      </c>
      <c r="I101" s="51">
        <f>ROUND(H101*D101,2)</f>
        <v>2203.4</v>
      </c>
      <c r="J101" s="51">
        <f>ROUND(I101*1.2,2)</f>
        <v>2644.08</v>
      </c>
      <c r="K101" s="52">
        <f t="shared" si="64"/>
        <v>2203.4</v>
      </c>
      <c r="L101" s="51">
        <f t="shared" si="64"/>
        <v>2644.08</v>
      </c>
      <c r="M101" s="21" t="s">
        <v>80</v>
      </c>
    </row>
    <row r="102" spans="1:13" ht="18.75" customHeight="1" x14ac:dyDescent="0.25">
      <c r="A102" s="38">
        <f>A100+1</f>
        <v>47</v>
      </c>
      <c r="B102" s="73" t="s">
        <v>297</v>
      </c>
      <c r="C102" s="38" t="s">
        <v>66</v>
      </c>
      <c r="D102" s="158">
        <v>1</v>
      </c>
      <c r="E102" s="34">
        <v>4704.3999999999996</v>
      </c>
      <c r="F102" s="35">
        <f t="shared" si="62"/>
        <v>4704.3999999999996</v>
      </c>
      <c r="G102" s="35">
        <f t="shared" si="63"/>
        <v>5645.28</v>
      </c>
      <c r="H102" s="64"/>
      <c r="I102" s="35"/>
      <c r="J102" s="35"/>
      <c r="K102" s="64">
        <f t="shared" si="64"/>
        <v>4704.3999999999996</v>
      </c>
      <c r="L102" s="42">
        <f t="shared" si="64"/>
        <v>5645.28</v>
      </c>
      <c r="M102" s="21" t="s">
        <v>100</v>
      </c>
    </row>
    <row r="103" spans="1:13" ht="18.75" customHeight="1" x14ac:dyDescent="0.25">
      <c r="A103" s="46" t="s">
        <v>298</v>
      </c>
      <c r="B103" s="78" t="s">
        <v>299</v>
      </c>
      <c r="C103" s="48" t="s">
        <v>66</v>
      </c>
      <c r="D103" s="79">
        <v>1</v>
      </c>
      <c r="E103" s="50"/>
      <c r="F103" s="51"/>
      <c r="G103" s="51"/>
      <c r="H103" s="70">
        <f>ROUND(2885*1.15,2)</f>
        <v>3317.75</v>
      </c>
      <c r="I103" s="51">
        <f>ROUND(H103*D103,2)</f>
        <v>3317.75</v>
      </c>
      <c r="J103" s="51">
        <f>ROUND(I103*1.2,2)</f>
        <v>3981.3</v>
      </c>
      <c r="K103" s="52">
        <f t="shared" si="64"/>
        <v>3317.75</v>
      </c>
      <c r="L103" s="51">
        <f t="shared" si="64"/>
        <v>3981.3</v>
      </c>
      <c r="M103" s="21" t="s">
        <v>80</v>
      </c>
    </row>
    <row r="104" spans="1:13" ht="18.75" customHeight="1" x14ac:dyDescent="0.25">
      <c r="A104" s="38">
        <f>A102+1</f>
        <v>48</v>
      </c>
      <c r="B104" s="73" t="s">
        <v>300</v>
      </c>
      <c r="C104" s="38" t="s">
        <v>66</v>
      </c>
      <c r="D104" s="158">
        <v>2</v>
      </c>
      <c r="E104" s="34">
        <f>ROUND(1468.66*1.33,2)</f>
        <v>1953.32</v>
      </c>
      <c r="F104" s="35">
        <f t="shared" si="62"/>
        <v>3906.64</v>
      </c>
      <c r="G104" s="35">
        <f t="shared" si="63"/>
        <v>4687.97</v>
      </c>
      <c r="H104" s="64"/>
      <c r="I104" s="35"/>
      <c r="J104" s="35"/>
      <c r="K104" s="64">
        <f t="shared" si="64"/>
        <v>3906.64</v>
      </c>
      <c r="L104" s="42">
        <f t="shared" si="64"/>
        <v>4687.97</v>
      </c>
    </row>
    <row r="105" spans="1:13" ht="18.75" customHeight="1" x14ac:dyDescent="0.25">
      <c r="A105" s="46" t="s">
        <v>301</v>
      </c>
      <c r="B105" s="78" t="s">
        <v>302</v>
      </c>
      <c r="C105" s="48" t="s">
        <v>66</v>
      </c>
      <c r="D105" s="79">
        <v>2</v>
      </c>
      <c r="E105" s="50"/>
      <c r="F105" s="51"/>
      <c r="G105" s="51"/>
      <c r="H105" s="70">
        <f>ROUND(1782*1.15,2)</f>
        <v>2049.3000000000002</v>
      </c>
      <c r="I105" s="51">
        <f>ROUND(H105*D105,2)</f>
        <v>4098.6000000000004</v>
      </c>
      <c r="J105" s="51">
        <f>ROUND(I105*1.2,2)</f>
        <v>4918.32</v>
      </c>
      <c r="K105" s="52">
        <f t="shared" si="64"/>
        <v>4098.6000000000004</v>
      </c>
      <c r="L105" s="51">
        <f t="shared" si="64"/>
        <v>4918.32</v>
      </c>
      <c r="M105" s="21" t="s">
        <v>80</v>
      </c>
    </row>
    <row r="106" spans="1:13" ht="18.75" customHeight="1" x14ac:dyDescent="0.25">
      <c r="A106" s="38">
        <f>A104+1</f>
        <v>49</v>
      </c>
      <c r="B106" s="73" t="s">
        <v>303</v>
      </c>
      <c r="C106" s="38" t="s">
        <v>22</v>
      </c>
      <c r="D106" s="159">
        <v>2.2000000000000002</v>
      </c>
      <c r="E106" s="34">
        <v>1419.5</v>
      </c>
      <c r="F106" s="35">
        <f t="shared" si="62"/>
        <v>3122.9</v>
      </c>
      <c r="G106" s="35">
        <f t="shared" si="63"/>
        <v>3747.48</v>
      </c>
      <c r="H106" s="64"/>
      <c r="I106" s="35"/>
      <c r="J106" s="35"/>
      <c r="K106" s="64">
        <f t="shared" si="64"/>
        <v>3122.9</v>
      </c>
      <c r="L106" s="42">
        <f t="shared" si="64"/>
        <v>3747.48</v>
      </c>
    </row>
    <row r="107" spans="1:13" ht="18.75" customHeight="1" x14ac:dyDescent="0.25">
      <c r="A107" s="46" t="s">
        <v>304</v>
      </c>
      <c r="B107" s="47" t="s">
        <v>171</v>
      </c>
      <c r="C107" s="48" t="s">
        <v>22</v>
      </c>
      <c r="D107" s="49">
        <v>2.2000000000000002</v>
      </c>
      <c r="E107" s="50"/>
      <c r="F107" s="51"/>
      <c r="G107" s="51"/>
      <c r="H107" s="68">
        <v>3124.14</v>
      </c>
      <c r="I107" s="51">
        <f>ROUND(H107*D107,2)</f>
        <v>6873.11</v>
      </c>
      <c r="J107" s="51">
        <f>ROUND(I107*1.2,2)</f>
        <v>8247.73</v>
      </c>
      <c r="K107" s="52">
        <f t="shared" ref="K107:L113" si="65">F107+I107</f>
        <v>6873.11</v>
      </c>
      <c r="L107" s="51">
        <f t="shared" si="65"/>
        <v>8247.73</v>
      </c>
    </row>
    <row r="108" spans="1:13" ht="18.75" customHeight="1" x14ac:dyDescent="0.25">
      <c r="A108" s="38">
        <f>A106+1</f>
        <v>50</v>
      </c>
      <c r="B108" s="73" t="s">
        <v>305</v>
      </c>
      <c r="C108" s="38" t="s">
        <v>66</v>
      </c>
      <c r="D108" s="158">
        <v>4</v>
      </c>
      <c r="E108" s="34">
        <v>6039.48</v>
      </c>
      <c r="F108" s="35">
        <f t="shared" ref="F108:F112" si="66">ROUND(E108*D108,2)</f>
        <v>24157.919999999998</v>
      </c>
      <c r="G108" s="35">
        <f t="shared" ref="G108:G113" si="67">ROUND(F108*1.2,2)</f>
        <v>28989.5</v>
      </c>
      <c r="H108" s="64"/>
      <c r="I108" s="35"/>
      <c r="J108" s="35"/>
      <c r="K108" s="64">
        <f t="shared" si="65"/>
        <v>24157.919999999998</v>
      </c>
      <c r="L108" s="42">
        <f t="shared" si="65"/>
        <v>28989.5</v>
      </c>
    </row>
    <row r="109" spans="1:13" ht="18.75" customHeight="1" x14ac:dyDescent="0.25">
      <c r="A109" s="46" t="s">
        <v>306</v>
      </c>
      <c r="B109" s="78" t="s">
        <v>307</v>
      </c>
      <c r="C109" s="48" t="s">
        <v>66</v>
      </c>
      <c r="D109" s="79">
        <v>4</v>
      </c>
      <c r="E109" s="50"/>
      <c r="F109" s="51"/>
      <c r="G109" s="51"/>
      <c r="H109" s="104">
        <v>2638.15</v>
      </c>
      <c r="I109" s="51">
        <f>ROUND(H109*D109,2)</f>
        <v>10552.6</v>
      </c>
      <c r="J109" s="51">
        <f>ROUND(I109*1.2,2)</f>
        <v>12663.12</v>
      </c>
      <c r="K109" s="52">
        <f t="shared" si="65"/>
        <v>10552.6</v>
      </c>
      <c r="L109" s="51">
        <f t="shared" si="65"/>
        <v>12663.12</v>
      </c>
    </row>
    <row r="110" spans="1:13" ht="18.75" customHeight="1" x14ac:dyDescent="0.25">
      <c r="A110" s="38">
        <f>A108+1</f>
        <v>51</v>
      </c>
      <c r="B110" s="73" t="s">
        <v>308</v>
      </c>
      <c r="C110" s="38" t="s">
        <v>66</v>
      </c>
      <c r="D110" s="158">
        <v>3</v>
      </c>
      <c r="E110" s="34">
        <f>ROUND(1468.66*1.33,2)</f>
        <v>1953.32</v>
      </c>
      <c r="F110" s="35">
        <f t="shared" si="66"/>
        <v>5859.96</v>
      </c>
      <c r="G110" s="35">
        <f t="shared" si="67"/>
        <v>7031.95</v>
      </c>
      <c r="H110" s="64"/>
      <c r="I110" s="35"/>
      <c r="J110" s="35"/>
      <c r="K110" s="64">
        <f t="shared" si="65"/>
        <v>5859.96</v>
      </c>
      <c r="L110" s="42">
        <f t="shared" si="65"/>
        <v>7031.95</v>
      </c>
    </row>
    <row r="111" spans="1:13" ht="18.75" customHeight="1" x14ac:dyDescent="0.25">
      <c r="A111" s="46" t="s">
        <v>309</v>
      </c>
      <c r="B111" s="78" t="s">
        <v>310</v>
      </c>
      <c r="C111" s="48" t="s">
        <v>66</v>
      </c>
      <c r="D111" s="79">
        <v>3</v>
      </c>
      <c r="E111" s="50"/>
      <c r="F111" s="51"/>
      <c r="G111" s="51"/>
      <c r="H111" s="70">
        <f>ROUND(3675.94*1.15,2)</f>
        <v>4227.33</v>
      </c>
      <c r="I111" s="51">
        <f>ROUND(H111*D111,2)</f>
        <v>12681.99</v>
      </c>
      <c r="J111" s="51">
        <f>ROUND(I111*1.2,2)</f>
        <v>15218.39</v>
      </c>
      <c r="K111" s="52">
        <f t="shared" si="65"/>
        <v>12681.99</v>
      </c>
      <c r="L111" s="51">
        <f t="shared" si="65"/>
        <v>15218.39</v>
      </c>
      <c r="M111" s="21" t="s">
        <v>80</v>
      </c>
    </row>
    <row r="112" spans="1:13" ht="18.75" customHeight="1" x14ac:dyDescent="0.25">
      <c r="A112" s="38">
        <f>A110+1</f>
        <v>52</v>
      </c>
      <c r="B112" s="73" t="s">
        <v>311</v>
      </c>
      <c r="C112" s="38" t="s">
        <v>66</v>
      </c>
      <c r="D112" s="158">
        <v>4</v>
      </c>
      <c r="E112" s="34">
        <v>6546.68</v>
      </c>
      <c r="F112" s="35">
        <f t="shared" si="66"/>
        <v>26186.720000000001</v>
      </c>
      <c r="G112" s="35">
        <f t="shared" si="67"/>
        <v>31424.06</v>
      </c>
      <c r="H112" s="64"/>
      <c r="I112" s="35"/>
      <c r="J112" s="35"/>
      <c r="K112" s="64">
        <f t="shared" si="65"/>
        <v>26186.720000000001</v>
      </c>
      <c r="L112" s="42">
        <f t="shared" si="65"/>
        <v>31424.06</v>
      </c>
    </row>
    <row r="113" spans="1:13" ht="18.75" customHeight="1" x14ac:dyDescent="0.25">
      <c r="A113" s="46" t="s">
        <v>312</v>
      </c>
      <c r="B113" s="78" t="s">
        <v>313</v>
      </c>
      <c r="C113" s="48" t="s">
        <v>66</v>
      </c>
      <c r="D113" s="79">
        <v>4</v>
      </c>
      <c r="E113" s="50"/>
      <c r="F113" s="51">
        <f>ROUND(E113*D113,2)</f>
        <v>0</v>
      </c>
      <c r="G113" s="51">
        <f t="shared" si="67"/>
        <v>0</v>
      </c>
      <c r="H113" s="104">
        <v>2793</v>
      </c>
      <c r="I113" s="51">
        <f>ROUND(H113*D113,2)</f>
        <v>11172</v>
      </c>
      <c r="J113" s="51">
        <f>ROUND(I113*1.2,2)</f>
        <v>13406.4</v>
      </c>
      <c r="K113" s="52">
        <f t="shared" si="65"/>
        <v>11172</v>
      </c>
      <c r="L113" s="51">
        <f t="shared" si="65"/>
        <v>13406.4</v>
      </c>
    </row>
    <row r="114" spans="1:13" ht="18.75" customHeight="1" x14ac:dyDescent="0.25">
      <c r="A114" s="46" t="s">
        <v>314</v>
      </c>
      <c r="B114" s="78" t="s">
        <v>280</v>
      </c>
      <c r="C114" s="48" t="s">
        <v>66</v>
      </c>
      <c r="D114" s="79">
        <v>11</v>
      </c>
      <c r="E114" s="50"/>
      <c r="F114" s="51"/>
      <c r="G114" s="51"/>
      <c r="H114" s="70">
        <f>ROUND(443.35*1.15,2)</f>
        <v>509.85</v>
      </c>
      <c r="I114" s="51">
        <f>ROUND(H114*D114,2)</f>
        <v>5608.35</v>
      </c>
      <c r="J114" s="51">
        <f>ROUND(I114*1.2,2)</f>
        <v>6730.02</v>
      </c>
      <c r="K114" s="52">
        <f>F114+I114</f>
        <v>5608.35</v>
      </c>
      <c r="L114" s="51">
        <f>G114+J114</f>
        <v>6730.02</v>
      </c>
      <c r="M114" s="21" t="s">
        <v>80</v>
      </c>
    </row>
    <row r="115" spans="1:13" ht="18.75" customHeight="1" x14ac:dyDescent="0.25">
      <c r="A115" s="38">
        <f>A112+1</f>
        <v>53</v>
      </c>
      <c r="B115" s="73" t="s">
        <v>315</v>
      </c>
      <c r="C115" s="38" t="s">
        <v>66</v>
      </c>
      <c r="D115" s="158">
        <v>1</v>
      </c>
      <c r="E115" s="34">
        <f>ROUND(2556*1.33,2)</f>
        <v>3399.48</v>
      </c>
      <c r="F115" s="35">
        <f>ROUND(E115*D115,2)</f>
        <v>3399.48</v>
      </c>
      <c r="G115" s="35">
        <f t="shared" ref="G115:G116" si="68">ROUND(F115*1.2,2)</f>
        <v>4079.38</v>
      </c>
      <c r="H115" s="64"/>
      <c r="I115" s="35"/>
      <c r="J115" s="35"/>
      <c r="K115" s="64">
        <f t="shared" ref="K115:L116" si="69">F115+I115</f>
        <v>3399.48</v>
      </c>
      <c r="L115" s="42">
        <f t="shared" si="69"/>
        <v>4079.38</v>
      </c>
    </row>
    <row r="116" spans="1:13" ht="18.75" customHeight="1" x14ac:dyDescent="0.25">
      <c r="A116" s="46" t="s">
        <v>316</v>
      </c>
      <c r="B116" s="78" t="s">
        <v>317</v>
      </c>
      <c r="C116" s="48" t="s">
        <v>66</v>
      </c>
      <c r="D116" s="79">
        <v>1</v>
      </c>
      <c r="E116" s="50"/>
      <c r="F116" s="51">
        <f>ROUND(E116*D116,2)</f>
        <v>0</v>
      </c>
      <c r="G116" s="51">
        <f t="shared" si="68"/>
        <v>0</v>
      </c>
      <c r="H116" s="104">
        <f>ROUND(5512/1.2*1.15,2)</f>
        <v>5282.33</v>
      </c>
      <c r="I116" s="51">
        <f>ROUND(H116*D116,2)</f>
        <v>5282.33</v>
      </c>
      <c r="J116" s="51">
        <f>ROUND(I116*1.2,2)</f>
        <v>6338.8</v>
      </c>
      <c r="K116" s="52">
        <f t="shared" si="69"/>
        <v>5282.33</v>
      </c>
      <c r="L116" s="51">
        <f t="shared" si="69"/>
        <v>6338.8</v>
      </c>
    </row>
    <row r="117" spans="1:13" s="95" customFormat="1" ht="23.25" customHeight="1" x14ac:dyDescent="0.3">
      <c r="A117" s="185" t="s">
        <v>148</v>
      </c>
      <c r="B117" s="186"/>
      <c r="C117" s="186"/>
      <c r="D117" s="186"/>
      <c r="E117" s="187"/>
      <c r="F117" s="92">
        <f>SUM(F7:F116)</f>
        <v>1596408.3599999987</v>
      </c>
      <c r="G117" s="92">
        <f>ROUND(F117*1.2,2)</f>
        <v>1915690.03</v>
      </c>
      <c r="H117" s="93"/>
      <c r="I117" s="92">
        <f>SUM(I7:I116)</f>
        <v>1689475.0900000003</v>
      </c>
      <c r="J117" s="92">
        <f>ROUND(I117*1.2,2)</f>
        <v>2027370.11</v>
      </c>
      <c r="K117" s="92">
        <f>SUM(K7:K116)</f>
        <v>3285883.4500000011</v>
      </c>
      <c r="L117" s="92">
        <f>ROUND(K117*1.2,2)</f>
        <v>3943060.14</v>
      </c>
      <c r="M117" s="94"/>
    </row>
  </sheetData>
  <mergeCells count="10">
    <mergeCell ref="B6:D6"/>
    <mergeCell ref="A117:E1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M96"/>
  <sheetViews>
    <sheetView view="pageBreakPreview" zoomScale="80" zoomScaleNormal="100" zoomScaleSheetLayoutView="80" workbookViewId="0">
      <selection activeCell="D92" activeCellId="12" sqref="A1:M9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5703125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8.85546875" style="2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41.25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19</v>
      </c>
      <c r="C6" s="184"/>
      <c r="D6" s="184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  <c r="M7" s="36"/>
    </row>
    <row r="8" spans="1:13" ht="18" customHeight="1" x14ac:dyDescent="0.25">
      <c r="A8" s="30">
        <v>1</v>
      </c>
      <c r="B8" s="37" t="s">
        <v>21</v>
      </c>
      <c r="C8" s="38" t="s">
        <v>22</v>
      </c>
      <c r="D8" s="151">
        <v>210.22</v>
      </c>
      <c r="E8" s="40">
        <v>1900</v>
      </c>
      <c r="F8" s="33">
        <f t="shared" ref="F8:F11" si="0">ROUND(E8*D8,2)</f>
        <v>399418</v>
      </c>
      <c r="G8" s="33">
        <f t="shared" ref="G8:G11" si="1">ROUND(F8*1.2,2)</f>
        <v>479301.6</v>
      </c>
      <c r="H8" s="34"/>
      <c r="I8" s="35"/>
      <c r="J8" s="35"/>
      <c r="K8" s="32">
        <f t="shared" ref="K8:L23" si="2">F8+I8</f>
        <v>399418</v>
      </c>
      <c r="L8" s="33">
        <f t="shared" si="2"/>
        <v>479301.6</v>
      </c>
      <c r="M8" s="41"/>
    </row>
    <row r="9" spans="1:13" ht="18" customHeight="1" x14ac:dyDescent="0.25">
      <c r="A9" s="30">
        <f>A8+1</f>
        <v>2</v>
      </c>
      <c r="B9" s="37" t="s">
        <v>23</v>
      </c>
      <c r="C9" s="38" t="s">
        <v>24</v>
      </c>
      <c r="D9" s="151">
        <v>57.54</v>
      </c>
      <c r="E9" s="42">
        <f>ROUND(65055.24/(297.03*0.05),2)</f>
        <v>4380.38</v>
      </c>
      <c r="F9" s="33">
        <f t="shared" si="0"/>
        <v>252047.07</v>
      </c>
      <c r="G9" s="33">
        <f t="shared" si="1"/>
        <v>302456.48</v>
      </c>
      <c r="H9" s="34"/>
      <c r="I9" s="35"/>
      <c r="J9" s="35"/>
      <c r="K9" s="32">
        <f t="shared" si="2"/>
        <v>252047.07</v>
      </c>
      <c r="L9" s="33">
        <f t="shared" si="2"/>
        <v>302456.48</v>
      </c>
      <c r="M9" s="21" t="s">
        <v>25</v>
      </c>
    </row>
    <row r="10" spans="1:13" ht="20.25" customHeight="1" x14ac:dyDescent="0.25">
      <c r="A10" s="30">
        <f t="shared" ref="A10:A11" si="3">A9+1</f>
        <v>3</v>
      </c>
      <c r="B10" s="37" t="s">
        <v>26</v>
      </c>
      <c r="C10" s="38" t="s">
        <v>24</v>
      </c>
      <c r="D10" s="151">
        <v>83.97</v>
      </c>
      <c r="E10" s="64">
        <v>1440.5229999999999</v>
      </c>
      <c r="F10" s="33">
        <f t="shared" si="0"/>
        <v>120960.72</v>
      </c>
      <c r="G10" s="33">
        <f t="shared" si="1"/>
        <v>145152.85999999999</v>
      </c>
      <c r="H10" s="35"/>
      <c r="I10" s="35"/>
      <c r="J10" s="35"/>
      <c r="K10" s="32">
        <f t="shared" si="2"/>
        <v>120960.72</v>
      </c>
      <c r="L10" s="35">
        <f t="shared" si="2"/>
        <v>145152.85999999999</v>
      </c>
      <c r="M10" s="21" t="s">
        <v>25</v>
      </c>
    </row>
    <row r="11" spans="1:13" ht="18" customHeight="1" x14ac:dyDescent="0.25">
      <c r="A11" s="30">
        <f t="shared" si="3"/>
        <v>4</v>
      </c>
      <c r="B11" s="37" t="s">
        <v>27</v>
      </c>
      <c r="C11" s="38" t="s">
        <v>38</v>
      </c>
      <c r="D11" s="151">
        <v>232.64</v>
      </c>
      <c r="E11" s="42">
        <v>544.86</v>
      </c>
      <c r="F11" s="33">
        <f t="shared" si="0"/>
        <v>126756.23</v>
      </c>
      <c r="G11" s="33">
        <f t="shared" si="1"/>
        <v>152107.48000000001</v>
      </c>
      <c r="H11" s="34"/>
      <c r="I11" s="35"/>
      <c r="J11" s="35"/>
      <c r="K11" s="32">
        <f t="shared" si="2"/>
        <v>126756.23</v>
      </c>
      <c r="L11" s="35">
        <f t="shared" si="2"/>
        <v>152107.48000000001</v>
      </c>
      <c r="M11" s="21" t="s">
        <v>28</v>
      </c>
    </row>
    <row r="12" spans="1:13" ht="18" customHeight="1" x14ac:dyDescent="0.25">
      <c r="A12" s="30"/>
      <c r="B12" s="43" t="s">
        <v>29</v>
      </c>
      <c r="C12" s="38"/>
      <c r="D12" s="151"/>
      <c r="E12" s="35"/>
      <c r="F12" s="35"/>
      <c r="G12" s="35"/>
      <c r="H12" s="44"/>
      <c r="I12" s="35"/>
      <c r="J12" s="35"/>
      <c r="K12" s="32"/>
      <c r="L12" s="35"/>
      <c r="M12" s="36"/>
    </row>
    <row r="13" spans="1:13" ht="20.25" customHeight="1" x14ac:dyDescent="0.25">
      <c r="A13" s="38">
        <f>A11+1</f>
        <v>5</v>
      </c>
      <c r="B13" s="37" t="s">
        <v>30</v>
      </c>
      <c r="C13" s="38" t="s">
        <v>24</v>
      </c>
      <c r="D13" s="151">
        <f>ROUND(207*0.2,2)</f>
        <v>41.4</v>
      </c>
      <c r="E13" s="123">
        <v>2057.89</v>
      </c>
      <c r="F13" s="33">
        <f t="shared" ref="F13:F15" si="4">ROUND(E13*D13,2)</f>
        <v>85196.65</v>
      </c>
      <c r="G13" s="33">
        <f t="shared" ref="G13:G15" si="5">ROUND(F13*1.2,2)</f>
        <v>102235.98</v>
      </c>
      <c r="H13" s="44"/>
      <c r="I13" s="35"/>
      <c r="J13" s="35"/>
      <c r="K13" s="32">
        <f t="shared" ref="K13:L20" si="6">F13+I13</f>
        <v>85196.65</v>
      </c>
      <c r="L13" s="35">
        <f t="shared" si="6"/>
        <v>102235.98</v>
      </c>
      <c r="M13" s="21" t="s">
        <v>31</v>
      </c>
    </row>
    <row r="14" spans="1:13" ht="20.25" customHeight="1" x14ac:dyDescent="0.25">
      <c r="A14" s="46" t="s">
        <v>32</v>
      </c>
      <c r="B14" s="47" t="s">
        <v>33</v>
      </c>
      <c r="C14" s="48" t="s">
        <v>24</v>
      </c>
      <c r="D14" s="49">
        <f>ROUND(207*0.2*1.26,2)</f>
        <v>52.16</v>
      </c>
      <c r="E14" s="70"/>
      <c r="F14" s="51"/>
      <c r="G14" s="51"/>
      <c r="H14" s="50">
        <v>4206.6000000000004</v>
      </c>
      <c r="I14" s="51">
        <f>ROUND(H14*D14,2)</f>
        <v>219416.26</v>
      </c>
      <c r="J14" s="51">
        <f>ROUND(I14*1.2,2)</f>
        <v>263299.51</v>
      </c>
      <c r="K14" s="52">
        <f t="shared" si="6"/>
        <v>219416.26</v>
      </c>
      <c r="L14" s="51">
        <f t="shared" si="6"/>
        <v>263299.51</v>
      </c>
      <c r="M14" s="53"/>
    </row>
    <row r="15" spans="1:13" ht="20.25" customHeight="1" x14ac:dyDescent="0.25">
      <c r="A15" s="38">
        <f>A13+1</f>
        <v>6</v>
      </c>
      <c r="B15" s="37" t="s">
        <v>34</v>
      </c>
      <c r="C15" s="38" t="s">
        <v>35</v>
      </c>
      <c r="D15" s="151">
        <v>207</v>
      </c>
      <c r="E15" s="123">
        <v>1407.9</v>
      </c>
      <c r="F15" s="33">
        <f t="shared" si="4"/>
        <v>291435.3</v>
      </c>
      <c r="G15" s="33">
        <f t="shared" si="5"/>
        <v>349722.36</v>
      </c>
      <c r="H15" s="44"/>
      <c r="I15" s="35"/>
      <c r="J15" s="35"/>
      <c r="K15" s="32">
        <f t="shared" si="6"/>
        <v>291435.3</v>
      </c>
      <c r="L15" s="35">
        <f t="shared" si="6"/>
        <v>349722.36</v>
      </c>
      <c r="M15" s="21" t="s">
        <v>31</v>
      </c>
    </row>
    <row r="16" spans="1:13" ht="20.25" customHeight="1" x14ac:dyDescent="0.25">
      <c r="A16" s="46" t="s">
        <v>36</v>
      </c>
      <c r="B16" s="47" t="s">
        <v>37</v>
      </c>
      <c r="C16" s="48" t="s">
        <v>38</v>
      </c>
      <c r="D16" s="49">
        <f>ROUND(207*(96.6/1000)+207*2*(12.1/1000),2)</f>
        <v>25.01</v>
      </c>
      <c r="E16" s="70"/>
      <c r="F16" s="51"/>
      <c r="G16" s="51"/>
      <c r="H16" s="50">
        <v>4510.58</v>
      </c>
      <c r="I16" s="51">
        <f>ROUND(H16*D16,2)</f>
        <v>112809.61</v>
      </c>
      <c r="J16" s="51">
        <f>ROUND(I16*1.2,2)</f>
        <v>135371.53</v>
      </c>
      <c r="K16" s="52">
        <f t="shared" si="6"/>
        <v>112809.61</v>
      </c>
      <c r="L16" s="51">
        <f t="shared" si="6"/>
        <v>135371.53</v>
      </c>
    </row>
    <row r="17" spans="1:13" ht="20.25" customHeight="1" x14ac:dyDescent="0.25">
      <c r="A17" s="38">
        <f>A15+1</f>
        <v>7</v>
      </c>
      <c r="B17" s="37" t="s">
        <v>39</v>
      </c>
      <c r="C17" s="38" t="s">
        <v>38</v>
      </c>
      <c r="D17" s="151">
        <f>ROUND(207*0.86/1000,2)</f>
        <v>0.18</v>
      </c>
      <c r="E17" s="123">
        <v>1761.3</v>
      </c>
      <c r="F17" s="33">
        <f t="shared" ref="F17" si="7">ROUND(E17*D17,2)</f>
        <v>317.02999999999997</v>
      </c>
      <c r="G17" s="33">
        <f t="shared" ref="G17" si="8">ROUND(F17*1.2,2)</f>
        <v>380.44</v>
      </c>
      <c r="H17" s="54"/>
      <c r="I17" s="35"/>
      <c r="J17" s="35"/>
      <c r="K17" s="32">
        <f t="shared" si="6"/>
        <v>317.02999999999997</v>
      </c>
      <c r="L17" s="35">
        <f t="shared" si="6"/>
        <v>380.44</v>
      </c>
      <c r="M17" s="21" t="s">
        <v>31</v>
      </c>
    </row>
    <row r="18" spans="1:13" ht="20.25" customHeight="1" x14ac:dyDescent="0.25">
      <c r="A18" s="46" t="s">
        <v>40</v>
      </c>
      <c r="B18" s="47" t="s">
        <v>41</v>
      </c>
      <c r="C18" s="48" t="s">
        <v>38</v>
      </c>
      <c r="D18" s="55">
        <f>ROUND(207*0.86/1000*1.03,4)</f>
        <v>0.18340000000000001</v>
      </c>
      <c r="E18" s="70"/>
      <c r="F18" s="51"/>
      <c r="G18" s="51"/>
      <c r="H18" s="50">
        <v>25036.3</v>
      </c>
      <c r="I18" s="51">
        <f>ROUND(H18*D18,2)</f>
        <v>4591.66</v>
      </c>
      <c r="J18" s="51">
        <f>ROUND(I18*1.2,2)</f>
        <v>5509.99</v>
      </c>
      <c r="K18" s="52">
        <f t="shared" si="6"/>
        <v>4591.66</v>
      </c>
      <c r="L18" s="51">
        <f t="shared" si="6"/>
        <v>5509.99</v>
      </c>
    </row>
    <row r="19" spans="1:13" ht="20.25" customHeight="1" x14ac:dyDescent="0.25">
      <c r="A19" s="38">
        <f>A17+1</f>
        <v>8</v>
      </c>
      <c r="B19" s="37" t="s">
        <v>42</v>
      </c>
      <c r="C19" s="38" t="s">
        <v>35</v>
      </c>
      <c r="D19" s="151">
        <v>207</v>
      </c>
      <c r="E19" s="64">
        <v>1971.06</v>
      </c>
      <c r="F19" s="33">
        <f t="shared" ref="F19" si="9">ROUND(E19*D19,2)</f>
        <v>408009.42</v>
      </c>
      <c r="G19" s="33">
        <f t="shared" ref="G19" si="10">ROUND(F19*1.2,2)</f>
        <v>489611.3</v>
      </c>
      <c r="H19" s="54"/>
      <c r="I19" s="35"/>
      <c r="J19" s="35"/>
      <c r="K19" s="32">
        <f t="shared" si="6"/>
        <v>408009.42</v>
      </c>
      <c r="L19" s="35">
        <f t="shared" si="6"/>
        <v>489611.3</v>
      </c>
      <c r="M19" s="21" t="s">
        <v>43</v>
      </c>
    </row>
    <row r="20" spans="1:13" ht="20.25" customHeight="1" x14ac:dyDescent="0.25">
      <c r="A20" s="46" t="s">
        <v>44</v>
      </c>
      <c r="B20" s="47" t="s">
        <v>37</v>
      </c>
      <c r="C20" s="48" t="s">
        <v>38</v>
      </c>
      <c r="D20" s="49">
        <f>ROUND(207*(96.6/1000)+207*4*(12.1/1000),2)</f>
        <v>30.02</v>
      </c>
      <c r="E20" s="70"/>
      <c r="F20" s="51"/>
      <c r="G20" s="51"/>
      <c r="H20" s="50">
        <v>4510.58</v>
      </c>
      <c r="I20" s="51">
        <f>ROUND(H20*D20,2)</f>
        <v>135407.60999999999</v>
      </c>
      <c r="J20" s="51">
        <f>ROUND(I20*1.2,2)</f>
        <v>162489.13</v>
      </c>
      <c r="K20" s="52">
        <f t="shared" si="6"/>
        <v>135407.60999999999</v>
      </c>
      <c r="L20" s="51">
        <f t="shared" si="6"/>
        <v>162489.13</v>
      </c>
    </row>
    <row r="21" spans="1:13" ht="20.25" customHeight="1" x14ac:dyDescent="0.25">
      <c r="A21" s="56"/>
      <c r="B21" s="43" t="s">
        <v>45</v>
      </c>
      <c r="C21" s="38"/>
      <c r="D21" s="57"/>
      <c r="E21" s="58"/>
      <c r="F21" s="59"/>
      <c r="G21" s="60"/>
      <c r="H21" s="61"/>
      <c r="I21" s="62"/>
      <c r="J21" s="62"/>
      <c r="K21" s="63"/>
      <c r="L21" s="62"/>
    </row>
    <row r="22" spans="1:13" ht="20.25" customHeight="1" x14ac:dyDescent="0.25">
      <c r="A22" s="38">
        <f>A19+1</f>
        <v>9</v>
      </c>
      <c r="B22" s="37" t="s">
        <v>46</v>
      </c>
      <c r="C22" s="38" t="s">
        <v>24</v>
      </c>
      <c r="D22" s="151">
        <v>321.38</v>
      </c>
      <c r="E22" s="64">
        <v>308.75</v>
      </c>
      <c r="F22" s="35">
        <f t="shared" ref="F22:F28" si="11">ROUND(E22*D22,2)</f>
        <v>99226.08</v>
      </c>
      <c r="G22" s="35">
        <f t="shared" ref="G22:G29" si="12">ROUND(F22*1.2,2)</f>
        <v>119071.3</v>
      </c>
      <c r="H22" s="61"/>
      <c r="I22" s="62"/>
      <c r="J22" s="62"/>
      <c r="K22" s="64">
        <f t="shared" si="2"/>
        <v>99226.08</v>
      </c>
      <c r="L22" s="42">
        <f t="shared" si="2"/>
        <v>119071.3</v>
      </c>
    </row>
    <row r="23" spans="1:13" ht="20.25" customHeight="1" x14ac:dyDescent="0.25">
      <c r="A23" s="30">
        <f>A22+1</f>
        <v>10</v>
      </c>
      <c r="B23" s="37" t="s">
        <v>47</v>
      </c>
      <c r="C23" s="38" t="s">
        <v>24</v>
      </c>
      <c r="D23" s="151">
        <v>9.9499999999999993</v>
      </c>
      <c r="E23" s="64">
        <v>1688.15</v>
      </c>
      <c r="F23" s="35">
        <f t="shared" si="11"/>
        <v>16797.09</v>
      </c>
      <c r="G23" s="35">
        <f t="shared" si="12"/>
        <v>20156.509999999998</v>
      </c>
      <c r="H23" s="61"/>
      <c r="I23" s="62"/>
      <c r="J23" s="62"/>
      <c r="K23" s="64">
        <f t="shared" si="2"/>
        <v>16797.09</v>
      </c>
      <c r="L23" s="42">
        <f t="shared" si="2"/>
        <v>20156.509999999998</v>
      </c>
    </row>
    <row r="24" spans="1:13" ht="20.25" customHeight="1" x14ac:dyDescent="0.25">
      <c r="A24" s="30">
        <f t="shared" ref="A24" si="13">A23+1</f>
        <v>11</v>
      </c>
      <c r="B24" s="37" t="s">
        <v>48</v>
      </c>
      <c r="C24" s="38" t="s">
        <v>24</v>
      </c>
      <c r="D24" s="151">
        <v>6.86</v>
      </c>
      <c r="E24" s="64">
        <v>1310.05</v>
      </c>
      <c r="F24" s="35">
        <f t="shared" si="11"/>
        <v>8986.94</v>
      </c>
      <c r="G24" s="35">
        <f t="shared" si="12"/>
        <v>10784.33</v>
      </c>
      <c r="H24" s="61"/>
      <c r="I24" s="62"/>
      <c r="J24" s="62"/>
      <c r="K24" s="64">
        <f t="shared" ref="K24:L29" si="14">F24+I24</f>
        <v>8986.94</v>
      </c>
      <c r="L24" s="42">
        <f t="shared" si="14"/>
        <v>10784.33</v>
      </c>
    </row>
    <row r="25" spans="1:13" ht="20.25" customHeight="1" x14ac:dyDescent="0.25">
      <c r="A25" s="46" t="s">
        <v>49</v>
      </c>
      <c r="B25" s="47" t="s">
        <v>50</v>
      </c>
      <c r="C25" s="48" t="s">
        <v>24</v>
      </c>
      <c r="D25" s="49">
        <f>ROUND(6.86*1.1,2)</f>
        <v>7.55</v>
      </c>
      <c r="E25" s="51"/>
      <c r="F25" s="51"/>
      <c r="G25" s="51"/>
      <c r="H25" s="51">
        <v>1191.3</v>
      </c>
      <c r="I25" s="51">
        <f>ROUND(H25*D25,2)</f>
        <v>8994.32</v>
      </c>
      <c r="J25" s="51">
        <f>ROUND(I25*1.2,2)</f>
        <v>10793.18</v>
      </c>
      <c r="K25" s="52">
        <f t="shared" si="14"/>
        <v>8994.32</v>
      </c>
      <c r="L25" s="51">
        <f t="shared" si="14"/>
        <v>10793.18</v>
      </c>
    </row>
    <row r="26" spans="1:13" ht="20.25" customHeight="1" x14ac:dyDescent="0.25">
      <c r="A26" s="38">
        <f>A24+1</f>
        <v>12</v>
      </c>
      <c r="B26" s="37" t="s">
        <v>51</v>
      </c>
      <c r="C26" s="38" t="s">
        <v>24</v>
      </c>
      <c r="D26" s="151">
        <v>472.68</v>
      </c>
      <c r="E26" s="64">
        <v>1310.05</v>
      </c>
      <c r="F26" s="35">
        <f t="shared" si="11"/>
        <v>619234.43000000005</v>
      </c>
      <c r="G26" s="35">
        <f t="shared" si="12"/>
        <v>743081.32</v>
      </c>
      <c r="H26" s="61"/>
      <c r="I26" s="62"/>
      <c r="J26" s="62"/>
      <c r="K26" s="64">
        <f t="shared" si="14"/>
        <v>619234.43000000005</v>
      </c>
      <c r="L26" s="42">
        <f t="shared" si="14"/>
        <v>743081.32</v>
      </c>
    </row>
    <row r="27" spans="1:13" ht="20.25" customHeight="1" x14ac:dyDescent="0.25">
      <c r="A27" s="46" t="s">
        <v>52</v>
      </c>
      <c r="B27" s="47" t="s">
        <v>50</v>
      </c>
      <c r="C27" s="48" t="s">
        <v>24</v>
      </c>
      <c r="D27" s="49">
        <f>ROUND((472.68)*1.1,2)</f>
        <v>519.95000000000005</v>
      </c>
      <c r="E27" s="51"/>
      <c r="F27" s="51"/>
      <c r="G27" s="51"/>
      <c r="H27" s="51">
        <v>1191.3</v>
      </c>
      <c r="I27" s="51">
        <f>ROUND(H27*D27,2)</f>
        <v>619416.43999999994</v>
      </c>
      <c r="J27" s="51">
        <f>ROUND(I27*1.2,2)</f>
        <v>743299.73</v>
      </c>
      <c r="K27" s="52">
        <f t="shared" si="14"/>
        <v>619416.43999999994</v>
      </c>
      <c r="L27" s="51">
        <f t="shared" si="14"/>
        <v>743299.73</v>
      </c>
    </row>
    <row r="28" spans="1:13" s="66" customFormat="1" ht="21.75" customHeight="1" x14ac:dyDescent="0.25">
      <c r="A28" s="38">
        <f>A26+1</f>
        <v>13</v>
      </c>
      <c r="B28" s="37" t="s">
        <v>53</v>
      </c>
      <c r="C28" s="38" t="s">
        <v>24</v>
      </c>
      <c r="D28" s="151">
        <v>472.68</v>
      </c>
      <c r="E28" s="64">
        <v>188.1</v>
      </c>
      <c r="F28" s="35">
        <f t="shared" si="11"/>
        <v>88911.11</v>
      </c>
      <c r="G28" s="35">
        <f t="shared" si="12"/>
        <v>106693.33</v>
      </c>
      <c r="H28" s="61"/>
      <c r="I28" s="62"/>
      <c r="J28" s="62"/>
      <c r="K28" s="64">
        <f t="shared" si="14"/>
        <v>88911.11</v>
      </c>
      <c r="L28" s="42">
        <f t="shared" si="14"/>
        <v>106693.33</v>
      </c>
      <c r="M28" s="65"/>
    </row>
    <row r="29" spans="1:13" ht="18.75" customHeight="1" x14ac:dyDescent="0.25">
      <c r="A29" s="30">
        <f>A28+1</f>
        <v>14</v>
      </c>
      <c r="B29" s="37" t="s">
        <v>54</v>
      </c>
      <c r="C29" s="38" t="s">
        <v>38</v>
      </c>
      <c r="D29" s="151">
        <v>629.53</v>
      </c>
      <c r="E29" s="64">
        <v>308.75</v>
      </c>
      <c r="F29" s="35">
        <f>ROUND(E29*D29,2)</f>
        <v>194367.39</v>
      </c>
      <c r="G29" s="35">
        <f t="shared" si="12"/>
        <v>233240.87</v>
      </c>
      <c r="H29" s="64"/>
      <c r="I29" s="35"/>
      <c r="J29" s="35"/>
      <c r="K29" s="64">
        <f t="shared" si="14"/>
        <v>194367.39</v>
      </c>
      <c r="L29" s="42">
        <f t="shared" si="14"/>
        <v>233240.87</v>
      </c>
    </row>
    <row r="30" spans="1:13" ht="18" customHeight="1" x14ac:dyDescent="0.25">
      <c r="A30" s="46"/>
      <c r="B30" s="43" t="s">
        <v>55</v>
      </c>
      <c r="C30" s="38"/>
      <c r="D30" s="150"/>
      <c r="E30" s="58"/>
      <c r="F30" s="59"/>
      <c r="G30" s="60"/>
      <c r="H30" s="67"/>
      <c r="I30" s="35"/>
      <c r="J30" s="35"/>
      <c r="K30" s="32"/>
      <c r="L30" s="35"/>
    </row>
    <row r="31" spans="1:13" ht="31.5" customHeight="1" x14ac:dyDescent="0.25">
      <c r="A31" s="38">
        <f>A29+1</f>
        <v>15</v>
      </c>
      <c r="B31" s="37" t="s">
        <v>56</v>
      </c>
      <c r="C31" s="38" t="s">
        <v>22</v>
      </c>
      <c r="D31" s="150">
        <v>98</v>
      </c>
      <c r="E31" s="64">
        <v>966.15</v>
      </c>
      <c r="F31" s="35">
        <f t="shared" ref="F31:F40" si="15">ROUND(E31*D31,2)</f>
        <v>94682.7</v>
      </c>
      <c r="G31" s="35">
        <f t="shared" ref="G31:G40" si="16">ROUND(F31*1.2,2)</f>
        <v>113619.24</v>
      </c>
      <c r="H31" s="67"/>
      <c r="I31" s="35"/>
      <c r="J31" s="35"/>
      <c r="K31" s="64">
        <f t="shared" ref="K31:L41" si="17">F31+I31</f>
        <v>94682.7</v>
      </c>
      <c r="L31" s="42">
        <f t="shared" si="17"/>
        <v>113619.24</v>
      </c>
    </row>
    <row r="32" spans="1:13" ht="23.25" customHeight="1" x14ac:dyDescent="0.25">
      <c r="A32" s="46" t="s">
        <v>57</v>
      </c>
      <c r="B32" s="47" t="s">
        <v>58</v>
      </c>
      <c r="C32" s="48" t="s">
        <v>22</v>
      </c>
      <c r="D32" s="49">
        <f>ROUND(98*1.02,2)</f>
        <v>99.96</v>
      </c>
      <c r="E32" s="51"/>
      <c r="F32" s="51"/>
      <c r="G32" s="51"/>
      <c r="H32" s="68">
        <v>407.29</v>
      </c>
      <c r="I32" s="51">
        <f>ROUND(H32*D32,2)</f>
        <v>40712.71</v>
      </c>
      <c r="J32" s="51">
        <f>ROUND(I32*1.2,2)</f>
        <v>48855.25</v>
      </c>
      <c r="K32" s="52">
        <f t="shared" si="17"/>
        <v>40712.71</v>
      </c>
      <c r="L32" s="51">
        <f t="shared" si="17"/>
        <v>48855.25</v>
      </c>
      <c r="M32" s="69"/>
    </row>
    <row r="33" spans="1:13" ht="33.75" customHeight="1" x14ac:dyDescent="0.25">
      <c r="A33" s="38">
        <f>A31+1</f>
        <v>16</v>
      </c>
      <c r="B33" s="37" t="s">
        <v>59</v>
      </c>
      <c r="C33" s="38" t="s">
        <v>22</v>
      </c>
      <c r="D33" s="150">
        <v>24</v>
      </c>
      <c r="E33" s="64">
        <v>1450.65</v>
      </c>
      <c r="F33" s="35">
        <f t="shared" si="15"/>
        <v>34815.599999999999</v>
      </c>
      <c r="G33" s="35">
        <f t="shared" si="16"/>
        <v>41778.720000000001</v>
      </c>
      <c r="H33" s="67"/>
      <c r="I33" s="35"/>
      <c r="J33" s="35"/>
      <c r="K33" s="64">
        <f t="shared" si="17"/>
        <v>34815.599999999999</v>
      </c>
      <c r="L33" s="42">
        <f t="shared" si="17"/>
        <v>41778.720000000001</v>
      </c>
    </row>
    <row r="34" spans="1:13" ht="32.25" customHeight="1" x14ac:dyDescent="0.25">
      <c r="A34" s="46" t="s">
        <v>60</v>
      </c>
      <c r="B34" s="47" t="s">
        <v>61</v>
      </c>
      <c r="C34" s="48" t="s">
        <v>22</v>
      </c>
      <c r="D34" s="49">
        <f>ROUND(1.02*24,2)</f>
        <v>24.48</v>
      </c>
      <c r="E34" s="51"/>
      <c r="F34" s="51"/>
      <c r="G34" s="51"/>
      <c r="H34" s="68">
        <v>7288.13</v>
      </c>
      <c r="I34" s="68">
        <f>ROUND(H34*D34,2)</f>
        <v>178413.42</v>
      </c>
      <c r="J34" s="68">
        <f>ROUND(I34*1.2,2)</f>
        <v>214096.1</v>
      </c>
      <c r="K34" s="70">
        <f t="shared" si="17"/>
        <v>178413.42</v>
      </c>
      <c r="L34" s="68">
        <f t="shared" si="17"/>
        <v>214096.1</v>
      </c>
      <c r="M34" s="71"/>
    </row>
    <row r="35" spans="1:13" ht="32.25" customHeight="1" x14ac:dyDescent="0.25">
      <c r="A35" s="38">
        <f>A33+1</f>
        <v>17</v>
      </c>
      <c r="B35" s="37" t="s">
        <v>62</v>
      </c>
      <c r="C35" s="38" t="s">
        <v>22</v>
      </c>
      <c r="D35" s="150">
        <v>24</v>
      </c>
      <c r="E35" s="64">
        <v>1084.9000000000001</v>
      </c>
      <c r="F35" s="35">
        <f t="shared" si="15"/>
        <v>26037.599999999999</v>
      </c>
      <c r="G35" s="35">
        <f t="shared" si="16"/>
        <v>31245.119999999999</v>
      </c>
      <c r="H35" s="67"/>
      <c r="I35" s="35"/>
      <c r="J35" s="35"/>
      <c r="K35" s="64">
        <f t="shared" si="17"/>
        <v>26037.599999999999</v>
      </c>
      <c r="L35" s="42">
        <f t="shared" si="17"/>
        <v>31245.119999999999</v>
      </c>
    </row>
    <row r="36" spans="1:13" ht="24.75" customHeight="1" x14ac:dyDescent="0.25">
      <c r="A36" s="46" t="s">
        <v>63</v>
      </c>
      <c r="B36" s="47" t="s">
        <v>58</v>
      </c>
      <c r="C36" s="48" t="s">
        <v>22</v>
      </c>
      <c r="D36" s="49">
        <v>24</v>
      </c>
      <c r="E36" s="51"/>
      <c r="F36" s="51"/>
      <c r="G36" s="51"/>
      <c r="H36" s="68">
        <v>407.29</v>
      </c>
      <c r="I36" s="51">
        <f>ROUND(H36*D36,2)</f>
        <v>9774.9599999999991</v>
      </c>
      <c r="J36" s="51">
        <f>ROUND(I36*1.2,2)</f>
        <v>11729.95</v>
      </c>
      <c r="K36" s="52">
        <f t="shared" si="17"/>
        <v>9774.9599999999991</v>
      </c>
      <c r="L36" s="51">
        <f t="shared" si="17"/>
        <v>11729.95</v>
      </c>
      <c r="M36" s="69"/>
    </row>
    <row r="37" spans="1:13" ht="21.75" customHeight="1" x14ac:dyDescent="0.25">
      <c r="A37" s="46" t="s">
        <v>64</v>
      </c>
      <c r="B37" s="47" t="s">
        <v>65</v>
      </c>
      <c r="C37" s="48" t="s">
        <v>66</v>
      </c>
      <c r="D37" s="72">
        <v>12</v>
      </c>
      <c r="E37" s="51"/>
      <c r="F37" s="51"/>
      <c r="G37" s="51"/>
      <c r="H37" s="51">
        <v>541.5</v>
      </c>
      <c r="I37" s="51">
        <f>ROUND(H37*D37,2)</f>
        <v>6498</v>
      </c>
      <c r="J37" s="51">
        <f>ROUND(I37*1.2,2)</f>
        <v>7797.6</v>
      </c>
      <c r="K37" s="52">
        <f t="shared" si="17"/>
        <v>6498</v>
      </c>
      <c r="L37" s="51">
        <f t="shared" si="17"/>
        <v>7797.6</v>
      </c>
    </row>
    <row r="38" spans="1:13" ht="42.75" customHeight="1" x14ac:dyDescent="0.25">
      <c r="A38" s="38">
        <f>A35+1</f>
        <v>18</v>
      </c>
      <c r="B38" s="37" t="s">
        <v>67</v>
      </c>
      <c r="C38" s="38" t="s">
        <v>66</v>
      </c>
      <c r="D38" s="150">
        <v>6</v>
      </c>
      <c r="E38" s="64">
        <v>3190.34</v>
      </c>
      <c r="F38" s="35">
        <f t="shared" si="15"/>
        <v>19142.04</v>
      </c>
      <c r="G38" s="35">
        <f t="shared" si="16"/>
        <v>22970.45</v>
      </c>
      <c r="H38" s="67" t="s">
        <v>589</v>
      </c>
      <c r="I38" s="35"/>
      <c r="J38" s="35"/>
      <c r="K38" s="64">
        <f t="shared" si="17"/>
        <v>19142.04</v>
      </c>
      <c r="L38" s="42">
        <f t="shared" si="17"/>
        <v>22970.45</v>
      </c>
    </row>
    <row r="39" spans="1:13" ht="30" customHeight="1" x14ac:dyDescent="0.25">
      <c r="A39" s="46" t="s">
        <v>68</v>
      </c>
      <c r="B39" s="47" t="s">
        <v>69</v>
      </c>
      <c r="C39" s="48" t="s">
        <v>66</v>
      </c>
      <c r="D39" s="72">
        <v>6</v>
      </c>
      <c r="E39" s="51"/>
      <c r="F39" s="51"/>
      <c r="G39" s="51"/>
      <c r="H39" s="51">
        <v>731.5</v>
      </c>
      <c r="I39" s="51">
        <f>ROUND(H39*D39,2)</f>
        <v>4389</v>
      </c>
      <c r="J39" s="51">
        <f>ROUND(I39*1.2,2)</f>
        <v>5266.8</v>
      </c>
      <c r="K39" s="52">
        <f t="shared" si="17"/>
        <v>4389</v>
      </c>
      <c r="L39" s="51">
        <f t="shared" si="17"/>
        <v>5266.8</v>
      </c>
    </row>
    <row r="40" spans="1:13" ht="34.5" customHeight="1" x14ac:dyDescent="0.25">
      <c r="A40" s="38">
        <f>A38+1</f>
        <v>19</v>
      </c>
      <c r="B40" s="73" t="s">
        <v>70</v>
      </c>
      <c r="C40" s="38" t="s">
        <v>24</v>
      </c>
      <c r="D40" s="160">
        <v>1.57</v>
      </c>
      <c r="E40" s="64">
        <v>8327.42</v>
      </c>
      <c r="F40" s="35">
        <f t="shared" si="15"/>
        <v>13074.05</v>
      </c>
      <c r="G40" s="35">
        <f t="shared" si="16"/>
        <v>15688.86</v>
      </c>
      <c r="H40" s="67"/>
      <c r="I40" s="35"/>
      <c r="J40" s="35"/>
      <c r="K40" s="64">
        <f t="shared" si="17"/>
        <v>13074.05</v>
      </c>
      <c r="L40" s="42">
        <f t="shared" si="17"/>
        <v>15688.86</v>
      </c>
    </row>
    <row r="41" spans="1:13" ht="21" customHeight="1" x14ac:dyDescent="0.25">
      <c r="A41" s="46" t="s">
        <v>71</v>
      </c>
      <c r="B41" s="47" t="s">
        <v>72</v>
      </c>
      <c r="C41" s="48" t="s">
        <v>24</v>
      </c>
      <c r="D41" s="49">
        <f>ROUND(1.02*1.57,2)</f>
        <v>1.6</v>
      </c>
      <c r="E41" s="51"/>
      <c r="F41" s="51"/>
      <c r="G41" s="51"/>
      <c r="H41" s="51">
        <v>5322.58</v>
      </c>
      <c r="I41" s="51">
        <f>ROUND(H41*D41,2)</f>
        <v>8516.1299999999992</v>
      </c>
      <c r="J41" s="51">
        <f>ROUND(I41*1.2,2)</f>
        <v>10219.36</v>
      </c>
      <c r="K41" s="52">
        <f t="shared" si="17"/>
        <v>8516.1299999999992</v>
      </c>
      <c r="L41" s="51">
        <f t="shared" si="17"/>
        <v>10219.36</v>
      </c>
      <c r="M41" s="69"/>
    </row>
    <row r="42" spans="1:13" ht="18.75" customHeight="1" x14ac:dyDescent="0.25">
      <c r="A42" s="46"/>
      <c r="B42" s="43" t="s">
        <v>73</v>
      </c>
      <c r="C42" s="74"/>
      <c r="D42" s="75"/>
      <c r="E42" s="64"/>
      <c r="F42" s="35"/>
      <c r="G42" s="35"/>
      <c r="H42" s="67"/>
      <c r="I42" s="35"/>
      <c r="J42" s="35"/>
      <c r="K42" s="32"/>
      <c r="L42" s="35"/>
      <c r="M42" s="36"/>
    </row>
    <row r="43" spans="1:13" ht="18.75" customHeight="1" x14ac:dyDescent="0.25">
      <c r="A43" s="38">
        <f>A40+1</f>
        <v>20</v>
      </c>
      <c r="B43" s="73" t="s">
        <v>74</v>
      </c>
      <c r="C43" s="74" t="s">
        <v>22</v>
      </c>
      <c r="D43" s="159">
        <v>24.3</v>
      </c>
      <c r="E43" s="64">
        <v>2321.87</v>
      </c>
      <c r="F43" s="33">
        <f t="shared" ref="F43:F69" si="18">ROUND(E43*D43,2)</f>
        <v>56421.440000000002</v>
      </c>
      <c r="G43" s="33">
        <f t="shared" ref="G43:G69" si="19">ROUND(F43*1.2,2)</f>
        <v>67705.73</v>
      </c>
      <c r="H43" s="67"/>
      <c r="I43" s="35"/>
      <c r="J43" s="35"/>
      <c r="K43" s="64">
        <f t="shared" ref="K43:L69" si="20">F43+I43</f>
        <v>56421.440000000002</v>
      </c>
      <c r="L43" s="42">
        <f t="shared" si="20"/>
        <v>67705.73</v>
      </c>
      <c r="M43" s="21" t="s">
        <v>75</v>
      </c>
    </row>
    <row r="44" spans="1:13" ht="18.75" customHeight="1" x14ac:dyDescent="0.25">
      <c r="A44" s="46" t="s">
        <v>76</v>
      </c>
      <c r="B44" s="47" t="s">
        <v>58</v>
      </c>
      <c r="C44" s="48" t="s">
        <v>22</v>
      </c>
      <c r="D44" s="76">
        <f>ROUND(1.02*24.3,2)</f>
        <v>24.79</v>
      </c>
      <c r="E44" s="51"/>
      <c r="F44" s="51"/>
      <c r="G44" s="51"/>
      <c r="H44" s="68">
        <v>407.29</v>
      </c>
      <c r="I44" s="51">
        <f>ROUND(H44*D44,2)</f>
        <v>10096.719999999999</v>
      </c>
      <c r="J44" s="51">
        <f>ROUND(I44*1.2,2)</f>
        <v>12116.06</v>
      </c>
      <c r="K44" s="52">
        <f t="shared" si="20"/>
        <v>10096.719999999999</v>
      </c>
      <c r="L44" s="51">
        <f t="shared" si="20"/>
        <v>12116.06</v>
      </c>
      <c r="M44" s="69"/>
    </row>
    <row r="45" spans="1:13" ht="18.75" customHeight="1" x14ac:dyDescent="0.25">
      <c r="A45" s="38">
        <f>A43+1</f>
        <v>21</v>
      </c>
      <c r="B45" s="73" t="s">
        <v>77</v>
      </c>
      <c r="C45" s="38" t="s">
        <v>66</v>
      </c>
      <c r="D45" s="158">
        <v>5</v>
      </c>
      <c r="E45" s="64">
        <f>ROUND(1.33*4581.51,2)</f>
        <v>6093.41</v>
      </c>
      <c r="F45" s="33">
        <f t="shared" si="18"/>
        <v>30467.05</v>
      </c>
      <c r="G45" s="33">
        <f t="shared" si="19"/>
        <v>36560.46</v>
      </c>
      <c r="H45" s="67"/>
      <c r="I45" s="35"/>
      <c r="J45" s="35"/>
      <c r="K45" s="64">
        <f t="shared" si="20"/>
        <v>30467.05</v>
      </c>
      <c r="L45" s="42">
        <f t="shared" si="20"/>
        <v>36560.46</v>
      </c>
    </row>
    <row r="46" spans="1:13" ht="18.75" customHeight="1" x14ac:dyDescent="0.25">
      <c r="A46" s="46" t="s">
        <v>78</v>
      </c>
      <c r="B46" s="78" t="s">
        <v>79</v>
      </c>
      <c r="C46" s="48" t="s">
        <v>66</v>
      </c>
      <c r="D46" s="79">
        <v>5</v>
      </c>
      <c r="E46" s="70"/>
      <c r="F46" s="51"/>
      <c r="G46" s="51"/>
      <c r="H46" s="68">
        <f>ROUND((3909*1.15)/1.2,2)</f>
        <v>3746.13</v>
      </c>
      <c r="I46" s="51">
        <f>ROUND(H46*D46,2)</f>
        <v>18730.650000000001</v>
      </c>
      <c r="J46" s="51">
        <f>ROUND(I46*1.2,2)</f>
        <v>22476.78</v>
      </c>
      <c r="K46" s="52">
        <f t="shared" si="20"/>
        <v>18730.650000000001</v>
      </c>
      <c r="L46" s="51">
        <f t="shared" si="20"/>
        <v>22476.78</v>
      </c>
      <c r="M46" s="71" t="s">
        <v>80</v>
      </c>
    </row>
    <row r="47" spans="1:13" ht="18.75" customHeight="1" x14ac:dyDescent="0.25">
      <c r="A47" s="38">
        <f>A45+1</f>
        <v>22</v>
      </c>
      <c r="B47" s="73" t="s">
        <v>81</v>
      </c>
      <c r="C47" s="38" t="s">
        <v>66</v>
      </c>
      <c r="D47" s="158">
        <v>1</v>
      </c>
      <c r="E47" s="64">
        <f>ROUND(1.33*4581.52,2)</f>
        <v>6093.42</v>
      </c>
      <c r="F47" s="33">
        <f t="shared" si="18"/>
        <v>6093.42</v>
      </c>
      <c r="G47" s="33">
        <f t="shared" si="19"/>
        <v>7312.1</v>
      </c>
      <c r="H47" s="80"/>
      <c r="I47" s="35"/>
      <c r="J47" s="35"/>
      <c r="K47" s="64">
        <f t="shared" si="20"/>
        <v>6093.42</v>
      </c>
      <c r="L47" s="42">
        <f t="shared" si="20"/>
        <v>7312.1</v>
      </c>
    </row>
    <row r="48" spans="1:13" ht="18.75" customHeight="1" x14ac:dyDescent="0.25">
      <c r="A48" s="46" t="s">
        <v>82</v>
      </c>
      <c r="B48" s="78" t="s">
        <v>83</v>
      </c>
      <c r="C48" s="48" t="s">
        <v>66</v>
      </c>
      <c r="D48" s="79">
        <v>1</v>
      </c>
      <c r="E48" s="70"/>
      <c r="F48" s="51"/>
      <c r="G48" s="51"/>
      <c r="H48" s="68">
        <f>ROUND((4555*1.15)/1.2,2)</f>
        <v>4365.21</v>
      </c>
      <c r="I48" s="51">
        <f>ROUND(H48*D48,2)</f>
        <v>4365.21</v>
      </c>
      <c r="J48" s="51">
        <f>ROUND(I48*1.2,2)</f>
        <v>5238.25</v>
      </c>
      <c r="K48" s="52">
        <f t="shared" si="20"/>
        <v>4365.21</v>
      </c>
      <c r="L48" s="51">
        <f t="shared" si="20"/>
        <v>5238.25</v>
      </c>
      <c r="M48" s="71" t="s">
        <v>80</v>
      </c>
    </row>
    <row r="49" spans="1:13" ht="18.75" customHeight="1" x14ac:dyDescent="0.25">
      <c r="A49" s="38">
        <f>A47+1</f>
        <v>23</v>
      </c>
      <c r="B49" s="73" t="s">
        <v>84</v>
      </c>
      <c r="C49" s="38" t="s">
        <v>66</v>
      </c>
      <c r="D49" s="158">
        <v>11</v>
      </c>
      <c r="E49" s="64">
        <f>ROUND(1.33*1468.66,2)</f>
        <v>1953.32</v>
      </c>
      <c r="F49" s="33">
        <f t="shared" si="18"/>
        <v>21486.52</v>
      </c>
      <c r="G49" s="33">
        <f t="shared" si="19"/>
        <v>25783.82</v>
      </c>
      <c r="H49" s="80"/>
      <c r="I49" s="35"/>
      <c r="J49" s="35"/>
      <c r="K49" s="64">
        <f t="shared" si="20"/>
        <v>21486.52</v>
      </c>
      <c r="L49" s="42">
        <f t="shared" si="20"/>
        <v>25783.82</v>
      </c>
    </row>
    <row r="50" spans="1:13" ht="18.75" customHeight="1" x14ac:dyDescent="0.25">
      <c r="A50" s="46" t="s">
        <v>85</v>
      </c>
      <c r="B50" s="78" t="s">
        <v>86</v>
      </c>
      <c r="C50" s="48" t="s">
        <v>66</v>
      </c>
      <c r="D50" s="79">
        <v>11</v>
      </c>
      <c r="E50" s="70"/>
      <c r="F50" s="51"/>
      <c r="G50" s="51"/>
      <c r="H50" s="68">
        <f>ROUND((3184*1.15)/1.2,2)</f>
        <v>3051.33</v>
      </c>
      <c r="I50" s="51">
        <f>ROUND(H50*D50,2)</f>
        <v>33564.629999999997</v>
      </c>
      <c r="J50" s="51">
        <f>ROUND(I50*1.2,2)</f>
        <v>40277.56</v>
      </c>
      <c r="K50" s="52">
        <f t="shared" si="20"/>
        <v>33564.629999999997</v>
      </c>
      <c r="L50" s="51">
        <f t="shared" si="20"/>
        <v>40277.56</v>
      </c>
      <c r="M50" s="71" t="s">
        <v>80</v>
      </c>
    </row>
    <row r="51" spans="1:13" ht="18.75" customHeight="1" x14ac:dyDescent="0.25">
      <c r="A51" s="38">
        <f>A49+1</f>
        <v>24</v>
      </c>
      <c r="B51" s="73" t="s">
        <v>87</v>
      </c>
      <c r="C51" s="38" t="s">
        <v>66</v>
      </c>
      <c r="D51" s="158">
        <v>11</v>
      </c>
      <c r="E51" s="64">
        <v>1398.85</v>
      </c>
      <c r="F51" s="33">
        <f t="shared" si="18"/>
        <v>15387.35</v>
      </c>
      <c r="G51" s="33">
        <f t="shared" si="19"/>
        <v>18464.82</v>
      </c>
      <c r="H51" s="67"/>
      <c r="I51" s="35"/>
      <c r="J51" s="35"/>
      <c r="K51" s="64">
        <f t="shared" si="20"/>
        <v>15387.35</v>
      </c>
      <c r="L51" s="42">
        <f t="shared" si="20"/>
        <v>18464.82</v>
      </c>
    </row>
    <row r="52" spans="1:13" ht="18.75" customHeight="1" x14ac:dyDescent="0.25">
      <c r="A52" s="46" t="s">
        <v>88</v>
      </c>
      <c r="B52" s="78" t="s">
        <v>89</v>
      </c>
      <c r="C52" s="48" t="s">
        <v>66</v>
      </c>
      <c r="D52" s="79">
        <v>11</v>
      </c>
      <c r="E52" s="70"/>
      <c r="F52" s="51"/>
      <c r="G52" s="51"/>
      <c r="H52" s="51">
        <v>585.20000000000005</v>
      </c>
      <c r="I52" s="51">
        <f>ROUND(H52*D52,2)</f>
        <v>6437.2</v>
      </c>
      <c r="J52" s="51">
        <f>ROUND(I52*1.2,2)</f>
        <v>7724.64</v>
      </c>
      <c r="K52" s="52">
        <f t="shared" si="20"/>
        <v>6437.2</v>
      </c>
      <c r="L52" s="51">
        <f t="shared" si="20"/>
        <v>7724.64</v>
      </c>
    </row>
    <row r="53" spans="1:13" ht="18.75" customHeight="1" x14ac:dyDescent="0.25">
      <c r="A53" s="38">
        <f>A51+1</f>
        <v>25</v>
      </c>
      <c r="B53" s="73" t="s">
        <v>90</v>
      </c>
      <c r="C53" s="38" t="s">
        <v>66</v>
      </c>
      <c r="D53" s="158">
        <v>1</v>
      </c>
      <c r="E53" s="64">
        <f>ROUND(1.33*3673.47,2)</f>
        <v>4885.72</v>
      </c>
      <c r="F53" s="33">
        <f t="shared" si="18"/>
        <v>4885.72</v>
      </c>
      <c r="G53" s="33">
        <f t="shared" si="19"/>
        <v>5862.86</v>
      </c>
      <c r="H53" s="67"/>
      <c r="I53" s="35"/>
      <c r="J53" s="35"/>
      <c r="K53" s="64">
        <f t="shared" si="20"/>
        <v>4885.72</v>
      </c>
      <c r="L53" s="42">
        <f t="shared" si="20"/>
        <v>5862.86</v>
      </c>
    </row>
    <row r="54" spans="1:13" ht="18.75" customHeight="1" x14ac:dyDescent="0.25">
      <c r="A54" s="46" t="s">
        <v>91</v>
      </c>
      <c r="B54" s="78" t="s">
        <v>92</v>
      </c>
      <c r="C54" s="48" t="s">
        <v>66</v>
      </c>
      <c r="D54" s="79">
        <v>11</v>
      </c>
      <c r="E54" s="70"/>
      <c r="F54" s="51"/>
      <c r="G54" s="51"/>
      <c r="H54" s="68">
        <f>ROUND((19206*1.15)/1.2,2)</f>
        <v>18405.75</v>
      </c>
      <c r="I54" s="51">
        <f>ROUND(H54*D54,2)</f>
        <v>202463.25</v>
      </c>
      <c r="J54" s="51">
        <f>ROUND(I54*1.2,2)</f>
        <v>242955.9</v>
      </c>
      <c r="K54" s="52">
        <f t="shared" si="20"/>
        <v>202463.25</v>
      </c>
      <c r="L54" s="51">
        <f t="shared" si="20"/>
        <v>242955.9</v>
      </c>
      <c r="M54" s="71" t="s">
        <v>80</v>
      </c>
    </row>
    <row r="55" spans="1:13" ht="18.75" customHeight="1" x14ac:dyDescent="0.25">
      <c r="A55" s="38">
        <f>A53+1</f>
        <v>26</v>
      </c>
      <c r="B55" s="73" t="s">
        <v>93</v>
      </c>
      <c r="C55" s="38" t="s">
        <v>66</v>
      </c>
      <c r="D55" s="158">
        <v>1</v>
      </c>
      <c r="E55" s="64">
        <f>ROUND(1.33*4581.52,2)</f>
        <v>6093.42</v>
      </c>
      <c r="F55" s="33">
        <f t="shared" si="18"/>
        <v>6093.42</v>
      </c>
      <c r="G55" s="33">
        <f t="shared" si="19"/>
        <v>7312.1</v>
      </c>
      <c r="H55" s="80"/>
      <c r="I55" s="35"/>
      <c r="J55" s="35"/>
      <c r="K55" s="64">
        <f t="shared" si="20"/>
        <v>6093.42</v>
      </c>
      <c r="L55" s="42">
        <f t="shared" si="20"/>
        <v>7312.1</v>
      </c>
    </row>
    <row r="56" spans="1:13" ht="18.75" customHeight="1" x14ac:dyDescent="0.25">
      <c r="A56" s="46" t="s">
        <v>94</v>
      </c>
      <c r="B56" s="78" t="s">
        <v>95</v>
      </c>
      <c r="C56" s="48" t="s">
        <v>66</v>
      </c>
      <c r="D56" s="79">
        <v>1</v>
      </c>
      <c r="E56" s="70"/>
      <c r="F56" s="51"/>
      <c r="G56" s="51"/>
      <c r="H56" s="68">
        <f>ROUND((1300*1.15)/1.2,2)</f>
        <v>1245.83</v>
      </c>
      <c r="I56" s="51">
        <f>ROUND(H56*D56,2)</f>
        <v>1245.83</v>
      </c>
      <c r="J56" s="51">
        <f>ROUND(I56*1.2,2)</f>
        <v>1495</v>
      </c>
      <c r="K56" s="52">
        <f t="shared" si="20"/>
        <v>1245.83</v>
      </c>
      <c r="L56" s="51">
        <f t="shared" si="20"/>
        <v>1495</v>
      </c>
      <c r="M56" s="71" t="s">
        <v>80</v>
      </c>
    </row>
    <row r="57" spans="1:13" ht="18.75" customHeight="1" x14ac:dyDescent="0.25">
      <c r="A57" s="38">
        <f>A55+1</f>
        <v>27</v>
      </c>
      <c r="B57" s="73" t="s">
        <v>96</v>
      </c>
      <c r="C57" s="38" t="s">
        <v>66</v>
      </c>
      <c r="D57" s="158">
        <v>2</v>
      </c>
      <c r="E57" s="64">
        <f>ROUND(1.33*2164.85,2)</f>
        <v>2879.25</v>
      </c>
      <c r="F57" s="33">
        <f t="shared" si="18"/>
        <v>5758.5</v>
      </c>
      <c r="G57" s="33">
        <f t="shared" si="19"/>
        <v>6910.2</v>
      </c>
      <c r="H57" s="80"/>
      <c r="I57" s="35"/>
      <c r="J57" s="35"/>
      <c r="K57" s="64">
        <f t="shared" si="20"/>
        <v>5758.5</v>
      </c>
      <c r="L57" s="42">
        <f t="shared" si="20"/>
        <v>6910.2</v>
      </c>
    </row>
    <row r="58" spans="1:13" ht="18.75" customHeight="1" x14ac:dyDescent="0.25">
      <c r="A58" s="46" t="s">
        <v>97</v>
      </c>
      <c r="B58" s="78" t="s">
        <v>98</v>
      </c>
      <c r="C58" s="48" t="s">
        <v>66</v>
      </c>
      <c r="D58" s="79">
        <v>2</v>
      </c>
      <c r="E58" s="70"/>
      <c r="F58" s="51"/>
      <c r="G58" s="51"/>
      <c r="H58" s="68">
        <f>ROUND((1404*1.15)/1.2,2)</f>
        <v>1345.5</v>
      </c>
      <c r="I58" s="51">
        <f>ROUND(H58*D58,2)</f>
        <v>2691</v>
      </c>
      <c r="J58" s="51">
        <f>ROUND(I58*1.2,2)</f>
        <v>3229.2</v>
      </c>
      <c r="K58" s="52">
        <f t="shared" si="20"/>
        <v>2691</v>
      </c>
      <c r="L58" s="51">
        <f t="shared" si="20"/>
        <v>3229.2</v>
      </c>
      <c r="M58" s="71" t="s">
        <v>80</v>
      </c>
    </row>
    <row r="59" spans="1:13" ht="18.75" customHeight="1" x14ac:dyDescent="0.25">
      <c r="A59" s="38">
        <f>A57+1</f>
        <v>28</v>
      </c>
      <c r="B59" s="73" t="s">
        <v>99</v>
      </c>
      <c r="C59" s="38" t="s">
        <v>66</v>
      </c>
      <c r="D59" s="158">
        <v>5</v>
      </c>
      <c r="E59" s="64">
        <v>4704.3999999999996</v>
      </c>
      <c r="F59" s="33">
        <f t="shared" si="18"/>
        <v>23522</v>
      </c>
      <c r="G59" s="33">
        <f t="shared" si="19"/>
        <v>28226.400000000001</v>
      </c>
      <c r="H59" s="67"/>
      <c r="I59" s="35"/>
      <c r="J59" s="35"/>
      <c r="K59" s="64">
        <f t="shared" si="20"/>
        <v>23522</v>
      </c>
      <c r="L59" s="42">
        <f t="shared" si="20"/>
        <v>28226.400000000001</v>
      </c>
      <c r="M59" s="21" t="s">
        <v>100</v>
      </c>
    </row>
    <row r="60" spans="1:13" ht="18.75" customHeight="1" x14ac:dyDescent="0.25">
      <c r="A60" s="46" t="s">
        <v>101</v>
      </c>
      <c r="B60" s="78" t="s">
        <v>102</v>
      </c>
      <c r="C60" s="48" t="s">
        <v>66</v>
      </c>
      <c r="D60" s="79">
        <v>5</v>
      </c>
      <c r="E60" s="70"/>
      <c r="F60" s="51"/>
      <c r="G60" s="51"/>
      <c r="H60" s="51">
        <v>1254</v>
      </c>
      <c r="I60" s="51">
        <f>ROUND(H60*D60,2)</f>
        <v>6270</v>
      </c>
      <c r="J60" s="51">
        <f>ROUND(I60*1.2,2)</f>
        <v>7524</v>
      </c>
      <c r="K60" s="52">
        <f t="shared" si="20"/>
        <v>6270</v>
      </c>
      <c r="L60" s="51">
        <f t="shared" si="20"/>
        <v>7524</v>
      </c>
      <c r="M60" s="21" t="s">
        <v>100</v>
      </c>
    </row>
    <row r="61" spans="1:13" ht="18.75" customHeight="1" x14ac:dyDescent="0.25">
      <c r="A61" s="38">
        <f>A59+1</f>
        <v>29</v>
      </c>
      <c r="B61" s="73" t="s">
        <v>103</v>
      </c>
      <c r="C61" s="38" t="s">
        <v>66</v>
      </c>
      <c r="D61" s="158">
        <v>9</v>
      </c>
      <c r="E61" s="64">
        <f>ROUND(1.33*1468.66,2)</f>
        <v>1953.32</v>
      </c>
      <c r="F61" s="33">
        <f t="shared" si="18"/>
        <v>17579.88</v>
      </c>
      <c r="G61" s="33">
        <f t="shared" si="19"/>
        <v>21095.86</v>
      </c>
      <c r="H61" s="67"/>
      <c r="I61" s="35"/>
      <c r="J61" s="35"/>
      <c r="K61" s="64">
        <f t="shared" si="20"/>
        <v>17579.88</v>
      </c>
      <c r="L61" s="42">
        <f t="shared" si="20"/>
        <v>21095.86</v>
      </c>
    </row>
    <row r="62" spans="1:13" ht="18.75" customHeight="1" x14ac:dyDescent="0.25">
      <c r="A62" s="46" t="s">
        <v>104</v>
      </c>
      <c r="B62" s="78" t="s">
        <v>105</v>
      </c>
      <c r="C62" s="48" t="s">
        <v>66</v>
      </c>
      <c r="D62" s="79">
        <v>9</v>
      </c>
      <c r="E62" s="70"/>
      <c r="F62" s="51"/>
      <c r="G62" s="51"/>
      <c r="H62" s="68">
        <f>ROUND((644*1.15)/1.2,2)</f>
        <v>617.16999999999996</v>
      </c>
      <c r="I62" s="51">
        <f>ROUND(H62*D62,2)</f>
        <v>5554.53</v>
      </c>
      <c r="J62" s="51">
        <f>ROUND(I62*1.2,2)</f>
        <v>6665.44</v>
      </c>
      <c r="K62" s="52">
        <f t="shared" si="20"/>
        <v>5554.53</v>
      </c>
      <c r="L62" s="51">
        <f t="shared" si="20"/>
        <v>6665.44</v>
      </c>
      <c r="M62" s="71" t="s">
        <v>80</v>
      </c>
    </row>
    <row r="63" spans="1:13" ht="33.75" customHeight="1" x14ac:dyDescent="0.25">
      <c r="A63" s="38">
        <f>A61+1</f>
        <v>30</v>
      </c>
      <c r="B63" s="73" t="s">
        <v>106</v>
      </c>
      <c r="C63" s="38" t="s">
        <v>66</v>
      </c>
      <c r="D63" s="158">
        <v>1</v>
      </c>
      <c r="E63" s="64">
        <v>4704.3999999999996</v>
      </c>
      <c r="F63" s="33">
        <f t="shared" si="18"/>
        <v>4704.3999999999996</v>
      </c>
      <c r="G63" s="33">
        <f t="shared" si="19"/>
        <v>5645.28</v>
      </c>
      <c r="H63" s="67"/>
      <c r="I63" s="35"/>
      <c r="J63" s="35"/>
      <c r="K63" s="64">
        <f t="shared" si="20"/>
        <v>4704.3999999999996</v>
      </c>
      <c r="L63" s="42">
        <f t="shared" si="20"/>
        <v>5645.28</v>
      </c>
      <c r="M63" s="71" t="s">
        <v>100</v>
      </c>
    </row>
    <row r="64" spans="1:13" ht="18.75" customHeight="1" x14ac:dyDescent="0.25">
      <c r="A64" s="46" t="s">
        <v>107</v>
      </c>
      <c r="B64" s="78" t="s">
        <v>108</v>
      </c>
      <c r="C64" s="48" t="s">
        <v>66</v>
      </c>
      <c r="D64" s="79">
        <v>1</v>
      </c>
      <c r="E64" s="70"/>
      <c r="F64" s="51"/>
      <c r="G64" s="51"/>
      <c r="H64" s="68">
        <f>ROUND((1905*1.15)/1.2,2)</f>
        <v>1825.63</v>
      </c>
      <c r="I64" s="51">
        <f>ROUND(H64*D64,2)</f>
        <v>1825.63</v>
      </c>
      <c r="J64" s="51">
        <f>ROUND(I64*1.2,2)</f>
        <v>2190.7600000000002</v>
      </c>
      <c r="K64" s="52">
        <f t="shared" si="20"/>
        <v>1825.63</v>
      </c>
      <c r="L64" s="51">
        <f t="shared" si="20"/>
        <v>2190.7600000000002</v>
      </c>
      <c r="M64" s="71" t="s">
        <v>80</v>
      </c>
    </row>
    <row r="65" spans="1:13" ht="18" customHeight="1" x14ac:dyDescent="0.25">
      <c r="A65" s="38">
        <f>A63+1</f>
        <v>31</v>
      </c>
      <c r="B65" s="73" t="s">
        <v>109</v>
      </c>
      <c r="C65" s="38" t="s">
        <v>66</v>
      </c>
      <c r="D65" s="158">
        <v>1</v>
      </c>
      <c r="E65" s="64">
        <f>ROUND(1.33*3090.81,2)</f>
        <v>4110.78</v>
      </c>
      <c r="F65" s="33">
        <f t="shared" si="18"/>
        <v>4110.78</v>
      </c>
      <c r="G65" s="33">
        <f t="shared" si="19"/>
        <v>4932.9399999999996</v>
      </c>
      <c r="H65" s="67"/>
      <c r="I65" s="35"/>
      <c r="J65" s="35"/>
      <c r="K65" s="64">
        <f t="shared" si="20"/>
        <v>4110.78</v>
      </c>
      <c r="L65" s="42">
        <f t="shared" si="20"/>
        <v>4932.9399999999996</v>
      </c>
    </row>
    <row r="66" spans="1:13" ht="18" customHeight="1" x14ac:dyDescent="0.25">
      <c r="A66" s="46" t="s">
        <v>110</v>
      </c>
      <c r="B66" s="78" t="s">
        <v>111</v>
      </c>
      <c r="C66" s="48" t="s">
        <v>66</v>
      </c>
      <c r="D66" s="79">
        <v>1</v>
      </c>
      <c r="E66" s="70"/>
      <c r="F66" s="51"/>
      <c r="G66" s="51"/>
      <c r="H66" s="68">
        <f>ROUND((1155*1.15)/1.2,2)</f>
        <v>1106.8800000000001</v>
      </c>
      <c r="I66" s="51">
        <f>ROUND(H66*D66,2)</f>
        <v>1106.8800000000001</v>
      </c>
      <c r="J66" s="51">
        <f>ROUND(I66*1.2,2)</f>
        <v>1328.26</v>
      </c>
      <c r="K66" s="52">
        <f t="shared" si="20"/>
        <v>1106.8800000000001</v>
      </c>
      <c r="L66" s="51">
        <f t="shared" si="20"/>
        <v>1328.26</v>
      </c>
      <c r="M66" s="71" t="s">
        <v>80</v>
      </c>
    </row>
    <row r="67" spans="1:13" ht="20.25" customHeight="1" x14ac:dyDescent="0.25">
      <c r="A67" s="38">
        <f>A65+1</f>
        <v>32</v>
      </c>
      <c r="B67" s="73" t="s">
        <v>112</v>
      </c>
      <c r="C67" s="38" t="s">
        <v>66</v>
      </c>
      <c r="D67" s="158">
        <v>1</v>
      </c>
      <c r="E67" s="64">
        <v>1398.85</v>
      </c>
      <c r="F67" s="33">
        <f t="shared" si="18"/>
        <v>1398.85</v>
      </c>
      <c r="G67" s="33">
        <f t="shared" si="19"/>
        <v>1678.62</v>
      </c>
      <c r="H67" s="80"/>
      <c r="I67" s="35"/>
      <c r="J67" s="35"/>
      <c r="K67" s="64">
        <f t="shared" si="20"/>
        <v>1398.85</v>
      </c>
      <c r="L67" s="42">
        <f t="shared" si="20"/>
        <v>1678.62</v>
      </c>
    </row>
    <row r="68" spans="1:13" ht="20.25" customHeight="1" x14ac:dyDescent="0.25">
      <c r="A68" s="46" t="s">
        <v>113</v>
      </c>
      <c r="B68" s="78" t="s">
        <v>114</v>
      </c>
      <c r="C68" s="48" t="s">
        <v>66</v>
      </c>
      <c r="D68" s="79">
        <v>1</v>
      </c>
      <c r="E68" s="70"/>
      <c r="F68" s="51"/>
      <c r="G68" s="51"/>
      <c r="H68" s="68">
        <f>ROUND((414*1.15)/1.2,2)</f>
        <v>396.75</v>
      </c>
      <c r="I68" s="51">
        <f>ROUND(H68*D68,2)</f>
        <v>396.75</v>
      </c>
      <c r="J68" s="51">
        <f>ROUND(I68*1.2,2)</f>
        <v>476.1</v>
      </c>
      <c r="K68" s="52">
        <f t="shared" si="20"/>
        <v>396.75</v>
      </c>
      <c r="L68" s="51">
        <f t="shared" si="20"/>
        <v>476.1</v>
      </c>
      <c r="M68" s="71" t="s">
        <v>80</v>
      </c>
    </row>
    <row r="69" spans="1:13" x14ac:dyDescent="0.25">
      <c r="A69" s="38">
        <f>A67+1</f>
        <v>33</v>
      </c>
      <c r="B69" s="73" t="s">
        <v>115</v>
      </c>
      <c r="C69" s="38" t="s">
        <v>66</v>
      </c>
      <c r="D69" s="158">
        <v>1</v>
      </c>
      <c r="E69" s="64">
        <f>ROUND(1.33*3090.81,2)</f>
        <v>4110.78</v>
      </c>
      <c r="F69" s="33">
        <f t="shared" si="18"/>
        <v>4110.78</v>
      </c>
      <c r="G69" s="33">
        <f t="shared" si="19"/>
        <v>4932.9399999999996</v>
      </c>
      <c r="H69" s="80"/>
      <c r="I69" s="35"/>
      <c r="J69" s="35"/>
      <c r="K69" s="64">
        <f t="shared" si="20"/>
        <v>4110.78</v>
      </c>
      <c r="L69" s="42">
        <f t="shared" si="20"/>
        <v>4932.9399999999996</v>
      </c>
    </row>
    <row r="70" spans="1:13" ht="19.5" customHeight="1" x14ac:dyDescent="0.25">
      <c r="A70" s="46" t="s">
        <v>116</v>
      </c>
      <c r="B70" s="78" t="s">
        <v>117</v>
      </c>
      <c r="C70" s="48" t="s">
        <v>66</v>
      </c>
      <c r="D70" s="79">
        <v>1</v>
      </c>
      <c r="E70" s="70"/>
      <c r="F70" s="51"/>
      <c r="G70" s="51"/>
      <c r="H70" s="68">
        <f>ROUND((30443*1.15)/1.2,2)</f>
        <v>29174.54</v>
      </c>
      <c r="I70" s="51">
        <f>ROUND(H70*D70,2)</f>
        <v>29174.54</v>
      </c>
      <c r="J70" s="51">
        <f>ROUND(I70*1.2,2)</f>
        <v>35009.449999999997</v>
      </c>
      <c r="K70" s="52">
        <f t="shared" ref="K70:L70" si="21">F70+I70</f>
        <v>29174.54</v>
      </c>
      <c r="L70" s="51">
        <f t="shared" si="21"/>
        <v>35009.449999999997</v>
      </c>
      <c r="M70" s="71" t="s">
        <v>80</v>
      </c>
    </row>
    <row r="71" spans="1:13" ht="21.75" customHeight="1" x14ac:dyDescent="0.25">
      <c r="A71" s="46"/>
      <c r="B71" s="188" t="s">
        <v>118</v>
      </c>
      <c r="C71" s="189"/>
      <c r="D71" s="77"/>
      <c r="E71" s="64"/>
      <c r="F71" s="35"/>
      <c r="G71" s="35"/>
      <c r="H71" s="67"/>
      <c r="I71" s="35"/>
      <c r="J71" s="35"/>
      <c r="K71" s="32"/>
      <c r="L71" s="35"/>
    </row>
    <row r="72" spans="1:13" ht="18" customHeight="1" x14ac:dyDescent="0.25">
      <c r="A72" s="38">
        <f>A69+1</f>
        <v>34</v>
      </c>
      <c r="B72" s="81" t="s">
        <v>119</v>
      </c>
      <c r="C72" s="30" t="s">
        <v>22</v>
      </c>
      <c r="D72" s="161">
        <v>18.2</v>
      </c>
      <c r="E72" s="64">
        <v>335.39</v>
      </c>
      <c r="F72" s="33">
        <f t="shared" ref="F72:F92" si="22">ROUND(E72*D72,2)</f>
        <v>6104.1</v>
      </c>
      <c r="G72" s="33">
        <f t="shared" ref="G72:G90" si="23">ROUND(F72*1.2,2)</f>
        <v>7324.92</v>
      </c>
      <c r="H72" s="64"/>
      <c r="I72" s="35"/>
      <c r="J72" s="35"/>
      <c r="K72" s="64">
        <f t="shared" ref="K72:L90" si="24">F72+I72</f>
        <v>6104.1</v>
      </c>
      <c r="L72" s="42">
        <f t="shared" si="24"/>
        <v>7324.92</v>
      </c>
      <c r="M72" s="71"/>
    </row>
    <row r="73" spans="1:13" ht="18" customHeight="1" x14ac:dyDescent="0.25">
      <c r="A73" s="46" t="s">
        <v>120</v>
      </c>
      <c r="B73" s="82" t="s">
        <v>121</v>
      </c>
      <c r="C73" s="83" t="s">
        <v>22</v>
      </c>
      <c r="D73" s="84">
        <f>ROUND(1.02*18.2,2)</f>
        <v>18.559999999999999</v>
      </c>
      <c r="E73" s="70"/>
      <c r="F73" s="51"/>
      <c r="G73" s="51"/>
      <c r="H73" s="68">
        <f>ROUND((96*1.15)/1.2,2)</f>
        <v>92</v>
      </c>
      <c r="I73" s="51">
        <f>ROUND(H73*D73,2)</f>
        <v>1707.52</v>
      </c>
      <c r="J73" s="51">
        <f>ROUND(I73*1.2,2)</f>
        <v>2049.02</v>
      </c>
      <c r="K73" s="52">
        <f t="shared" si="24"/>
        <v>1707.52</v>
      </c>
      <c r="L73" s="51">
        <f t="shared" si="24"/>
        <v>2049.02</v>
      </c>
      <c r="M73" s="71" t="s">
        <v>80</v>
      </c>
    </row>
    <row r="74" spans="1:13" ht="18" customHeight="1" x14ac:dyDescent="0.25">
      <c r="A74" s="38">
        <f>A72+1</f>
        <v>35</v>
      </c>
      <c r="B74" s="81" t="s">
        <v>119</v>
      </c>
      <c r="C74" s="30" t="s">
        <v>22</v>
      </c>
      <c r="D74" s="162">
        <v>13.65</v>
      </c>
      <c r="E74" s="64">
        <v>335.39</v>
      </c>
      <c r="F74" s="33">
        <f t="shared" si="22"/>
        <v>4578.07</v>
      </c>
      <c r="G74" s="33">
        <f t="shared" si="23"/>
        <v>5493.68</v>
      </c>
      <c r="H74" s="64"/>
      <c r="I74" s="35"/>
      <c r="J74" s="35"/>
      <c r="K74" s="64">
        <f t="shared" si="24"/>
        <v>4578.07</v>
      </c>
      <c r="L74" s="42">
        <f t="shared" si="24"/>
        <v>5493.68</v>
      </c>
      <c r="M74" s="71"/>
    </row>
    <row r="75" spans="1:13" ht="18" customHeight="1" x14ac:dyDescent="0.25">
      <c r="A75" s="46" t="s">
        <v>122</v>
      </c>
      <c r="B75" s="82" t="s">
        <v>121</v>
      </c>
      <c r="C75" s="83" t="s">
        <v>22</v>
      </c>
      <c r="D75" s="86">
        <f>ROUND(1.02*13.65,2)</f>
        <v>13.92</v>
      </c>
      <c r="E75" s="70"/>
      <c r="F75" s="51"/>
      <c r="G75" s="51"/>
      <c r="H75" s="68">
        <f>ROUND((96*1.15)/1.2,2)</f>
        <v>92</v>
      </c>
      <c r="I75" s="51">
        <f>ROUND(H75*D75,2)</f>
        <v>1280.6400000000001</v>
      </c>
      <c r="J75" s="51">
        <f>ROUND(I75*1.2,2)</f>
        <v>1536.77</v>
      </c>
      <c r="K75" s="52">
        <f t="shared" si="24"/>
        <v>1280.6400000000001</v>
      </c>
      <c r="L75" s="51">
        <f t="shared" si="24"/>
        <v>1536.77</v>
      </c>
      <c r="M75" s="71" t="s">
        <v>80</v>
      </c>
    </row>
    <row r="76" spans="1:13" ht="35.25" customHeight="1" x14ac:dyDescent="0.25">
      <c r="A76" s="38">
        <f>A74+1</f>
        <v>36</v>
      </c>
      <c r="B76" s="81" t="s">
        <v>123</v>
      </c>
      <c r="C76" s="38" t="s">
        <v>66</v>
      </c>
      <c r="D76" s="158">
        <v>13</v>
      </c>
      <c r="E76" s="64">
        <f>ROUND(1.33*492.94,2)</f>
        <v>655.61</v>
      </c>
      <c r="F76" s="33">
        <f t="shared" si="22"/>
        <v>8522.93</v>
      </c>
      <c r="G76" s="33">
        <f t="shared" si="23"/>
        <v>10227.52</v>
      </c>
      <c r="H76" s="64"/>
      <c r="I76" s="35"/>
      <c r="J76" s="35"/>
      <c r="K76" s="64">
        <f t="shared" si="24"/>
        <v>8522.93</v>
      </c>
      <c r="L76" s="42">
        <f t="shared" si="24"/>
        <v>10227.52</v>
      </c>
      <c r="M76" s="71"/>
    </row>
    <row r="77" spans="1:13" ht="18" customHeight="1" x14ac:dyDescent="0.25">
      <c r="A77" s="30">
        <f>A76+1</f>
        <v>37</v>
      </c>
      <c r="B77" s="81" t="s">
        <v>124</v>
      </c>
      <c r="C77" s="38" t="s">
        <v>66</v>
      </c>
      <c r="D77" s="158">
        <v>13</v>
      </c>
      <c r="E77" s="64">
        <f>ROUND(1.33*596.27,2)</f>
        <v>793.04</v>
      </c>
      <c r="F77" s="33">
        <f t="shared" si="22"/>
        <v>10309.52</v>
      </c>
      <c r="G77" s="33">
        <f t="shared" si="23"/>
        <v>12371.42</v>
      </c>
      <c r="H77" s="64"/>
      <c r="I77" s="35"/>
      <c r="J77" s="35"/>
      <c r="K77" s="64">
        <f t="shared" si="24"/>
        <v>10309.52</v>
      </c>
      <c r="L77" s="42">
        <f t="shared" si="24"/>
        <v>12371.42</v>
      </c>
      <c r="M77" s="71"/>
    </row>
    <row r="78" spans="1:13" ht="18" customHeight="1" x14ac:dyDescent="0.25">
      <c r="A78" s="46" t="s">
        <v>125</v>
      </c>
      <c r="B78" s="82" t="s">
        <v>126</v>
      </c>
      <c r="C78" s="83" t="s">
        <v>66</v>
      </c>
      <c r="D78" s="87">
        <v>13</v>
      </c>
      <c r="E78" s="70"/>
      <c r="F78" s="51"/>
      <c r="G78" s="51"/>
      <c r="H78" s="68">
        <f>ROUND((85*1.15)/1.2,2)</f>
        <v>81.459999999999994</v>
      </c>
      <c r="I78" s="51">
        <f>ROUND(H78*D78,2)</f>
        <v>1058.98</v>
      </c>
      <c r="J78" s="51">
        <f>ROUND(I78*1.2,2)</f>
        <v>1270.78</v>
      </c>
      <c r="K78" s="52">
        <f t="shared" si="24"/>
        <v>1058.98</v>
      </c>
      <c r="L78" s="51">
        <f t="shared" si="24"/>
        <v>1270.78</v>
      </c>
      <c r="M78" s="71" t="s">
        <v>80</v>
      </c>
    </row>
    <row r="79" spans="1:13" ht="29.25" customHeight="1" x14ac:dyDescent="0.25">
      <c r="A79" s="38">
        <f>A77+1</f>
        <v>38</v>
      </c>
      <c r="B79" s="81" t="s">
        <v>127</v>
      </c>
      <c r="C79" s="30" t="s">
        <v>35</v>
      </c>
      <c r="D79" s="162">
        <v>2.87</v>
      </c>
      <c r="E79" s="123">
        <v>144.4</v>
      </c>
      <c r="F79" s="33">
        <f t="shared" si="22"/>
        <v>414.43</v>
      </c>
      <c r="G79" s="33">
        <f t="shared" si="23"/>
        <v>497.32</v>
      </c>
      <c r="H79" s="64"/>
      <c r="I79" s="35"/>
      <c r="J79" s="35"/>
      <c r="K79" s="64">
        <f t="shared" si="24"/>
        <v>414.43</v>
      </c>
      <c r="L79" s="42">
        <f t="shared" si="24"/>
        <v>497.32</v>
      </c>
    </row>
    <row r="80" spans="1:13" ht="21.75" customHeight="1" x14ac:dyDescent="0.25">
      <c r="A80" s="46" t="s">
        <v>128</v>
      </c>
      <c r="B80" s="47" t="s">
        <v>129</v>
      </c>
      <c r="C80" s="83" t="s">
        <v>130</v>
      </c>
      <c r="D80" s="86">
        <v>0.26</v>
      </c>
      <c r="E80" s="70"/>
      <c r="F80" s="51"/>
      <c r="G80" s="51"/>
      <c r="H80" s="70">
        <v>149.15</v>
      </c>
      <c r="I80" s="51">
        <f>ROUND(H80*D80,2)</f>
        <v>38.78</v>
      </c>
      <c r="J80" s="51">
        <f>ROUND(I80*1.2,2)</f>
        <v>46.54</v>
      </c>
      <c r="K80" s="52">
        <f t="shared" si="24"/>
        <v>38.78</v>
      </c>
      <c r="L80" s="51">
        <f t="shared" si="24"/>
        <v>46.54</v>
      </c>
    </row>
    <row r="81" spans="1:13" s="66" customFormat="1" ht="22.5" customHeight="1" x14ac:dyDescent="0.25">
      <c r="A81" s="38">
        <f>A79+1</f>
        <v>39</v>
      </c>
      <c r="B81" s="88" t="s">
        <v>131</v>
      </c>
      <c r="C81" s="74" t="s">
        <v>35</v>
      </c>
      <c r="D81" s="162">
        <v>2.87</v>
      </c>
      <c r="E81" s="123">
        <v>144.4</v>
      </c>
      <c r="F81" s="33">
        <f t="shared" si="22"/>
        <v>414.43</v>
      </c>
      <c r="G81" s="33">
        <f t="shared" si="23"/>
        <v>497.32</v>
      </c>
      <c r="H81" s="67"/>
      <c r="I81" s="35"/>
      <c r="J81" s="35"/>
      <c r="K81" s="64">
        <f t="shared" si="24"/>
        <v>414.43</v>
      </c>
      <c r="L81" s="42">
        <f t="shared" si="24"/>
        <v>497.32</v>
      </c>
      <c r="M81" s="65"/>
    </row>
    <row r="82" spans="1:13" s="66" customFormat="1" ht="22.5" customHeight="1" x14ac:dyDescent="0.25">
      <c r="A82" s="46" t="s">
        <v>132</v>
      </c>
      <c r="B82" s="47" t="s">
        <v>133</v>
      </c>
      <c r="C82" s="83" t="s">
        <v>130</v>
      </c>
      <c r="D82" s="86">
        <v>0.52</v>
      </c>
      <c r="E82" s="70"/>
      <c r="F82" s="51"/>
      <c r="G82" s="51"/>
      <c r="H82" s="70">
        <v>165.3</v>
      </c>
      <c r="I82" s="51">
        <f>ROUND(H82*D82,2)</f>
        <v>85.96</v>
      </c>
      <c r="J82" s="51">
        <f>ROUND(I82*1.2,2)</f>
        <v>103.15</v>
      </c>
      <c r="K82" s="52">
        <f t="shared" si="24"/>
        <v>85.96</v>
      </c>
      <c r="L82" s="51">
        <f t="shared" si="24"/>
        <v>103.15</v>
      </c>
      <c r="M82" s="65"/>
    </row>
    <row r="83" spans="1:13" ht="20.25" customHeight="1" x14ac:dyDescent="0.25">
      <c r="A83" s="30"/>
      <c r="B83" s="43" t="s">
        <v>134</v>
      </c>
      <c r="C83" s="30"/>
      <c r="D83" s="85"/>
      <c r="E83" s="64"/>
      <c r="F83" s="33">
        <f t="shared" si="22"/>
        <v>0</v>
      </c>
      <c r="G83" s="33">
        <f t="shared" si="23"/>
        <v>0</v>
      </c>
      <c r="H83" s="34"/>
      <c r="I83" s="35"/>
      <c r="J83" s="35"/>
      <c r="K83" s="64"/>
      <c r="L83" s="42"/>
    </row>
    <row r="84" spans="1:13" ht="18.75" customHeight="1" x14ac:dyDescent="0.25">
      <c r="A84" s="38">
        <f>A81+1</f>
        <v>40</v>
      </c>
      <c r="B84" s="81" t="s">
        <v>135</v>
      </c>
      <c r="C84" s="30" t="s">
        <v>22</v>
      </c>
      <c r="D84" s="162">
        <v>2.5</v>
      </c>
      <c r="E84" s="64">
        <v>2321.88</v>
      </c>
      <c r="F84" s="33">
        <f t="shared" si="22"/>
        <v>5804.7</v>
      </c>
      <c r="G84" s="33">
        <f t="shared" si="23"/>
        <v>6965.64</v>
      </c>
      <c r="H84" s="34"/>
      <c r="I84" s="35"/>
      <c r="J84" s="35"/>
      <c r="K84" s="64">
        <f t="shared" si="24"/>
        <v>5804.7</v>
      </c>
      <c r="L84" s="42">
        <f t="shared" si="24"/>
        <v>6965.64</v>
      </c>
      <c r="M84" s="71"/>
    </row>
    <row r="85" spans="1:13" ht="18.75" customHeight="1" x14ac:dyDescent="0.25">
      <c r="A85" s="46" t="s">
        <v>136</v>
      </c>
      <c r="B85" s="47" t="s">
        <v>58</v>
      </c>
      <c r="C85" s="48" t="s">
        <v>22</v>
      </c>
      <c r="D85" s="89">
        <f>ROUND(1.02*2.5,2)</f>
        <v>2.5499999999999998</v>
      </c>
      <c r="E85" s="51"/>
      <c r="F85" s="51"/>
      <c r="G85" s="51"/>
      <c r="H85" s="68">
        <v>407.29</v>
      </c>
      <c r="I85" s="51">
        <f>ROUND(H85*D85,2)</f>
        <v>1038.5899999999999</v>
      </c>
      <c r="J85" s="51">
        <f>ROUND(I85*1.2,2)</f>
        <v>1246.31</v>
      </c>
      <c r="K85" s="52">
        <f t="shared" si="24"/>
        <v>1038.5899999999999</v>
      </c>
      <c r="L85" s="51">
        <f t="shared" si="24"/>
        <v>1246.31</v>
      </c>
      <c r="M85" s="69"/>
    </row>
    <row r="86" spans="1:13" ht="18.75" customHeight="1" x14ac:dyDescent="0.25">
      <c r="A86" s="38">
        <f>A84+1</f>
        <v>41</v>
      </c>
      <c r="B86" s="81" t="s">
        <v>137</v>
      </c>
      <c r="C86" s="38" t="s">
        <v>66</v>
      </c>
      <c r="D86" s="158">
        <v>1</v>
      </c>
      <c r="E86" s="64">
        <f>ROUND(1.33*1468.66,2)</f>
        <v>1953.32</v>
      </c>
      <c r="F86" s="33">
        <f t="shared" si="22"/>
        <v>1953.32</v>
      </c>
      <c r="G86" s="33">
        <f t="shared" si="23"/>
        <v>2343.98</v>
      </c>
      <c r="H86" s="34"/>
      <c r="I86" s="35"/>
      <c r="J86" s="35"/>
      <c r="K86" s="64">
        <f t="shared" si="24"/>
        <v>1953.32</v>
      </c>
      <c r="L86" s="42">
        <f t="shared" si="24"/>
        <v>2343.98</v>
      </c>
      <c r="M86" s="71"/>
    </row>
    <row r="87" spans="1:13" ht="18.75" customHeight="1" x14ac:dyDescent="0.25">
      <c r="A87" s="46" t="s">
        <v>138</v>
      </c>
      <c r="B87" s="82" t="s">
        <v>139</v>
      </c>
      <c r="C87" s="48" t="s">
        <v>66</v>
      </c>
      <c r="D87" s="90">
        <v>1</v>
      </c>
      <c r="E87" s="70"/>
      <c r="F87" s="51"/>
      <c r="G87" s="51"/>
      <c r="H87" s="68">
        <f>ROUND((1032*1.15)/1.2,2)</f>
        <v>989</v>
      </c>
      <c r="I87" s="51">
        <f>ROUND(H87*D87,2)</f>
        <v>989</v>
      </c>
      <c r="J87" s="51">
        <f>ROUND(I87*1.2,2)</f>
        <v>1186.8</v>
      </c>
      <c r="K87" s="52">
        <f t="shared" si="24"/>
        <v>989</v>
      </c>
      <c r="L87" s="51">
        <f t="shared" si="24"/>
        <v>1186.8</v>
      </c>
      <c r="M87" s="71" t="s">
        <v>80</v>
      </c>
    </row>
    <row r="88" spans="1:13" ht="18.75" customHeight="1" x14ac:dyDescent="0.25">
      <c r="A88" s="38">
        <f>A86+1</f>
        <v>42</v>
      </c>
      <c r="B88" s="81" t="s">
        <v>140</v>
      </c>
      <c r="C88" s="38" t="s">
        <v>66</v>
      </c>
      <c r="D88" s="158">
        <v>1</v>
      </c>
      <c r="E88" s="64">
        <v>3601.88</v>
      </c>
      <c r="F88" s="33">
        <f t="shared" si="22"/>
        <v>3601.88</v>
      </c>
      <c r="G88" s="33">
        <f t="shared" si="23"/>
        <v>4322.26</v>
      </c>
      <c r="H88" s="34"/>
      <c r="I88" s="35"/>
      <c r="J88" s="35"/>
      <c r="K88" s="64">
        <f t="shared" si="24"/>
        <v>3601.88</v>
      </c>
      <c r="L88" s="42">
        <f t="shared" si="24"/>
        <v>4322.26</v>
      </c>
    </row>
    <row r="89" spans="1:13" ht="18.75" customHeight="1" x14ac:dyDescent="0.25">
      <c r="A89" s="46" t="s">
        <v>141</v>
      </c>
      <c r="B89" s="91" t="s">
        <v>142</v>
      </c>
      <c r="C89" s="48" t="s">
        <v>66</v>
      </c>
      <c r="D89" s="90">
        <v>1</v>
      </c>
      <c r="E89" s="70"/>
      <c r="F89" s="51"/>
      <c r="G89" s="51"/>
      <c r="H89" s="51">
        <v>6897</v>
      </c>
      <c r="I89" s="51">
        <f>ROUND(H89*D89,2)</f>
        <v>6897</v>
      </c>
      <c r="J89" s="51">
        <f>ROUND(I89*1.2,2)</f>
        <v>8276.4</v>
      </c>
      <c r="K89" s="52">
        <f t="shared" si="24"/>
        <v>6897</v>
      </c>
      <c r="L89" s="51">
        <f t="shared" si="24"/>
        <v>8276.4</v>
      </c>
    </row>
    <row r="90" spans="1:13" s="66" customFormat="1" ht="18.75" customHeight="1" x14ac:dyDescent="0.25">
      <c r="A90" s="38">
        <f>A88+1</f>
        <v>43</v>
      </c>
      <c r="B90" s="88" t="s">
        <v>143</v>
      </c>
      <c r="C90" s="38" t="s">
        <v>66</v>
      </c>
      <c r="D90" s="158">
        <v>1</v>
      </c>
      <c r="E90" s="64">
        <v>1398.85</v>
      </c>
      <c r="F90" s="33">
        <f t="shared" si="22"/>
        <v>1398.85</v>
      </c>
      <c r="G90" s="33">
        <f t="shared" si="23"/>
        <v>1678.62</v>
      </c>
      <c r="H90" s="67"/>
      <c r="I90" s="35"/>
      <c r="J90" s="35"/>
      <c r="K90" s="64">
        <f t="shared" si="24"/>
        <v>1398.85</v>
      </c>
      <c r="L90" s="42">
        <f t="shared" si="24"/>
        <v>1678.62</v>
      </c>
      <c r="M90" s="65"/>
    </row>
    <row r="91" spans="1:13" s="66" customFormat="1" ht="18.75" customHeight="1" x14ac:dyDescent="0.25">
      <c r="A91" s="46" t="s">
        <v>144</v>
      </c>
      <c r="B91" s="47" t="s">
        <v>145</v>
      </c>
      <c r="C91" s="48" t="s">
        <v>66</v>
      </c>
      <c r="D91" s="90">
        <v>1</v>
      </c>
      <c r="E91" s="51"/>
      <c r="F91" s="51"/>
      <c r="G91" s="51"/>
      <c r="H91" s="51">
        <v>585.20000000000005</v>
      </c>
      <c r="I91" s="51">
        <f>ROUND(H91*D91,2)</f>
        <v>585.20000000000005</v>
      </c>
      <c r="J91" s="51">
        <f>ROUND(I91*1.2,2)</f>
        <v>702.24</v>
      </c>
      <c r="K91" s="52">
        <f t="shared" ref="K91:L93" si="25">F91+I91</f>
        <v>585.20000000000005</v>
      </c>
      <c r="L91" s="51">
        <f t="shared" si="25"/>
        <v>702.24</v>
      </c>
      <c r="M91" s="65"/>
    </row>
    <row r="92" spans="1:13" ht="18.75" customHeight="1" x14ac:dyDescent="0.25">
      <c r="A92" s="38">
        <f>A90+1</f>
        <v>44</v>
      </c>
      <c r="B92" s="88" t="s">
        <v>146</v>
      </c>
      <c r="C92" s="38" t="s">
        <v>66</v>
      </c>
      <c r="D92" s="158">
        <v>1</v>
      </c>
      <c r="E92" s="64">
        <v>4704.3999999999996</v>
      </c>
      <c r="F92" s="33">
        <f t="shared" si="22"/>
        <v>4704.3999999999996</v>
      </c>
      <c r="G92" s="33">
        <f>ROUND(F92*1.2,2)</f>
        <v>5645.28</v>
      </c>
      <c r="H92" s="64"/>
      <c r="I92" s="35">
        <f t="shared" ref="I92" si="26">ROUND(H92*D92,2)</f>
        <v>0</v>
      </c>
      <c r="J92" s="35">
        <f t="shared" ref="J92" si="27">ROUND(I92*1.2,2)</f>
        <v>0</v>
      </c>
      <c r="K92" s="32">
        <f t="shared" si="25"/>
        <v>4704.3999999999996</v>
      </c>
      <c r="L92" s="35">
        <f t="shared" si="25"/>
        <v>5645.28</v>
      </c>
      <c r="M92" s="21" t="s">
        <v>100</v>
      </c>
    </row>
    <row r="93" spans="1:13" ht="18.75" customHeight="1" x14ac:dyDescent="0.25">
      <c r="A93" s="46" t="s">
        <v>147</v>
      </c>
      <c r="B93" s="47" t="s">
        <v>102</v>
      </c>
      <c r="C93" s="48" t="s">
        <v>66</v>
      </c>
      <c r="D93" s="90">
        <v>1</v>
      </c>
      <c r="E93" s="51"/>
      <c r="F93" s="51"/>
      <c r="G93" s="51"/>
      <c r="H93" s="51">
        <v>1254</v>
      </c>
      <c r="I93" s="51">
        <f>ROUND(H93*D93,2)</f>
        <v>1254</v>
      </c>
      <c r="J93" s="51">
        <f>ROUND(I93*1.2,2)</f>
        <v>1504.8</v>
      </c>
      <c r="K93" s="52">
        <f t="shared" si="25"/>
        <v>1254</v>
      </c>
      <c r="L93" s="51">
        <f t="shared" si="25"/>
        <v>1504.8</v>
      </c>
      <c r="M93" s="21" t="s">
        <v>100</v>
      </c>
    </row>
    <row r="94" spans="1:13" s="95" customFormat="1" ht="22.5" customHeight="1" x14ac:dyDescent="0.3">
      <c r="A94" s="185" t="s">
        <v>148</v>
      </c>
      <c r="B94" s="186"/>
      <c r="C94" s="186"/>
      <c r="D94" s="186"/>
      <c r="E94" s="187"/>
      <c r="F94" s="92">
        <f>SUM(F7:F93)</f>
        <v>3149242.19</v>
      </c>
      <c r="G94" s="92">
        <f>ROUND(F94*1.2,2)</f>
        <v>3779090.63</v>
      </c>
      <c r="H94" s="93"/>
      <c r="I94" s="92">
        <f>SUM(I7:I93)</f>
        <v>1687798.6099999992</v>
      </c>
      <c r="J94" s="92">
        <f>ROUND(I94*1.2,2)</f>
        <v>2025358.33</v>
      </c>
      <c r="K94" s="92">
        <f>SUM(K7:K93)</f>
        <v>4837040.7999999989</v>
      </c>
      <c r="L94" s="92">
        <f>ROUND(K94*1.2,2)</f>
        <v>5804448.96</v>
      </c>
      <c r="M94" s="94"/>
    </row>
    <row r="96" spans="1:13" x14ac:dyDescent="0.25">
      <c r="F96" s="96"/>
      <c r="K96" s="96"/>
    </row>
  </sheetData>
  <mergeCells count="11">
    <mergeCell ref="B6:D6"/>
    <mergeCell ref="B71:C71"/>
    <mergeCell ref="A94:E9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N105"/>
  <sheetViews>
    <sheetView view="pageBreakPreview" zoomScale="70" zoomScaleNormal="100" zoomScaleSheetLayoutView="70" workbookViewId="0">
      <selection activeCell="D102" activeCellId="2" sqref="A1:N10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83" t="s">
        <v>149</v>
      </c>
      <c r="C6" s="184"/>
      <c r="D6" s="184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30">
        <v>1</v>
      </c>
      <c r="B8" s="37" t="s">
        <v>150</v>
      </c>
      <c r="C8" s="38" t="s">
        <v>66</v>
      </c>
      <c r="D8" s="151">
        <v>14</v>
      </c>
      <c r="E8" s="40">
        <v>3982.45</v>
      </c>
      <c r="F8" s="33">
        <f t="shared" ref="F8:F9" si="0">ROUND(E8*D8,2)</f>
        <v>55754.3</v>
      </c>
      <c r="G8" s="33">
        <f t="shared" ref="G8:G9" si="1">ROUND(F8*1.2,2)</f>
        <v>66905.16</v>
      </c>
      <c r="H8" s="34"/>
      <c r="I8" s="35"/>
      <c r="J8" s="35"/>
      <c r="K8" s="32">
        <f t="shared" ref="K8:L9" si="2">F8+I8</f>
        <v>55754.3</v>
      </c>
      <c r="L8" s="33">
        <f t="shared" si="2"/>
        <v>66905.16</v>
      </c>
      <c r="M8" s="71" t="s">
        <v>75</v>
      </c>
    </row>
    <row r="9" spans="1:13" ht="18" customHeight="1" x14ac:dyDescent="0.25">
      <c r="A9" s="30">
        <f>A8+1</f>
        <v>2</v>
      </c>
      <c r="B9" s="37" t="s">
        <v>151</v>
      </c>
      <c r="C9" s="38" t="s">
        <v>38</v>
      </c>
      <c r="D9" s="151">
        <v>30.8</v>
      </c>
      <c r="E9" s="42">
        <v>544.86</v>
      </c>
      <c r="F9" s="33">
        <f t="shared" si="0"/>
        <v>16781.689999999999</v>
      </c>
      <c r="G9" s="33">
        <f t="shared" si="1"/>
        <v>20138.03</v>
      </c>
      <c r="H9" s="34"/>
      <c r="I9" s="35"/>
      <c r="J9" s="35"/>
      <c r="K9" s="32">
        <f t="shared" si="2"/>
        <v>16781.689999999999</v>
      </c>
      <c r="L9" s="33">
        <f t="shared" si="2"/>
        <v>20138.03</v>
      </c>
      <c r="M9" s="21" t="s">
        <v>152</v>
      </c>
    </row>
    <row r="10" spans="1:13" ht="20.25" customHeight="1" x14ac:dyDescent="0.25">
      <c r="A10" s="56"/>
      <c r="B10" s="43" t="s">
        <v>45</v>
      </c>
      <c r="C10" s="38"/>
      <c r="D10" s="150"/>
      <c r="E10" s="58"/>
      <c r="F10" s="59"/>
      <c r="G10" s="60"/>
      <c r="H10" s="61"/>
      <c r="I10" s="62"/>
      <c r="J10" s="62"/>
      <c r="K10" s="63"/>
      <c r="L10" s="62"/>
    </row>
    <row r="11" spans="1:13" ht="20.25" customHeight="1" x14ac:dyDescent="0.25">
      <c r="A11" s="38">
        <f>A9+1</f>
        <v>3</v>
      </c>
      <c r="B11" s="37" t="s">
        <v>46</v>
      </c>
      <c r="C11" s="38" t="s">
        <v>24</v>
      </c>
      <c r="D11" s="151">
        <v>106.66</v>
      </c>
      <c r="E11" s="34">
        <v>308.75</v>
      </c>
      <c r="F11" s="35">
        <f t="shared" ref="F11:F15" si="3">ROUND(E11*D11,2)</f>
        <v>32931.279999999999</v>
      </c>
      <c r="G11" s="35">
        <f t="shared" ref="G11:G28" si="4">ROUND(F11*1.2,2)</f>
        <v>39517.54</v>
      </c>
      <c r="H11" s="61"/>
      <c r="I11" s="62"/>
      <c r="J11" s="62"/>
      <c r="K11" s="64">
        <f t="shared" ref="K11:L26" si="5">F11+I11</f>
        <v>32931.279999999999</v>
      </c>
      <c r="L11" s="42">
        <f t="shared" si="5"/>
        <v>39517.54</v>
      </c>
    </row>
    <row r="12" spans="1:13" ht="20.25" customHeight="1" x14ac:dyDescent="0.25">
      <c r="A12" s="30">
        <f>A11+1</f>
        <v>4</v>
      </c>
      <c r="B12" s="37" t="s">
        <v>47</v>
      </c>
      <c r="C12" s="38" t="s">
        <v>24</v>
      </c>
      <c r="D12" s="154">
        <v>3.3</v>
      </c>
      <c r="E12" s="34">
        <v>1688.15</v>
      </c>
      <c r="F12" s="35">
        <f t="shared" si="3"/>
        <v>5570.9</v>
      </c>
      <c r="G12" s="35">
        <f t="shared" si="4"/>
        <v>6685.08</v>
      </c>
      <c r="H12" s="61"/>
      <c r="I12" s="62"/>
      <c r="J12" s="62"/>
      <c r="K12" s="64">
        <f t="shared" si="5"/>
        <v>5570.9</v>
      </c>
      <c r="L12" s="42">
        <f t="shared" si="5"/>
        <v>6685.08</v>
      </c>
    </row>
    <row r="13" spans="1:13" ht="20.25" customHeight="1" x14ac:dyDescent="0.25">
      <c r="A13" s="30">
        <f t="shared" ref="A13" si="6">A12+1</f>
        <v>5</v>
      </c>
      <c r="B13" s="37" t="s">
        <v>48</v>
      </c>
      <c r="C13" s="38" t="s">
        <v>24</v>
      </c>
      <c r="D13" s="151">
        <v>0.44</v>
      </c>
      <c r="E13" s="34">
        <v>1310.05</v>
      </c>
      <c r="F13" s="35">
        <f t="shared" si="3"/>
        <v>576.41999999999996</v>
      </c>
      <c r="G13" s="35">
        <f t="shared" si="4"/>
        <v>691.7</v>
      </c>
      <c r="H13" s="61"/>
      <c r="I13" s="62"/>
      <c r="J13" s="62"/>
      <c r="K13" s="64">
        <f t="shared" si="5"/>
        <v>576.41999999999996</v>
      </c>
      <c r="L13" s="42">
        <f t="shared" si="5"/>
        <v>691.7</v>
      </c>
    </row>
    <row r="14" spans="1:13" ht="20.25" customHeight="1" x14ac:dyDescent="0.25">
      <c r="A14" s="46" t="s">
        <v>32</v>
      </c>
      <c r="B14" s="47" t="s">
        <v>50</v>
      </c>
      <c r="C14" s="48" t="s">
        <v>24</v>
      </c>
      <c r="D14" s="49">
        <f>0.44*1.1</f>
        <v>0.48400000000000004</v>
      </c>
      <c r="E14" s="50"/>
      <c r="F14" s="51"/>
      <c r="G14" s="51"/>
      <c r="H14" s="51">
        <v>1191.3</v>
      </c>
      <c r="I14" s="51">
        <f>ROUND(H14*D14,2)</f>
        <v>576.59</v>
      </c>
      <c r="J14" s="51">
        <f>ROUND(I14*1.2,2)</f>
        <v>691.91</v>
      </c>
      <c r="K14" s="52">
        <f t="shared" si="5"/>
        <v>576.59</v>
      </c>
      <c r="L14" s="51">
        <f t="shared" si="5"/>
        <v>691.91</v>
      </c>
    </row>
    <row r="15" spans="1:13" s="66" customFormat="1" ht="21.75" customHeight="1" x14ac:dyDescent="0.25">
      <c r="A15" s="38">
        <f>A13+1</f>
        <v>6</v>
      </c>
      <c r="B15" s="37" t="s">
        <v>51</v>
      </c>
      <c r="C15" s="38" t="s">
        <v>24</v>
      </c>
      <c r="D15" s="151">
        <v>91.03</v>
      </c>
      <c r="E15" s="34">
        <v>1310.05</v>
      </c>
      <c r="F15" s="35">
        <f t="shared" si="3"/>
        <v>119253.85</v>
      </c>
      <c r="G15" s="35">
        <f t="shared" si="4"/>
        <v>143104.62</v>
      </c>
      <c r="H15" s="61"/>
      <c r="I15" s="62"/>
      <c r="J15" s="62"/>
      <c r="K15" s="64">
        <f t="shared" si="5"/>
        <v>119253.85</v>
      </c>
      <c r="L15" s="42">
        <f t="shared" si="5"/>
        <v>143104.62</v>
      </c>
      <c r="M15" s="65"/>
    </row>
    <row r="16" spans="1:13" s="66" customFormat="1" ht="21.75" customHeight="1" x14ac:dyDescent="0.25">
      <c r="A16" s="46" t="s">
        <v>36</v>
      </c>
      <c r="B16" s="47" t="s">
        <v>50</v>
      </c>
      <c r="C16" s="48" t="s">
        <v>24</v>
      </c>
      <c r="D16" s="49">
        <f>91.03*1.1</f>
        <v>100.13300000000001</v>
      </c>
      <c r="E16" s="50"/>
      <c r="F16" s="51"/>
      <c r="G16" s="51"/>
      <c r="H16" s="51">
        <v>1191.3</v>
      </c>
      <c r="I16" s="51">
        <f>ROUND(H16*D16,2)</f>
        <v>119288.44</v>
      </c>
      <c r="J16" s="51">
        <f>ROUND(I16*1.2,2)</f>
        <v>143146.13</v>
      </c>
      <c r="K16" s="52">
        <f t="shared" si="5"/>
        <v>119288.44</v>
      </c>
      <c r="L16" s="51">
        <f t="shared" si="5"/>
        <v>143146.13</v>
      </c>
      <c r="M16" s="65"/>
    </row>
    <row r="17" spans="1:13" ht="18.75" customHeight="1" x14ac:dyDescent="0.25">
      <c r="A17" s="30">
        <f>A15+1</f>
        <v>7</v>
      </c>
      <c r="B17" s="37" t="s">
        <v>153</v>
      </c>
      <c r="C17" s="38" t="s">
        <v>24</v>
      </c>
      <c r="D17" s="151">
        <v>14.57</v>
      </c>
      <c r="E17" s="34">
        <v>118.75</v>
      </c>
      <c r="F17" s="35">
        <f>ROUND(E17*D17,2)</f>
        <v>1730.19</v>
      </c>
      <c r="G17" s="35">
        <f t="shared" si="4"/>
        <v>2076.23</v>
      </c>
      <c r="H17" s="64"/>
      <c r="I17" s="35"/>
      <c r="J17" s="35"/>
      <c r="K17" s="64">
        <f t="shared" si="5"/>
        <v>1730.19</v>
      </c>
      <c r="L17" s="42">
        <f t="shared" si="5"/>
        <v>2076.23</v>
      </c>
    </row>
    <row r="18" spans="1:13" ht="18" customHeight="1" x14ac:dyDescent="0.25">
      <c r="A18" s="30">
        <f>A17+1</f>
        <v>8</v>
      </c>
      <c r="B18" s="37" t="s">
        <v>53</v>
      </c>
      <c r="C18" s="38" t="s">
        <v>24</v>
      </c>
      <c r="D18" s="151">
        <v>14.57</v>
      </c>
      <c r="E18" s="34">
        <v>188.1</v>
      </c>
      <c r="F18" s="42">
        <f t="shared" ref="F18:F28" si="7">ROUND(E18*D18,2)</f>
        <v>2740.62</v>
      </c>
      <c r="G18" s="42">
        <f t="shared" si="4"/>
        <v>3288.74</v>
      </c>
      <c r="H18" s="34"/>
      <c r="I18" s="42"/>
      <c r="J18" s="42"/>
      <c r="K18" s="64">
        <f t="shared" si="5"/>
        <v>2740.62</v>
      </c>
      <c r="L18" s="42">
        <f t="shared" si="5"/>
        <v>3288.74</v>
      </c>
      <c r="M18" s="71"/>
    </row>
    <row r="19" spans="1:13" ht="18" customHeight="1" x14ac:dyDescent="0.25">
      <c r="A19" s="30">
        <f t="shared" ref="A19:A22" si="8">A18+1</f>
        <v>9</v>
      </c>
      <c r="B19" s="37" t="s">
        <v>154</v>
      </c>
      <c r="C19" s="38" t="s">
        <v>35</v>
      </c>
      <c r="D19" s="154">
        <v>81.400000000000006</v>
      </c>
      <c r="E19" s="34">
        <v>118.75</v>
      </c>
      <c r="F19" s="42">
        <f t="shared" si="7"/>
        <v>9666.25</v>
      </c>
      <c r="G19" s="42">
        <f t="shared" si="4"/>
        <v>11599.5</v>
      </c>
      <c r="H19" s="34"/>
      <c r="I19" s="42"/>
      <c r="J19" s="42"/>
      <c r="K19" s="64">
        <f t="shared" si="5"/>
        <v>9666.25</v>
      </c>
      <c r="L19" s="42">
        <f t="shared" si="5"/>
        <v>11599.5</v>
      </c>
      <c r="M19" s="71"/>
    </row>
    <row r="20" spans="1:13" ht="28.5" customHeight="1" x14ac:dyDescent="0.25">
      <c r="A20" s="30">
        <f t="shared" si="8"/>
        <v>10</v>
      </c>
      <c r="B20" s="37" t="s">
        <v>155</v>
      </c>
      <c r="C20" s="38" t="s">
        <v>24</v>
      </c>
      <c r="D20" s="151">
        <v>121.32</v>
      </c>
      <c r="E20" s="34">
        <v>308.75</v>
      </c>
      <c r="F20" s="35">
        <f t="shared" si="7"/>
        <v>37457.550000000003</v>
      </c>
      <c r="G20" s="35">
        <f t="shared" si="4"/>
        <v>44949.06</v>
      </c>
      <c r="H20" s="61"/>
      <c r="I20" s="62"/>
      <c r="J20" s="62"/>
      <c r="K20" s="64">
        <f t="shared" si="5"/>
        <v>37457.550000000003</v>
      </c>
      <c r="L20" s="42">
        <f t="shared" si="5"/>
        <v>44949.06</v>
      </c>
      <c r="M20" s="71"/>
    </row>
    <row r="21" spans="1:13" ht="18" customHeight="1" x14ac:dyDescent="0.25">
      <c r="A21" s="30">
        <f t="shared" si="8"/>
        <v>11</v>
      </c>
      <c r="B21" s="37" t="s">
        <v>156</v>
      </c>
      <c r="C21" s="38" t="s">
        <v>24</v>
      </c>
      <c r="D21" s="151">
        <v>40.64</v>
      </c>
      <c r="E21" s="34">
        <v>1688.15</v>
      </c>
      <c r="F21" s="35">
        <f t="shared" si="7"/>
        <v>68606.42</v>
      </c>
      <c r="G21" s="35">
        <f t="shared" si="4"/>
        <v>82327.7</v>
      </c>
      <c r="H21" s="61"/>
      <c r="I21" s="62"/>
      <c r="J21" s="62"/>
      <c r="K21" s="64">
        <f t="shared" si="5"/>
        <v>68606.42</v>
      </c>
      <c r="L21" s="42">
        <f t="shared" si="5"/>
        <v>82327.7</v>
      </c>
      <c r="M21" s="71"/>
    </row>
    <row r="22" spans="1:13" ht="18" customHeight="1" x14ac:dyDescent="0.25">
      <c r="A22" s="30">
        <f t="shared" si="8"/>
        <v>12</v>
      </c>
      <c r="B22" s="37" t="s">
        <v>157</v>
      </c>
      <c r="C22" s="38" t="s">
        <v>24</v>
      </c>
      <c r="D22" s="151">
        <v>2.39</v>
      </c>
      <c r="E22" s="34">
        <v>2057.89</v>
      </c>
      <c r="F22" s="42">
        <f t="shared" si="7"/>
        <v>4918.3599999999997</v>
      </c>
      <c r="G22" s="42">
        <f t="shared" si="4"/>
        <v>5902.03</v>
      </c>
      <c r="H22" s="34"/>
      <c r="I22" s="42"/>
      <c r="J22" s="42"/>
      <c r="K22" s="64">
        <f t="shared" si="5"/>
        <v>4918.3599999999997</v>
      </c>
      <c r="L22" s="42">
        <f t="shared" si="5"/>
        <v>5902.03</v>
      </c>
      <c r="M22" s="71" t="s">
        <v>158</v>
      </c>
    </row>
    <row r="23" spans="1:13" ht="18" customHeight="1" x14ac:dyDescent="0.25">
      <c r="A23" s="46" t="s">
        <v>52</v>
      </c>
      <c r="B23" s="47" t="s">
        <v>159</v>
      </c>
      <c r="C23" s="98" t="s">
        <v>24</v>
      </c>
      <c r="D23" s="49">
        <f>2.39*1.26</f>
        <v>3.0114000000000001</v>
      </c>
      <c r="E23" s="50"/>
      <c r="F23" s="68"/>
      <c r="G23" s="68"/>
      <c r="H23" s="70">
        <v>2827.08</v>
      </c>
      <c r="I23" s="51">
        <f>ROUND(H23*D23,2)</f>
        <v>8513.4699999999993</v>
      </c>
      <c r="J23" s="51">
        <f>ROUND(I23*1.2,2)</f>
        <v>10216.16</v>
      </c>
      <c r="K23" s="52">
        <f t="shared" si="5"/>
        <v>8513.4699999999993</v>
      </c>
      <c r="L23" s="51">
        <f t="shared" si="5"/>
        <v>10216.16</v>
      </c>
      <c r="M23" s="69"/>
    </row>
    <row r="24" spans="1:13" ht="18" customHeight="1" x14ac:dyDescent="0.25">
      <c r="A24" s="30">
        <f>A22+1</f>
        <v>13</v>
      </c>
      <c r="B24" s="37" t="s">
        <v>161</v>
      </c>
      <c r="C24" s="38" t="s">
        <v>24</v>
      </c>
      <c r="D24" s="151">
        <v>19.93</v>
      </c>
      <c r="E24" s="34">
        <v>1310.05</v>
      </c>
      <c r="F24" s="42">
        <f t="shared" ref="F24" si="9">ROUND(E24*D24,2)</f>
        <v>26109.3</v>
      </c>
      <c r="G24" s="42">
        <f t="shared" ref="G24" si="10">ROUND(F24*1.2,2)</f>
        <v>31331.16</v>
      </c>
      <c r="H24" s="34"/>
      <c r="I24" s="42"/>
      <c r="J24" s="42"/>
      <c r="K24" s="64">
        <f t="shared" si="5"/>
        <v>26109.3</v>
      </c>
      <c r="L24" s="42">
        <f t="shared" si="5"/>
        <v>31331.16</v>
      </c>
      <c r="M24" s="71"/>
    </row>
    <row r="25" spans="1:13" ht="18" customHeight="1" x14ac:dyDescent="0.25">
      <c r="A25" s="46" t="s">
        <v>162</v>
      </c>
      <c r="B25" s="47" t="s">
        <v>50</v>
      </c>
      <c r="C25" s="48" t="s">
        <v>24</v>
      </c>
      <c r="D25" s="49">
        <f>19.93*1.1</f>
        <v>21.923000000000002</v>
      </c>
      <c r="E25" s="50"/>
      <c r="F25" s="51"/>
      <c r="G25" s="51"/>
      <c r="H25" s="51">
        <v>1191.3</v>
      </c>
      <c r="I25" s="51">
        <f>ROUND(H25*D25,2)</f>
        <v>26116.87</v>
      </c>
      <c r="J25" s="51">
        <f>ROUND(I25*1.2,2)</f>
        <v>31340.240000000002</v>
      </c>
      <c r="K25" s="52">
        <f t="shared" si="5"/>
        <v>26116.87</v>
      </c>
      <c r="L25" s="51">
        <f t="shared" si="5"/>
        <v>31340.240000000002</v>
      </c>
      <c r="M25" s="71"/>
    </row>
    <row r="26" spans="1:13" ht="18" customHeight="1" x14ac:dyDescent="0.25">
      <c r="A26" s="30">
        <f>A24+1</f>
        <v>14</v>
      </c>
      <c r="B26" s="37" t="s">
        <v>163</v>
      </c>
      <c r="C26" s="38" t="s">
        <v>24</v>
      </c>
      <c r="D26" s="151">
        <v>88.68</v>
      </c>
      <c r="E26" s="34">
        <v>118.75</v>
      </c>
      <c r="F26" s="35">
        <f>ROUND(E26*D26,2)</f>
        <v>10530.75</v>
      </c>
      <c r="G26" s="35">
        <f t="shared" ref="G26:G27" si="11">ROUND(F26*1.2,2)</f>
        <v>12636.9</v>
      </c>
      <c r="H26" s="64"/>
      <c r="I26" s="35"/>
      <c r="J26" s="35"/>
      <c r="K26" s="64">
        <f t="shared" si="5"/>
        <v>10530.75</v>
      </c>
      <c r="L26" s="42">
        <f t="shared" si="5"/>
        <v>12636.9</v>
      </c>
      <c r="M26" s="71"/>
    </row>
    <row r="27" spans="1:13" ht="18" customHeight="1" x14ac:dyDescent="0.25">
      <c r="A27" s="30">
        <f>A26+1</f>
        <v>15</v>
      </c>
      <c r="B27" s="37" t="s">
        <v>53</v>
      </c>
      <c r="C27" s="38" t="s">
        <v>24</v>
      </c>
      <c r="D27" s="151">
        <v>88.68</v>
      </c>
      <c r="E27" s="34">
        <v>188.1</v>
      </c>
      <c r="F27" s="42">
        <f t="shared" ref="F27" si="12">ROUND(E27*D27,2)</f>
        <v>16680.71</v>
      </c>
      <c r="G27" s="42">
        <f t="shared" si="11"/>
        <v>20016.849999999999</v>
      </c>
      <c r="H27" s="34"/>
      <c r="I27" s="42"/>
      <c r="J27" s="42"/>
      <c r="K27" s="64">
        <f t="shared" ref="K27:L28" si="13">F27+I27</f>
        <v>16680.71</v>
      </c>
      <c r="L27" s="42">
        <f t="shared" si="13"/>
        <v>20016.849999999999</v>
      </c>
      <c r="M27" s="71"/>
    </row>
    <row r="28" spans="1:13" ht="18" customHeight="1" x14ac:dyDescent="0.25">
      <c r="A28" s="30">
        <f t="shared" ref="A28" si="14">A27+1</f>
        <v>16</v>
      </c>
      <c r="B28" s="37" t="s">
        <v>54</v>
      </c>
      <c r="C28" s="38" t="s">
        <v>38</v>
      </c>
      <c r="D28" s="151">
        <v>320.47000000000003</v>
      </c>
      <c r="E28" s="34">
        <v>308.75</v>
      </c>
      <c r="F28" s="42">
        <f t="shared" si="7"/>
        <v>98945.11</v>
      </c>
      <c r="G28" s="42">
        <f t="shared" si="4"/>
        <v>118734.13</v>
      </c>
      <c r="H28" s="34"/>
      <c r="I28" s="42"/>
      <c r="J28" s="42"/>
      <c r="K28" s="64">
        <f t="shared" si="13"/>
        <v>98945.11</v>
      </c>
      <c r="L28" s="42">
        <f t="shared" si="13"/>
        <v>118734.13</v>
      </c>
      <c r="M28" s="71"/>
    </row>
    <row r="29" spans="1:13" ht="18" customHeight="1" x14ac:dyDescent="0.25">
      <c r="A29" s="46"/>
      <c r="B29" s="43" t="s">
        <v>55</v>
      </c>
      <c r="C29" s="38"/>
      <c r="D29" s="57"/>
      <c r="E29" s="58"/>
      <c r="F29" s="59"/>
      <c r="G29" s="60"/>
      <c r="H29" s="67"/>
      <c r="I29" s="35"/>
      <c r="J29" s="35"/>
      <c r="K29" s="32"/>
      <c r="L29" s="35"/>
    </row>
    <row r="30" spans="1:13" ht="18" customHeight="1" x14ac:dyDescent="0.25">
      <c r="A30" s="30">
        <f>A28+1</f>
        <v>17</v>
      </c>
      <c r="B30" s="99" t="s">
        <v>164</v>
      </c>
      <c r="C30" s="38" t="s">
        <v>165</v>
      </c>
      <c r="D30" s="150">
        <v>1</v>
      </c>
      <c r="E30" s="34">
        <v>9339.7999999999993</v>
      </c>
      <c r="F30" s="42">
        <f t="shared" ref="F30:F32" si="15">ROUND(E30*D30,2)</f>
        <v>9339.7999999999993</v>
      </c>
      <c r="G30" s="42">
        <f t="shared" ref="G30:G32" si="16">ROUND(F30*1.2,2)</f>
        <v>11207.76</v>
      </c>
      <c r="H30" s="34"/>
      <c r="I30" s="42"/>
      <c r="J30" s="42"/>
      <c r="K30" s="64">
        <f t="shared" ref="K30:L41" si="17">F30+I30</f>
        <v>9339.7999999999993</v>
      </c>
      <c r="L30" s="42">
        <f t="shared" si="17"/>
        <v>11207.76</v>
      </c>
      <c r="M30" s="71" t="s">
        <v>166</v>
      </c>
    </row>
    <row r="31" spans="1:13" ht="18" customHeight="1" x14ac:dyDescent="0.25">
      <c r="A31" s="30">
        <f>A30+1</f>
        <v>18</v>
      </c>
      <c r="B31" s="99" t="s">
        <v>167</v>
      </c>
      <c r="C31" s="38" t="s">
        <v>165</v>
      </c>
      <c r="D31" s="150">
        <v>1</v>
      </c>
      <c r="E31" s="34">
        <f>ROUND(2803.18*1.33,2)</f>
        <v>3728.23</v>
      </c>
      <c r="F31" s="42">
        <f t="shared" si="15"/>
        <v>3728.23</v>
      </c>
      <c r="G31" s="42">
        <f t="shared" si="16"/>
        <v>4473.88</v>
      </c>
      <c r="H31" s="34"/>
      <c r="I31" s="42"/>
      <c r="J31" s="42"/>
      <c r="K31" s="64">
        <f t="shared" si="17"/>
        <v>3728.23</v>
      </c>
      <c r="L31" s="42">
        <f t="shared" si="17"/>
        <v>4473.88</v>
      </c>
      <c r="M31" s="71" t="s">
        <v>75</v>
      </c>
    </row>
    <row r="32" spans="1:13" ht="37.5" customHeight="1" x14ac:dyDescent="0.25">
      <c r="A32" s="30">
        <f>A31+1</f>
        <v>19</v>
      </c>
      <c r="B32" s="99" t="s">
        <v>168</v>
      </c>
      <c r="C32" s="100" t="s">
        <v>22</v>
      </c>
      <c r="D32" s="151">
        <v>17.12</v>
      </c>
      <c r="E32" s="45">
        <v>5316.2</v>
      </c>
      <c r="F32" s="35">
        <f t="shared" si="15"/>
        <v>91013.34</v>
      </c>
      <c r="G32" s="35">
        <f t="shared" si="16"/>
        <v>109216.01</v>
      </c>
      <c r="H32" s="67"/>
      <c r="I32" s="35"/>
      <c r="J32" s="35"/>
      <c r="K32" s="64">
        <f t="shared" si="17"/>
        <v>91013.34</v>
      </c>
      <c r="L32" s="42">
        <f t="shared" si="17"/>
        <v>109216.01</v>
      </c>
    </row>
    <row r="33" spans="1:14" ht="38.25" customHeight="1" x14ac:dyDescent="0.25">
      <c r="A33" s="46" t="s">
        <v>71</v>
      </c>
      <c r="B33" s="47" t="s">
        <v>169</v>
      </c>
      <c r="C33" s="48" t="s">
        <v>22</v>
      </c>
      <c r="D33" s="49">
        <f>1.02*17.12</f>
        <v>17.462400000000002</v>
      </c>
      <c r="E33" s="50"/>
      <c r="F33" s="51"/>
      <c r="G33" s="51"/>
      <c r="H33" s="68">
        <v>13103.35</v>
      </c>
      <c r="I33" s="68">
        <f>ROUND(H33*D33,2)</f>
        <v>228815.94</v>
      </c>
      <c r="J33" s="68">
        <f>ROUND(I33*1.2,2)</f>
        <v>274579.13</v>
      </c>
      <c r="K33" s="70">
        <f t="shared" si="17"/>
        <v>228815.94</v>
      </c>
      <c r="L33" s="68">
        <f t="shared" si="17"/>
        <v>274579.13</v>
      </c>
    </row>
    <row r="34" spans="1:14" ht="36.75" customHeight="1" x14ac:dyDescent="0.25">
      <c r="A34" s="30">
        <f>A32+1</f>
        <v>20</v>
      </c>
      <c r="B34" s="99" t="s">
        <v>170</v>
      </c>
      <c r="C34" s="100" t="s">
        <v>22</v>
      </c>
      <c r="D34" s="151">
        <v>17.12</v>
      </c>
      <c r="E34" s="45">
        <f>ROUND(1572.68*1.33,2)</f>
        <v>2091.66</v>
      </c>
      <c r="F34" s="35">
        <f t="shared" ref="F34" si="18">ROUND(E34*D34,2)</f>
        <v>35809.22</v>
      </c>
      <c r="G34" s="35">
        <f t="shared" ref="G34" si="19">ROUND(F34*1.2,2)</f>
        <v>42971.06</v>
      </c>
      <c r="H34" s="67"/>
      <c r="I34" s="35"/>
      <c r="J34" s="35"/>
      <c r="K34" s="64">
        <f t="shared" si="17"/>
        <v>35809.22</v>
      </c>
      <c r="L34" s="42">
        <f t="shared" si="17"/>
        <v>42971.06</v>
      </c>
      <c r="M34" s="71" t="s">
        <v>75</v>
      </c>
    </row>
    <row r="35" spans="1:14" ht="21" customHeight="1" x14ac:dyDescent="0.25">
      <c r="A35" s="46" t="s">
        <v>76</v>
      </c>
      <c r="B35" s="47" t="s">
        <v>171</v>
      </c>
      <c r="C35" s="48" t="s">
        <v>22</v>
      </c>
      <c r="D35" s="49">
        <f>1.02*17.12</f>
        <v>17.462400000000002</v>
      </c>
      <c r="E35" s="50"/>
      <c r="F35" s="51"/>
      <c r="G35" s="51"/>
      <c r="H35" s="51">
        <v>3479.85</v>
      </c>
      <c r="I35" s="51">
        <f>ROUND(H35*D35,2)</f>
        <v>60766.53</v>
      </c>
      <c r="J35" s="51">
        <f>ROUND(I35*1.2,2)</f>
        <v>72919.839999999997</v>
      </c>
      <c r="K35" s="52">
        <f t="shared" si="17"/>
        <v>60766.53</v>
      </c>
      <c r="L35" s="51">
        <f t="shared" si="17"/>
        <v>72919.839999999997</v>
      </c>
    </row>
    <row r="36" spans="1:14" ht="24.75" customHeight="1" x14ac:dyDescent="0.25">
      <c r="A36" s="46" t="s">
        <v>172</v>
      </c>
      <c r="B36" s="47" t="s">
        <v>173</v>
      </c>
      <c r="C36" s="48" t="s">
        <v>66</v>
      </c>
      <c r="D36" s="72">
        <v>8</v>
      </c>
      <c r="E36" s="50"/>
      <c r="F36" s="51"/>
      <c r="G36" s="51"/>
      <c r="H36" s="51">
        <v>917.7</v>
      </c>
      <c r="I36" s="51">
        <f>ROUND(H36*D36,2)</f>
        <v>7341.6</v>
      </c>
      <c r="J36" s="51">
        <f>ROUND(I36*1.2,2)</f>
        <v>8809.92</v>
      </c>
      <c r="K36" s="52">
        <f t="shared" si="17"/>
        <v>7341.6</v>
      </c>
      <c r="L36" s="51">
        <f t="shared" si="17"/>
        <v>8809.92</v>
      </c>
    </row>
    <row r="37" spans="1:14" ht="27.75" customHeight="1" x14ac:dyDescent="0.25">
      <c r="A37" s="30">
        <f>A34+1</f>
        <v>21</v>
      </c>
      <c r="B37" s="99" t="s">
        <v>174</v>
      </c>
      <c r="C37" s="100" t="s">
        <v>175</v>
      </c>
      <c r="D37" s="150">
        <v>1</v>
      </c>
      <c r="E37" s="45">
        <v>6060.29</v>
      </c>
      <c r="F37" s="35">
        <f t="shared" ref="F37:F40" si="20">ROUND(E37*D37,2)</f>
        <v>6060.29</v>
      </c>
      <c r="G37" s="35">
        <f t="shared" ref="G37:G40" si="21">ROUND(F37*1.2,2)</f>
        <v>7272.35</v>
      </c>
      <c r="H37" s="67"/>
      <c r="I37" s="35"/>
      <c r="J37" s="35"/>
      <c r="K37" s="64">
        <f t="shared" si="17"/>
        <v>6060.29</v>
      </c>
      <c r="L37" s="42">
        <f t="shared" si="17"/>
        <v>7272.35</v>
      </c>
    </row>
    <row r="38" spans="1:14" ht="30" x14ac:dyDescent="0.25">
      <c r="A38" s="30">
        <f>A37+1</f>
        <v>22</v>
      </c>
      <c r="B38" s="37" t="s">
        <v>70</v>
      </c>
      <c r="C38" s="38" t="s">
        <v>24</v>
      </c>
      <c r="D38" s="151">
        <v>2.4500000000000002</v>
      </c>
      <c r="E38" s="34">
        <v>8327.42</v>
      </c>
      <c r="F38" s="35">
        <f t="shared" si="20"/>
        <v>20402.18</v>
      </c>
      <c r="G38" s="35">
        <f t="shared" si="21"/>
        <v>24482.62</v>
      </c>
      <c r="H38" s="67"/>
      <c r="I38" s="35"/>
      <c r="J38" s="35"/>
      <c r="K38" s="64">
        <f t="shared" si="17"/>
        <v>20402.18</v>
      </c>
      <c r="L38" s="42">
        <f t="shared" si="17"/>
        <v>24482.62</v>
      </c>
    </row>
    <row r="39" spans="1:14" ht="19.5" customHeight="1" x14ac:dyDescent="0.25">
      <c r="A39" s="46" t="s">
        <v>82</v>
      </c>
      <c r="B39" s="47" t="s">
        <v>72</v>
      </c>
      <c r="C39" s="48" t="s">
        <v>24</v>
      </c>
      <c r="D39" s="49">
        <f>1.02*2.45</f>
        <v>2.4990000000000001</v>
      </c>
      <c r="E39" s="50"/>
      <c r="F39" s="51"/>
      <c r="G39" s="51"/>
      <c r="H39" s="51">
        <v>5322.58</v>
      </c>
      <c r="I39" s="51">
        <f t="shared" ref="I39" si="22">ROUND(H39*D39,2)</f>
        <v>13301.13</v>
      </c>
      <c r="J39" s="51">
        <f t="shared" ref="J39" si="23">ROUND(I39*1.2,2)</f>
        <v>15961.36</v>
      </c>
      <c r="K39" s="52">
        <f t="shared" si="17"/>
        <v>13301.13</v>
      </c>
      <c r="L39" s="51">
        <f t="shared" si="17"/>
        <v>15961.36</v>
      </c>
      <c r="M39" s="102"/>
    </row>
    <row r="40" spans="1:14" ht="35.25" customHeight="1" x14ac:dyDescent="0.25">
      <c r="A40" s="30">
        <f>A38+1</f>
        <v>23</v>
      </c>
      <c r="B40" s="99" t="s">
        <v>176</v>
      </c>
      <c r="C40" s="100" t="s">
        <v>22</v>
      </c>
      <c r="D40" s="151">
        <v>24.47</v>
      </c>
      <c r="E40" s="45">
        <v>1419.5</v>
      </c>
      <c r="F40" s="35">
        <f t="shared" si="20"/>
        <v>34735.17</v>
      </c>
      <c r="G40" s="35">
        <f t="shared" si="21"/>
        <v>41682.199999999997</v>
      </c>
      <c r="H40" s="67"/>
      <c r="I40" s="35"/>
      <c r="J40" s="35"/>
      <c r="K40" s="64">
        <f t="shared" si="17"/>
        <v>34735.17</v>
      </c>
      <c r="L40" s="42">
        <f t="shared" si="17"/>
        <v>41682.199999999997</v>
      </c>
    </row>
    <row r="41" spans="1:14" ht="23.25" customHeight="1" x14ac:dyDescent="0.25">
      <c r="A41" s="46" t="s">
        <v>85</v>
      </c>
      <c r="B41" s="47" t="s">
        <v>171</v>
      </c>
      <c r="C41" s="48" t="s">
        <v>22</v>
      </c>
      <c r="D41" s="49">
        <f>1.02*24.47</f>
        <v>24.959399999999999</v>
      </c>
      <c r="E41" s="50"/>
      <c r="F41" s="51"/>
      <c r="G41" s="51"/>
      <c r="H41" s="68">
        <v>3124.17</v>
      </c>
      <c r="I41" s="51">
        <f>ROUND(H41*D41,2)</f>
        <v>77977.41</v>
      </c>
      <c r="J41" s="51">
        <f>ROUND(I41*1.2,2)</f>
        <v>93572.89</v>
      </c>
      <c r="K41" s="52">
        <f t="shared" si="17"/>
        <v>77977.41</v>
      </c>
      <c r="L41" s="51">
        <f t="shared" si="17"/>
        <v>93572.89</v>
      </c>
    </row>
    <row r="42" spans="1:14" ht="20.25" customHeight="1" x14ac:dyDescent="0.25">
      <c r="A42" s="38"/>
      <c r="B42" s="103" t="s">
        <v>177</v>
      </c>
      <c r="C42" s="38"/>
      <c r="D42" s="57"/>
      <c r="E42" s="34"/>
      <c r="F42" s="35"/>
      <c r="G42" s="35"/>
      <c r="H42" s="67"/>
      <c r="I42" s="35"/>
      <c r="J42" s="35"/>
      <c r="K42" s="64"/>
      <c r="L42" s="42"/>
      <c r="M42" s="36"/>
    </row>
    <row r="43" spans="1:14" ht="30.75" customHeight="1" x14ac:dyDescent="0.25">
      <c r="A43" s="30">
        <f>A40+1</f>
        <v>24</v>
      </c>
      <c r="B43" s="99" t="s">
        <v>178</v>
      </c>
      <c r="C43" s="38" t="s">
        <v>24</v>
      </c>
      <c r="D43" s="133">
        <f>1*0.59+3*0.59+1*0.55+2*0.02</f>
        <v>2.95</v>
      </c>
      <c r="E43" s="45">
        <v>17265.68</v>
      </c>
      <c r="F43" s="35">
        <f t="shared" ref="F43" si="24">ROUND(E43*D43,2)</f>
        <v>50933.760000000002</v>
      </c>
      <c r="G43" s="35">
        <f t="shared" ref="G43" si="25">ROUND(F43*1.2,2)</f>
        <v>61120.51</v>
      </c>
      <c r="H43" s="67"/>
      <c r="I43" s="35"/>
      <c r="J43" s="35"/>
      <c r="K43" s="64">
        <f t="shared" ref="K43:L52" si="26">F43+I43</f>
        <v>50933.760000000002</v>
      </c>
      <c r="L43" s="42">
        <f t="shared" si="26"/>
        <v>61120.51</v>
      </c>
    </row>
    <row r="44" spans="1:14" ht="18.75" customHeight="1" x14ac:dyDescent="0.25">
      <c r="A44" s="46" t="s">
        <v>88</v>
      </c>
      <c r="B44" s="78" t="s">
        <v>179</v>
      </c>
      <c r="C44" s="48" t="s">
        <v>66</v>
      </c>
      <c r="D44" s="72">
        <v>1</v>
      </c>
      <c r="E44" s="50"/>
      <c r="F44" s="51"/>
      <c r="G44" s="51"/>
      <c r="H44" s="104">
        <v>11883.33</v>
      </c>
      <c r="I44" s="51">
        <f t="shared" ref="I44:I48" si="27">ROUND(H44*D44,2)</f>
        <v>11883.33</v>
      </c>
      <c r="J44" s="51">
        <f t="shared" ref="J44:J48" si="28">ROUND(I44*1.2,2)</f>
        <v>14260</v>
      </c>
      <c r="K44" s="52">
        <f t="shared" si="26"/>
        <v>11883.33</v>
      </c>
      <c r="L44" s="51">
        <f t="shared" si="26"/>
        <v>14260</v>
      </c>
      <c r="M44" s="69"/>
    </row>
    <row r="45" spans="1:14" ht="18.75" customHeight="1" x14ac:dyDescent="0.25">
      <c r="A45" s="46" t="s">
        <v>180</v>
      </c>
      <c r="B45" s="78" t="s">
        <v>181</v>
      </c>
      <c r="C45" s="48" t="s">
        <v>66</v>
      </c>
      <c r="D45" s="72">
        <v>3</v>
      </c>
      <c r="E45" s="50"/>
      <c r="F45" s="51"/>
      <c r="G45" s="51"/>
      <c r="H45" s="104">
        <v>14566.67</v>
      </c>
      <c r="I45" s="51">
        <f t="shared" si="27"/>
        <v>43700.01</v>
      </c>
      <c r="J45" s="51">
        <f t="shared" si="28"/>
        <v>52440.01</v>
      </c>
      <c r="K45" s="52">
        <f t="shared" si="26"/>
        <v>43700.01</v>
      </c>
      <c r="L45" s="51">
        <f t="shared" si="26"/>
        <v>52440.01</v>
      </c>
      <c r="M45" s="69"/>
    </row>
    <row r="46" spans="1:14" ht="18.75" customHeight="1" x14ac:dyDescent="0.25">
      <c r="A46" s="46" t="s">
        <v>182</v>
      </c>
      <c r="B46" s="78" t="s">
        <v>183</v>
      </c>
      <c r="C46" s="48" t="s">
        <v>66</v>
      </c>
      <c r="D46" s="72">
        <v>1</v>
      </c>
      <c r="E46" s="50"/>
      <c r="F46" s="51"/>
      <c r="G46" s="51"/>
      <c r="H46" s="104">
        <v>11691.67</v>
      </c>
      <c r="I46" s="51">
        <f t="shared" si="27"/>
        <v>11691.67</v>
      </c>
      <c r="J46" s="51">
        <f t="shared" si="28"/>
        <v>14030</v>
      </c>
      <c r="K46" s="52">
        <f t="shared" si="26"/>
        <v>11691.67</v>
      </c>
      <c r="L46" s="51">
        <f t="shared" si="26"/>
        <v>14030</v>
      </c>
      <c r="M46" s="69"/>
    </row>
    <row r="47" spans="1:14" ht="18.75" customHeight="1" x14ac:dyDescent="0.25">
      <c r="A47" s="46" t="s">
        <v>184</v>
      </c>
      <c r="B47" s="78" t="s">
        <v>185</v>
      </c>
      <c r="C47" s="48" t="s">
        <v>66</v>
      </c>
      <c r="D47" s="72">
        <v>2</v>
      </c>
      <c r="E47" s="50"/>
      <c r="F47" s="51"/>
      <c r="G47" s="51"/>
      <c r="H47" s="104">
        <f>ROUND(1150/1.2*1.15,2)</f>
        <v>1102.08</v>
      </c>
      <c r="I47" s="51">
        <f t="shared" si="27"/>
        <v>2204.16</v>
      </c>
      <c r="J47" s="51">
        <f t="shared" si="28"/>
        <v>2644.99</v>
      </c>
      <c r="K47" s="52">
        <f t="shared" si="26"/>
        <v>2204.16</v>
      </c>
      <c r="L47" s="51">
        <f t="shared" si="26"/>
        <v>2644.99</v>
      </c>
      <c r="M47" s="71" t="s">
        <v>186</v>
      </c>
      <c r="N47" s="21"/>
    </row>
    <row r="48" spans="1:14" ht="18.75" customHeight="1" x14ac:dyDescent="0.25">
      <c r="A48" s="46" t="s">
        <v>187</v>
      </c>
      <c r="B48" s="78" t="s">
        <v>188</v>
      </c>
      <c r="C48" s="48" t="s">
        <v>66</v>
      </c>
      <c r="D48" s="72">
        <v>1</v>
      </c>
      <c r="E48" s="50"/>
      <c r="F48" s="51"/>
      <c r="G48" s="51"/>
      <c r="H48" s="104">
        <v>14421</v>
      </c>
      <c r="I48" s="51">
        <f t="shared" si="27"/>
        <v>14421</v>
      </c>
      <c r="J48" s="51">
        <f t="shared" si="28"/>
        <v>17305.2</v>
      </c>
      <c r="K48" s="52">
        <f t="shared" si="26"/>
        <v>14421</v>
      </c>
      <c r="L48" s="51">
        <f t="shared" si="26"/>
        <v>17305.2</v>
      </c>
      <c r="M48" s="71"/>
    </row>
    <row r="49" spans="1:13" ht="27.75" customHeight="1" x14ac:dyDescent="0.25">
      <c r="A49" s="38">
        <f>A43+1</f>
        <v>25</v>
      </c>
      <c r="B49" s="37" t="s">
        <v>371</v>
      </c>
      <c r="C49" s="38" t="s">
        <v>35</v>
      </c>
      <c r="D49" s="152">
        <v>21.38</v>
      </c>
      <c r="E49" s="34">
        <v>144.4</v>
      </c>
      <c r="F49" s="35">
        <f>ROUND(E49*D49,2)</f>
        <v>3087.27</v>
      </c>
      <c r="G49" s="35">
        <f t="shared" ref="G49" si="29">ROUND(F49*1.2,2)</f>
        <v>3704.72</v>
      </c>
      <c r="H49" s="64"/>
      <c r="I49" s="35"/>
      <c r="J49" s="35"/>
      <c r="K49" s="64">
        <f t="shared" si="26"/>
        <v>3087.27</v>
      </c>
      <c r="L49" s="42">
        <f t="shared" si="26"/>
        <v>3704.72</v>
      </c>
      <c r="M49" s="71" t="s">
        <v>262</v>
      </c>
    </row>
    <row r="50" spans="1:13" ht="17.25" customHeight="1" x14ac:dyDescent="0.25">
      <c r="A50" s="46" t="s">
        <v>91</v>
      </c>
      <c r="B50" s="78" t="s">
        <v>372</v>
      </c>
      <c r="C50" s="48" t="s">
        <v>220</v>
      </c>
      <c r="D50" s="117">
        <f>D49*0.3*20/16</f>
        <v>8.0175000000000001</v>
      </c>
      <c r="E50" s="50"/>
      <c r="F50" s="51"/>
      <c r="G50" s="51"/>
      <c r="H50" s="104">
        <v>237.5</v>
      </c>
      <c r="I50" s="51">
        <f>ROUND(H50*D50,2)</f>
        <v>1904.16</v>
      </c>
      <c r="J50" s="51">
        <f t="shared" ref="J50" si="30">ROUND(I50*1.2,2)</f>
        <v>2284.9899999999998</v>
      </c>
      <c r="K50" s="52">
        <f t="shared" si="26"/>
        <v>1904.16</v>
      </c>
      <c r="L50" s="51">
        <f t="shared" si="26"/>
        <v>2284.9899999999998</v>
      </c>
      <c r="M50" s="71"/>
    </row>
    <row r="51" spans="1:13" ht="28.5" customHeight="1" x14ac:dyDescent="0.25">
      <c r="A51" s="38">
        <f>A49+1</f>
        <v>26</v>
      </c>
      <c r="B51" s="37" t="s">
        <v>373</v>
      </c>
      <c r="C51" s="38" t="s">
        <v>35</v>
      </c>
      <c r="D51" s="152">
        <v>21.38</v>
      </c>
      <c r="E51" s="34">
        <v>299.76</v>
      </c>
      <c r="F51" s="35">
        <f>ROUND(E51*D51,2)</f>
        <v>6408.87</v>
      </c>
      <c r="G51" s="35">
        <f t="shared" ref="G51" si="31">ROUND(F51*1.2,2)</f>
        <v>7690.64</v>
      </c>
      <c r="H51" s="64"/>
      <c r="I51" s="35"/>
      <c r="J51" s="35"/>
      <c r="K51" s="64">
        <f t="shared" si="26"/>
        <v>6408.87</v>
      </c>
      <c r="L51" s="42">
        <f t="shared" si="26"/>
        <v>7690.64</v>
      </c>
      <c r="M51" s="71" t="s">
        <v>262</v>
      </c>
    </row>
    <row r="52" spans="1:13" ht="15.75" x14ac:dyDescent="0.25">
      <c r="A52" s="46" t="s">
        <v>94</v>
      </c>
      <c r="B52" s="78" t="s">
        <v>374</v>
      </c>
      <c r="C52" s="48" t="s">
        <v>130</v>
      </c>
      <c r="D52" s="49">
        <f>D51*0.7*2</f>
        <v>29.931999999999995</v>
      </c>
      <c r="E52" s="50"/>
      <c r="F52" s="51"/>
      <c r="G52" s="51"/>
      <c r="H52" s="104">
        <v>296.39999999999998</v>
      </c>
      <c r="I52" s="51">
        <f t="shared" ref="I52" si="32">ROUND(H52*D52,2)</f>
        <v>8871.84</v>
      </c>
      <c r="J52" s="51">
        <f t="shared" ref="J52" si="33">ROUND(I52*1.2,2)</f>
        <v>10646.21</v>
      </c>
      <c r="K52" s="70">
        <f t="shared" si="26"/>
        <v>8871.84</v>
      </c>
      <c r="L52" s="68">
        <f t="shared" si="26"/>
        <v>10646.21</v>
      </c>
      <c r="M52" s="71"/>
    </row>
    <row r="53" spans="1:13" ht="22.5" customHeight="1" x14ac:dyDescent="0.25">
      <c r="A53" s="38"/>
      <c r="B53" s="103" t="s">
        <v>189</v>
      </c>
      <c r="C53" s="38"/>
      <c r="D53" s="57"/>
      <c r="E53" s="34"/>
      <c r="F53" s="35"/>
      <c r="G53" s="35"/>
      <c r="H53" s="67"/>
      <c r="I53" s="35"/>
      <c r="J53" s="35"/>
      <c r="K53" s="64"/>
      <c r="L53" s="42"/>
      <c r="M53" s="36"/>
    </row>
    <row r="54" spans="1:13" ht="45" x14ac:dyDescent="0.25">
      <c r="A54" s="38">
        <f>A51+1</f>
        <v>27</v>
      </c>
      <c r="B54" s="73" t="s">
        <v>190</v>
      </c>
      <c r="C54" s="38" t="s">
        <v>66</v>
      </c>
      <c r="D54" s="156">
        <v>1</v>
      </c>
      <c r="E54" s="34">
        <v>14312.75</v>
      </c>
      <c r="F54" s="35">
        <f t="shared" ref="F54:F79" si="34">ROUND(E54*D54,2)</f>
        <v>14312.75</v>
      </c>
      <c r="G54" s="35">
        <f t="shared" ref="G54:G79" si="35">ROUND(F54*1.2,2)</f>
        <v>17175.3</v>
      </c>
      <c r="H54" s="67"/>
      <c r="I54" s="35"/>
      <c r="J54" s="35"/>
      <c r="K54" s="64">
        <f t="shared" ref="K54:L80" si="36">F54+I54</f>
        <v>14312.75</v>
      </c>
      <c r="L54" s="42">
        <f t="shared" si="36"/>
        <v>17175.3</v>
      </c>
    </row>
    <row r="55" spans="1:13" ht="45" x14ac:dyDescent="0.25">
      <c r="A55" s="46" t="s">
        <v>97</v>
      </c>
      <c r="B55" s="78" t="s">
        <v>191</v>
      </c>
      <c r="C55" s="48" t="s">
        <v>66</v>
      </c>
      <c r="D55" s="90">
        <v>1</v>
      </c>
      <c r="E55" s="50"/>
      <c r="F55" s="51"/>
      <c r="G55" s="51"/>
      <c r="H55" s="106">
        <v>109202.5</v>
      </c>
      <c r="I55" s="51">
        <f t="shared" ref="I55" si="37">ROUND(H55*D55,2)</f>
        <v>109202.5</v>
      </c>
      <c r="J55" s="51">
        <f t="shared" ref="J55" si="38">ROUND(I55*1.2,2)</f>
        <v>131043</v>
      </c>
      <c r="K55" s="52">
        <f t="shared" si="36"/>
        <v>109202.5</v>
      </c>
      <c r="L55" s="51">
        <f t="shared" si="36"/>
        <v>131043</v>
      </c>
    </row>
    <row r="56" spans="1:13" ht="21.75" customHeight="1" x14ac:dyDescent="0.25">
      <c r="A56" s="30">
        <f>A54+1</f>
        <v>28</v>
      </c>
      <c r="B56" s="73" t="s">
        <v>192</v>
      </c>
      <c r="C56" s="38" t="s">
        <v>66</v>
      </c>
      <c r="D56" s="156">
        <v>1</v>
      </c>
      <c r="E56" s="34">
        <v>6691.94</v>
      </c>
      <c r="F56" s="35">
        <f t="shared" si="34"/>
        <v>6691.94</v>
      </c>
      <c r="G56" s="35">
        <f t="shared" si="35"/>
        <v>8030.33</v>
      </c>
      <c r="H56" s="67"/>
      <c r="I56" s="35"/>
      <c r="J56" s="35"/>
      <c r="K56" s="64">
        <f t="shared" si="36"/>
        <v>6691.94</v>
      </c>
      <c r="L56" s="42">
        <f t="shared" si="36"/>
        <v>8030.33</v>
      </c>
    </row>
    <row r="57" spans="1:13" ht="21.75" customHeight="1" x14ac:dyDescent="0.25">
      <c r="A57" s="46" t="s">
        <v>101</v>
      </c>
      <c r="B57" s="78" t="s">
        <v>193</v>
      </c>
      <c r="C57" s="48" t="s">
        <v>66</v>
      </c>
      <c r="D57" s="90">
        <v>1</v>
      </c>
      <c r="E57" s="50"/>
      <c r="F57" s="51"/>
      <c r="G57" s="51"/>
      <c r="H57" s="104">
        <v>2638.15</v>
      </c>
      <c r="I57" s="51">
        <f t="shared" ref="I57" si="39">ROUND(H57*D57,2)</f>
        <v>2638.15</v>
      </c>
      <c r="J57" s="51">
        <f t="shared" ref="J57" si="40">ROUND(I57*1.2,2)</f>
        <v>3165.78</v>
      </c>
      <c r="K57" s="52">
        <f t="shared" si="36"/>
        <v>2638.15</v>
      </c>
      <c r="L57" s="51">
        <f t="shared" si="36"/>
        <v>3165.78</v>
      </c>
    </row>
    <row r="58" spans="1:13" ht="30" x14ac:dyDescent="0.25">
      <c r="A58" s="30">
        <f>A56+1</f>
        <v>29</v>
      </c>
      <c r="B58" s="73" t="s">
        <v>194</v>
      </c>
      <c r="C58" s="38" t="s">
        <v>66</v>
      </c>
      <c r="D58" s="156">
        <v>1</v>
      </c>
      <c r="E58" s="34">
        <v>6891.24</v>
      </c>
      <c r="F58" s="35">
        <f t="shared" si="34"/>
        <v>6891.24</v>
      </c>
      <c r="G58" s="35">
        <f t="shared" si="35"/>
        <v>8269.49</v>
      </c>
      <c r="H58" s="67"/>
      <c r="I58" s="35"/>
      <c r="J58" s="35"/>
      <c r="K58" s="64">
        <f t="shared" si="36"/>
        <v>6891.24</v>
      </c>
      <c r="L58" s="42">
        <f t="shared" si="36"/>
        <v>8269.49</v>
      </c>
    </row>
    <row r="59" spans="1:13" ht="18.75" customHeight="1" x14ac:dyDescent="0.25">
      <c r="A59" s="46" t="s">
        <v>104</v>
      </c>
      <c r="B59" s="47" t="s">
        <v>195</v>
      </c>
      <c r="C59" s="48" t="s">
        <v>66</v>
      </c>
      <c r="D59" s="90">
        <v>1</v>
      </c>
      <c r="E59" s="50"/>
      <c r="F59" s="51"/>
      <c r="G59" s="51"/>
      <c r="H59" s="104">
        <v>5092</v>
      </c>
      <c r="I59" s="51">
        <f t="shared" ref="I59:I62" si="41">ROUND(H59*D59,2)</f>
        <v>5092</v>
      </c>
      <c r="J59" s="51">
        <f t="shared" ref="J59:J66" si="42">ROUND(I59*1.2,2)</f>
        <v>6110.4</v>
      </c>
      <c r="K59" s="52">
        <f t="shared" si="36"/>
        <v>5092</v>
      </c>
      <c r="L59" s="51">
        <f t="shared" si="36"/>
        <v>6110.4</v>
      </c>
    </row>
    <row r="60" spans="1:13" ht="18.75" customHeight="1" x14ac:dyDescent="0.25">
      <c r="A60" s="46" t="s">
        <v>253</v>
      </c>
      <c r="B60" s="47" t="s">
        <v>196</v>
      </c>
      <c r="C60" s="98" t="s">
        <v>130</v>
      </c>
      <c r="D60" s="49">
        <f>ROUND(32*0.243,2)</f>
        <v>7.78</v>
      </c>
      <c r="E60" s="50"/>
      <c r="F60" s="51"/>
      <c r="G60" s="51"/>
      <c r="H60" s="51">
        <v>120.65</v>
      </c>
      <c r="I60" s="51">
        <f t="shared" si="41"/>
        <v>938.66</v>
      </c>
      <c r="J60" s="51">
        <f t="shared" si="42"/>
        <v>1126.3900000000001</v>
      </c>
      <c r="K60" s="52">
        <f t="shared" si="36"/>
        <v>938.66</v>
      </c>
      <c r="L60" s="51">
        <f t="shared" si="36"/>
        <v>1126.3900000000001</v>
      </c>
    </row>
    <row r="61" spans="1:13" ht="18.75" customHeight="1" x14ac:dyDescent="0.25">
      <c r="A61" s="46" t="s">
        <v>256</v>
      </c>
      <c r="B61" s="47" t="s">
        <v>197</v>
      </c>
      <c r="C61" s="98" t="s">
        <v>130</v>
      </c>
      <c r="D61" s="49">
        <f>ROUND(32*0.071,2)</f>
        <v>2.27</v>
      </c>
      <c r="E61" s="50"/>
      <c r="F61" s="51"/>
      <c r="G61" s="51"/>
      <c r="H61" s="51">
        <v>139.65</v>
      </c>
      <c r="I61" s="51">
        <f t="shared" si="41"/>
        <v>317.01</v>
      </c>
      <c r="J61" s="51">
        <f t="shared" si="42"/>
        <v>380.41</v>
      </c>
      <c r="K61" s="52">
        <f t="shared" si="36"/>
        <v>317.01</v>
      </c>
      <c r="L61" s="51">
        <f t="shared" si="36"/>
        <v>380.41</v>
      </c>
    </row>
    <row r="62" spans="1:13" ht="18.75" customHeight="1" x14ac:dyDescent="0.25">
      <c r="A62" s="46" t="s">
        <v>507</v>
      </c>
      <c r="B62" s="47" t="s">
        <v>198</v>
      </c>
      <c r="C62" s="98" t="s">
        <v>130</v>
      </c>
      <c r="D62" s="49">
        <f>ROUND(64*0.0172,2)</f>
        <v>1.1000000000000001</v>
      </c>
      <c r="E62" s="50"/>
      <c r="F62" s="51"/>
      <c r="G62" s="51"/>
      <c r="H62" s="51">
        <v>188.1</v>
      </c>
      <c r="I62" s="51">
        <f t="shared" si="41"/>
        <v>206.91</v>
      </c>
      <c r="J62" s="51">
        <f t="shared" si="42"/>
        <v>248.29</v>
      </c>
      <c r="K62" s="52">
        <f t="shared" si="36"/>
        <v>206.91</v>
      </c>
      <c r="L62" s="51">
        <f t="shared" si="36"/>
        <v>248.29</v>
      </c>
    </row>
    <row r="63" spans="1:13" ht="30" x14ac:dyDescent="0.25">
      <c r="A63" s="30">
        <f>A58+1</f>
        <v>30</v>
      </c>
      <c r="B63" s="73" t="s">
        <v>199</v>
      </c>
      <c r="C63" s="38" t="s">
        <v>66</v>
      </c>
      <c r="D63" s="156">
        <v>1</v>
      </c>
      <c r="E63" s="34">
        <v>2337</v>
      </c>
      <c r="F63" s="35">
        <f t="shared" si="34"/>
        <v>2337</v>
      </c>
      <c r="G63" s="35">
        <f t="shared" si="35"/>
        <v>2804.4</v>
      </c>
      <c r="H63" s="67"/>
      <c r="I63" s="35"/>
      <c r="J63" s="35"/>
      <c r="K63" s="64">
        <f t="shared" si="36"/>
        <v>2337</v>
      </c>
      <c r="L63" s="42">
        <f t="shared" si="36"/>
        <v>2804.4</v>
      </c>
    </row>
    <row r="64" spans="1:13" ht="30" x14ac:dyDescent="0.25">
      <c r="A64" s="46" t="s">
        <v>107</v>
      </c>
      <c r="B64" s="78" t="s">
        <v>200</v>
      </c>
      <c r="C64" s="48" t="s">
        <v>66</v>
      </c>
      <c r="D64" s="90">
        <v>1</v>
      </c>
      <c r="E64" s="50"/>
      <c r="F64" s="51"/>
      <c r="G64" s="51"/>
      <c r="H64" s="50">
        <v>14060.95</v>
      </c>
      <c r="I64" s="51">
        <f t="shared" ref="I64" si="43">ROUND(H64*D64,2)</f>
        <v>14060.95</v>
      </c>
      <c r="J64" s="51">
        <f t="shared" si="42"/>
        <v>16873.14</v>
      </c>
      <c r="K64" s="52">
        <f t="shared" si="36"/>
        <v>14060.95</v>
      </c>
      <c r="L64" s="51">
        <f t="shared" si="36"/>
        <v>16873.14</v>
      </c>
    </row>
    <row r="65" spans="1:13" ht="30" x14ac:dyDescent="0.25">
      <c r="A65" s="30">
        <f>A63+1</f>
        <v>31</v>
      </c>
      <c r="B65" s="73" t="s">
        <v>201</v>
      </c>
      <c r="C65" s="38" t="s">
        <v>66</v>
      </c>
      <c r="D65" s="156">
        <v>1</v>
      </c>
      <c r="E65" s="34">
        <v>6891.24</v>
      </c>
      <c r="F65" s="35">
        <f t="shared" si="34"/>
        <v>6891.24</v>
      </c>
      <c r="G65" s="35">
        <f t="shared" si="35"/>
        <v>8269.49</v>
      </c>
      <c r="H65" s="67"/>
      <c r="I65" s="35"/>
      <c r="J65" s="35"/>
      <c r="K65" s="64">
        <f t="shared" si="36"/>
        <v>6891.24</v>
      </c>
      <c r="L65" s="42">
        <f t="shared" si="36"/>
        <v>8269.49</v>
      </c>
    </row>
    <row r="66" spans="1:13" ht="30" x14ac:dyDescent="0.25">
      <c r="A66" s="46" t="s">
        <v>110</v>
      </c>
      <c r="B66" s="78" t="s">
        <v>202</v>
      </c>
      <c r="C66" s="48" t="s">
        <v>66</v>
      </c>
      <c r="D66" s="90">
        <v>1</v>
      </c>
      <c r="E66" s="50"/>
      <c r="F66" s="51"/>
      <c r="G66" s="51"/>
      <c r="H66" s="106">
        <f>ROUND(11010.8*1.15,2)</f>
        <v>12662.42</v>
      </c>
      <c r="I66" s="51">
        <f t="shared" ref="I66" si="44">ROUND(H66*D66,2)</f>
        <v>12662.42</v>
      </c>
      <c r="J66" s="51">
        <f t="shared" si="42"/>
        <v>15194.9</v>
      </c>
      <c r="K66" s="52">
        <f t="shared" si="36"/>
        <v>12662.42</v>
      </c>
      <c r="L66" s="51">
        <f t="shared" si="36"/>
        <v>15194.9</v>
      </c>
      <c r="M66" s="71" t="s">
        <v>160</v>
      </c>
    </row>
    <row r="67" spans="1:13" ht="30" x14ac:dyDescent="0.25">
      <c r="A67" s="30">
        <f>A65+1</f>
        <v>32</v>
      </c>
      <c r="B67" s="73" t="s">
        <v>203</v>
      </c>
      <c r="C67" s="38" t="s">
        <v>66</v>
      </c>
      <c r="D67" s="156">
        <v>1</v>
      </c>
      <c r="E67" s="34">
        <v>1389.85</v>
      </c>
      <c r="F67" s="35">
        <f t="shared" si="34"/>
        <v>1389.85</v>
      </c>
      <c r="G67" s="35">
        <f t="shared" si="35"/>
        <v>1667.82</v>
      </c>
      <c r="H67" s="67"/>
      <c r="I67" s="35"/>
      <c r="J67" s="35"/>
      <c r="K67" s="64">
        <f t="shared" si="36"/>
        <v>1389.85</v>
      </c>
      <c r="L67" s="42">
        <f t="shared" si="36"/>
        <v>1667.82</v>
      </c>
    </row>
    <row r="68" spans="1:13" s="66" customFormat="1" ht="18" customHeight="1" x14ac:dyDescent="0.25">
      <c r="A68" s="46" t="s">
        <v>113</v>
      </c>
      <c r="B68" s="47" t="s">
        <v>145</v>
      </c>
      <c r="C68" s="48" t="s">
        <v>66</v>
      </c>
      <c r="D68" s="90">
        <v>1</v>
      </c>
      <c r="E68" s="51"/>
      <c r="F68" s="51"/>
      <c r="G68" s="51"/>
      <c r="H68" s="51">
        <v>585.20000000000005</v>
      </c>
      <c r="I68" s="51">
        <f>ROUND(H68*D68,2)</f>
        <v>585.20000000000005</v>
      </c>
      <c r="J68" s="51">
        <f>ROUND(I68*1.2,2)</f>
        <v>702.24</v>
      </c>
      <c r="K68" s="52">
        <f t="shared" si="36"/>
        <v>585.20000000000005</v>
      </c>
      <c r="L68" s="51">
        <f t="shared" si="36"/>
        <v>702.24</v>
      </c>
      <c r="M68" s="65"/>
    </row>
    <row r="69" spans="1:13" ht="19.5" customHeight="1" x14ac:dyDescent="0.25">
      <c r="A69" s="30">
        <f>A67+1</f>
        <v>33</v>
      </c>
      <c r="B69" s="73" t="s">
        <v>204</v>
      </c>
      <c r="C69" s="38" t="s">
        <v>66</v>
      </c>
      <c r="D69" s="156">
        <v>1</v>
      </c>
      <c r="E69" s="34">
        <v>3601.88</v>
      </c>
      <c r="F69" s="35">
        <f t="shared" si="34"/>
        <v>3601.88</v>
      </c>
      <c r="G69" s="35">
        <f t="shared" si="35"/>
        <v>4322.26</v>
      </c>
      <c r="H69" s="67"/>
      <c r="I69" s="35"/>
      <c r="J69" s="35"/>
      <c r="K69" s="64">
        <f t="shared" si="36"/>
        <v>3601.88</v>
      </c>
      <c r="L69" s="42">
        <f t="shared" si="36"/>
        <v>4322.26</v>
      </c>
    </row>
    <row r="70" spans="1:13" ht="18.75" customHeight="1" x14ac:dyDescent="0.25">
      <c r="A70" s="46" t="s">
        <v>116</v>
      </c>
      <c r="B70" s="78" t="s">
        <v>205</v>
      </c>
      <c r="C70" s="48" t="s">
        <v>66</v>
      </c>
      <c r="D70" s="90">
        <v>1</v>
      </c>
      <c r="E70" s="50"/>
      <c r="F70" s="51"/>
      <c r="G70" s="51"/>
      <c r="H70" s="104">
        <v>6897</v>
      </c>
      <c r="I70" s="51">
        <f>ROUND(H70*D70,2)</f>
        <v>6897</v>
      </c>
      <c r="J70" s="51">
        <f>ROUND(I70*1.2,2)</f>
        <v>8276.4</v>
      </c>
      <c r="K70" s="52">
        <f t="shared" si="36"/>
        <v>6897</v>
      </c>
      <c r="L70" s="51">
        <f t="shared" si="36"/>
        <v>8276.4</v>
      </c>
    </row>
    <row r="71" spans="1:13" ht="18.75" customHeight="1" x14ac:dyDescent="0.25">
      <c r="A71" s="46" t="s">
        <v>267</v>
      </c>
      <c r="B71" s="47" t="s">
        <v>206</v>
      </c>
      <c r="C71" s="98" t="s">
        <v>130</v>
      </c>
      <c r="D71" s="49">
        <f>ROUND(16*0.137,2)</f>
        <v>2.19</v>
      </c>
      <c r="E71" s="50"/>
      <c r="F71" s="51"/>
      <c r="G71" s="51"/>
      <c r="H71" s="51">
        <v>120.65</v>
      </c>
      <c r="I71" s="51">
        <f t="shared" ref="I71:I73" si="45">ROUND(H71*D71,2)</f>
        <v>264.22000000000003</v>
      </c>
      <c r="J71" s="51">
        <f t="shared" ref="J71:J73" si="46">ROUND(I71*1.2,2)</f>
        <v>317.06</v>
      </c>
      <c r="K71" s="52">
        <f t="shared" si="36"/>
        <v>264.22000000000003</v>
      </c>
      <c r="L71" s="51">
        <f t="shared" si="36"/>
        <v>317.06</v>
      </c>
    </row>
    <row r="72" spans="1:13" ht="18.75" customHeight="1" x14ac:dyDescent="0.25">
      <c r="A72" s="46" t="s">
        <v>268</v>
      </c>
      <c r="B72" s="47" t="s">
        <v>207</v>
      </c>
      <c r="C72" s="98" t="s">
        <v>130</v>
      </c>
      <c r="D72" s="49">
        <f>ROUND(16*0.032,2)</f>
        <v>0.51</v>
      </c>
      <c r="E72" s="50"/>
      <c r="F72" s="51"/>
      <c r="G72" s="51"/>
      <c r="H72" s="51">
        <v>139.65</v>
      </c>
      <c r="I72" s="51">
        <f t="shared" si="45"/>
        <v>71.22</v>
      </c>
      <c r="J72" s="51">
        <f t="shared" si="46"/>
        <v>85.46</v>
      </c>
      <c r="K72" s="52">
        <f t="shared" si="36"/>
        <v>71.22</v>
      </c>
      <c r="L72" s="51">
        <f t="shared" si="36"/>
        <v>85.46</v>
      </c>
    </row>
    <row r="73" spans="1:13" ht="18.75" customHeight="1" x14ac:dyDescent="0.25">
      <c r="A73" s="46" t="s">
        <v>508</v>
      </c>
      <c r="B73" s="47" t="s">
        <v>208</v>
      </c>
      <c r="C73" s="98" t="s">
        <v>130</v>
      </c>
      <c r="D73" s="49">
        <f>ROUND(32*0.013,2)</f>
        <v>0.42</v>
      </c>
      <c r="E73" s="50"/>
      <c r="F73" s="51"/>
      <c r="G73" s="51"/>
      <c r="H73" s="51">
        <v>188.1</v>
      </c>
      <c r="I73" s="51">
        <f t="shared" si="45"/>
        <v>79</v>
      </c>
      <c r="J73" s="51">
        <f t="shared" si="46"/>
        <v>94.8</v>
      </c>
      <c r="K73" s="52">
        <f t="shared" si="36"/>
        <v>79</v>
      </c>
      <c r="L73" s="51">
        <f t="shared" si="36"/>
        <v>94.8</v>
      </c>
    </row>
    <row r="74" spans="1:13" ht="45" x14ac:dyDescent="0.25">
      <c r="A74" s="30">
        <f>A69+1</f>
        <v>34</v>
      </c>
      <c r="B74" s="73" t="s">
        <v>209</v>
      </c>
      <c r="C74" s="38" t="s">
        <v>66</v>
      </c>
      <c r="D74" s="156">
        <v>1</v>
      </c>
      <c r="E74" s="34">
        <f>ROUND(14174.05*1.33,2)</f>
        <v>18851.490000000002</v>
      </c>
      <c r="F74" s="35">
        <f t="shared" si="34"/>
        <v>18851.490000000002</v>
      </c>
      <c r="G74" s="35">
        <f t="shared" si="35"/>
        <v>22621.79</v>
      </c>
      <c r="H74" s="67"/>
      <c r="I74" s="35"/>
      <c r="J74" s="35"/>
      <c r="K74" s="64">
        <f t="shared" si="36"/>
        <v>18851.490000000002</v>
      </c>
      <c r="L74" s="42">
        <f t="shared" si="36"/>
        <v>22621.79</v>
      </c>
      <c r="M74" s="71" t="s">
        <v>75</v>
      </c>
    </row>
    <row r="75" spans="1:13" ht="30" x14ac:dyDescent="0.25">
      <c r="A75" s="46" t="s">
        <v>120</v>
      </c>
      <c r="B75" s="78" t="s">
        <v>210</v>
      </c>
      <c r="C75" s="48" t="s">
        <v>66</v>
      </c>
      <c r="D75" s="90">
        <v>1</v>
      </c>
      <c r="E75" s="50"/>
      <c r="F75" s="51"/>
      <c r="G75" s="51"/>
      <c r="H75" s="106">
        <f>ROUND(39583*1.15,2)</f>
        <v>45520.45</v>
      </c>
      <c r="I75" s="51">
        <f>ROUND(H75*D75,2)</f>
        <v>45520.45</v>
      </c>
      <c r="J75" s="51">
        <f>ROUND(I75*1.2,2)</f>
        <v>54624.54</v>
      </c>
      <c r="K75" s="52">
        <f t="shared" si="36"/>
        <v>45520.45</v>
      </c>
      <c r="L75" s="51">
        <f t="shared" si="36"/>
        <v>54624.54</v>
      </c>
      <c r="M75" s="71" t="s">
        <v>160</v>
      </c>
    </row>
    <row r="76" spans="1:13" ht="30" x14ac:dyDescent="0.25">
      <c r="A76" s="30">
        <f>A74+1</f>
        <v>35</v>
      </c>
      <c r="B76" s="73" t="s">
        <v>211</v>
      </c>
      <c r="C76" s="38" t="s">
        <v>66</v>
      </c>
      <c r="D76" s="156">
        <v>1</v>
      </c>
      <c r="E76" s="45">
        <v>7080.73</v>
      </c>
      <c r="F76" s="35">
        <f t="shared" si="34"/>
        <v>7080.73</v>
      </c>
      <c r="G76" s="35">
        <f t="shared" si="35"/>
        <v>8496.8799999999992</v>
      </c>
      <c r="H76" s="67"/>
      <c r="I76" s="35"/>
      <c r="J76" s="35"/>
      <c r="K76" s="64">
        <f t="shared" si="36"/>
        <v>7080.73</v>
      </c>
      <c r="L76" s="42">
        <f t="shared" si="36"/>
        <v>8496.8799999999992</v>
      </c>
      <c r="M76" s="71" t="s">
        <v>212</v>
      </c>
    </row>
    <row r="77" spans="1:13" ht="23.25" customHeight="1" x14ac:dyDescent="0.25">
      <c r="A77" s="38">
        <f>A76+1</f>
        <v>36</v>
      </c>
      <c r="B77" s="142" t="s">
        <v>213</v>
      </c>
      <c r="C77" s="143" t="s">
        <v>22</v>
      </c>
      <c r="D77" s="156">
        <v>2</v>
      </c>
      <c r="E77" s="34">
        <v>2321.87</v>
      </c>
      <c r="F77" s="35">
        <f t="shared" si="34"/>
        <v>4643.74</v>
      </c>
      <c r="G77" s="35">
        <f t="shared" si="35"/>
        <v>5572.49</v>
      </c>
      <c r="H77" s="67"/>
      <c r="I77" s="35"/>
      <c r="J77" s="35"/>
      <c r="K77" s="64">
        <f t="shared" si="36"/>
        <v>4643.74</v>
      </c>
      <c r="L77" s="42">
        <f t="shared" si="36"/>
        <v>5572.49</v>
      </c>
      <c r="M77" s="21" t="s">
        <v>75</v>
      </c>
    </row>
    <row r="78" spans="1:13" ht="18.75" customHeight="1" x14ac:dyDescent="0.25">
      <c r="A78" s="46" t="s">
        <v>216</v>
      </c>
      <c r="B78" s="47" t="s">
        <v>58</v>
      </c>
      <c r="C78" s="48" t="s">
        <v>22</v>
      </c>
      <c r="D78" s="76">
        <f>1.02*2</f>
        <v>2.04</v>
      </c>
      <c r="E78" s="51"/>
      <c r="F78" s="51"/>
      <c r="G78" s="51"/>
      <c r="H78" s="68">
        <v>407.29</v>
      </c>
      <c r="I78" s="51">
        <f>ROUND(H78*D78,2)</f>
        <v>830.87</v>
      </c>
      <c r="J78" s="51">
        <f>ROUND(I78*1.2,2)</f>
        <v>997.04</v>
      </c>
      <c r="K78" s="52">
        <f t="shared" si="36"/>
        <v>830.87</v>
      </c>
      <c r="L78" s="51">
        <f t="shared" si="36"/>
        <v>997.04</v>
      </c>
      <c r="M78" s="69"/>
    </row>
    <row r="79" spans="1:13" ht="18.75" customHeight="1" x14ac:dyDescent="0.25">
      <c r="A79" s="30">
        <f>A77+1</f>
        <v>37</v>
      </c>
      <c r="B79" s="73" t="s">
        <v>214</v>
      </c>
      <c r="C79" s="38" t="s">
        <v>66</v>
      </c>
      <c r="D79" s="156">
        <v>2</v>
      </c>
      <c r="E79" s="34">
        <v>4704.3999999999996</v>
      </c>
      <c r="F79" s="35">
        <f t="shared" si="34"/>
        <v>9408.7999999999993</v>
      </c>
      <c r="G79" s="35">
        <f t="shared" si="35"/>
        <v>11290.56</v>
      </c>
      <c r="H79" s="67"/>
      <c r="I79" s="35"/>
      <c r="J79" s="35"/>
      <c r="K79" s="64">
        <f t="shared" si="36"/>
        <v>9408.7999999999993</v>
      </c>
      <c r="L79" s="42">
        <f t="shared" si="36"/>
        <v>11290.56</v>
      </c>
      <c r="M79" s="21" t="s">
        <v>100</v>
      </c>
    </row>
    <row r="80" spans="1:13" ht="18.75" customHeight="1" x14ac:dyDescent="0.25">
      <c r="A80" s="46" t="s">
        <v>125</v>
      </c>
      <c r="B80" s="78" t="s">
        <v>102</v>
      </c>
      <c r="C80" s="48" t="s">
        <v>66</v>
      </c>
      <c r="D80" s="79">
        <v>2</v>
      </c>
      <c r="E80" s="50"/>
      <c r="F80" s="51"/>
      <c r="G80" s="51"/>
      <c r="H80" s="51">
        <v>1254</v>
      </c>
      <c r="I80" s="51">
        <f>ROUND(H80*D80,2)</f>
        <v>2508</v>
      </c>
      <c r="J80" s="51">
        <f>ROUND(I80*1.2,2)</f>
        <v>3009.6</v>
      </c>
      <c r="K80" s="52">
        <f t="shared" si="36"/>
        <v>2508</v>
      </c>
      <c r="L80" s="51">
        <f t="shared" si="36"/>
        <v>3009.6</v>
      </c>
      <c r="M80" s="21" t="s">
        <v>100</v>
      </c>
    </row>
    <row r="81" spans="1:13" ht="20.25" customHeight="1" x14ac:dyDescent="0.25">
      <c r="A81" s="38"/>
      <c r="B81" s="103" t="s">
        <v>215</v>
      </c>
      <c r="C81" s="38"/>
      <c r="D81" s="57"/>
      <c r="E81" s="34"/>
      <c r="F81" s="35"/>
      <c r="G81" s="35"/>
      <c r="H81" s="67"/>
      <c r="I81" s="35"/>
      <c r="J81" s="35"/>
      <c r="K81" s="64"/>
      <c r="L81" s="42"/>
      <c r="M81" s="36"/>
    </row>
    <row r="82" spans="1:13" ht="36.75" customHeight="1" x14ac:dyDescent="0.25">
      <c r="A82" s="30">
        <f>A79+1</f>
        <v>38</v>
      </c>
      <c r="B82" s="99" t="s">
        <v>178</v>
      </c>
      <c r="C82" s="38" t="s">
        <v>24</v>
      </c>
      <c r="D82" s="151">
        <f>1*0.18+3*0.24+1*0.1+2*0.02</f>
        <v>1.0399999999999998</v>
      </c>
      <c r="E82" s="45">
        <v>17265.68</v>
      </c>
      <c r="F82" s="35">
        <f t="shared" ref="F82" si="47">ROUND(E82*D82,2)</f>
        <v>17956.310000000001</v>
      </c>
      <c r="G82" s="35">
        <f t="shared" ref="G82" si="48">ROUND(F82*1.2,2)</f>
        <v>21547.57</v>
      </c>
      <c r="H82" s="67"/>
      <c r="I82" s="35"/>
      <c r="J82" s="35"/>
      <c r="K82" s="64">
        <f t="shared" ref="K82:L91" si="49">F82+I82</f>
        <v>17956.310000000001</v>
      </c>
      <c r="L82" s="42">
        <f t="shared" si="49"/>
        <v>21547.57</v>
      </c>
    </row>
    <row r="83" spans="1:13" ht="18.75" customHeight="1" x14ac:dyDescent="0.25">
      <c r="A83" s="46" t="s">
        <v>128</v>
      </c>
      <c r="B83" s="78" t="s">
        <v>217</v>
      </c>
      <c r="C83" s="48" t="s">
        <v>66</v>
      </c>
      <c r="D83" s="72">
        <v>1</v>
      </c>
      <c r="E83" s="50"/>
      <c r="F83" s="51"/>
      <c r="G83" s="51"/>
      <c r="H83" s="104">
        <v>5079.17</v>
      </c>
      <c r="I83" s="51">
        <f t="shared" ref="I83:I87" si="50">ROUND(H83*D83,2)</f>
        <v>5079.17</v>
      </c>
      <c r="J83" s="51">
        <f t="shared" ref="J83:J87" si="51">ROUND(I83*1.2,2)</f>
        <v>6095</v>
      </c>
      <c r="K83" s="52">
        <f t="shared" si="49"/>
        <v>5079.17</v>
      </c>
      <c r="L83" s="51">
        <f t="shared" si="49"/>
        <v>6095</v>
      </c>
      <c r="M83" s="69"/>
    </row>
    <row r="84" spans="1:13" ht="18.75" customHeight="1" x14ac:dyDescent="0.25">
      <c r="A84" s="46" t="s">
        <v>223</v>
      </c>
      <c r="B84" s="78" t="s">
        <v>218</v>
      </c>
      <c r="C84" s="48" t="s">
        <v>66</v>
      </c>
      <c r="D84" s="72">
        <v>3</v>
      </c>
      <c r="E84" s="50"/>
      <c r="F84" s="51"/>
      <c r="G84" s="51"/>
      <c r="H84" s="104">
        <v>6995.83</v>
      </c>
      <c r="I84" s="51">
        <f t="shared" si="50"/>
        <v>20987.49</v>
      </c>
      <c r="J84" s="51">
        <f t="shared" si="51"/>
        <v>25184.99</v>
      </c>
      <c r="K84" s="52">
        <f t="shared" si="49"/>
        <v>20987.49</v>
      </c>
      <c r="L84" s="51">
        <f t="shared" si="49"/>
        <v>25184.99</v>
      </c>
      <c r="M84" s="69"/>
    </row>
    <row r="85" spans="1:13" ht="18.75" customHeight="1" x14ac:dyDescent="0.25">
      <c r="A85" s="46" t="s">
        <v>224</v>
      </c>
      <c r="B85" s="78" t="s">
        <v>219</v>
      </c>
      <c r="C85" s="48" t="s">
        <v>66</v>
      </c>
      <c r="D85" s="72">
        <v>1</v>
      </c>
      <c r="E85" s="50"/>
      <c r="F85" s="51"/>
      <c r="G85" s="51"/>
      <c r="H85" s="104">
        <v>4025</v>
      </c>
      <c r="I85" s="51">
        <f t="shared" si="50"/>
        <v>4025</v>
      </c>
      <c r="J85" s="51">
        <f t="shared" si="51"/>
        <v>4830</v>
      </c>
      <c r="K85" s="52">
        <f t="shared" si="49"/>
        <v>4025</v>
      </c>
      <c r="L85" s="51">
        <f t="shared" si="49"/>
        <v>4830</v>
      </c>
      <c r="M85" s="69"/>
    </row>
    <row r="86" spans="1:13" ht="18.75" customHeight="1" x14ac:dyDescent="0.25">
      <c r="A86" s="46" t="s">
        <v>226</v>
      </c>
      <c r="B86" s="78" t="s">
        <v>185</v>
      </c>
      <c r="C86" s="48" t="s">
        <v>66</v>
      </c>
      <c r="D86" s="72">
        <v>2</v>
      </c>
      <c r="E86" s="50"/>
      <c r="F86" s="51"/>
      <c r="G86" s="51"/>
      <c r="H86" s="104">
        <f>ROUND(1150/1.2*1.15,2)</f>
        <v>1102.08</v>
      </c>
      <c r="I86" s="51">
        <f t="shared" si="50"/>
        <v>2204.16</v>
      </c>
      <c r="J86" s="51">
        <f t="shared" si="51"/>
        <v>2644.99</v>
      </c>
      <c r="K86" s="52">
        <f t="shared" si="49"/>
        <v>2204.16</v>
      </c>
      <c r="L86" s="51">
        <f t="shared" si="49"/>
        <v>2644.99</v>
      </c>
      <c r="M86" s="71" t="s">
        <v>186</v>
      </c>
    </row>
    <row r="87" spans="1:13" ht="18.75" customHeight="1" x14ac:dyDescent="0.25">
      <c r="A87" s="46" t="s">
        <v>509</v>
      </c>
      <c r="B87" s="78" t="s">
        <v>188</v>
      </c>
      <c r="C87" s="48" t="s">
        <v>66</v>
      </c>
      <c r="D87" s="72">
        <v>1</v>
      </c>
      <c r="E87" s="50"/>
      <c r="F87" s="51"/>
      <c r="G87" s="51"/>
      <c r="H87" s="104">
        <v>14421</v>
      </c>
      <c r="I87" s="51">
        <f t="shared" si="50"/>
        <v>14421</v>
      </c>
      <c r="J87" s="51">
        <f t="shared" si="51"/>
        <v>17305.2</v>
      </c>
      <c r="K87" s="52">
        <f t="shared" si="49"/>
        <v>14421</v>
      </c>
      <c r="L87" s="51">
        <f t="shared" si="49"/>
        <v>17305.2</v>
      </c>
    </row>
    <row r="88" spans="1:13" ht="27.75" customHeight="1" x14ac:dyDescent="0.25">
      <c r="A88" s="38">
        <f>A82+1</f>
        <v>39</v>
      </c>
      <c r="B88" s="37" t="s">
        <v>371</v>
      </c>
      <c r="C88" s="38" t="s">
        <v>35</v>
      </c>
      <c r="D88" s="152">
        <v>11.5</v>
      </c>
      <c r="E88" s="34">
        <v>144.4</v>
      </c>
      <c r="F88" s="35">
        <f>ROUND(E88*D88,2)</f>
        <v>1660.6</v>
      </c>
      <c r="G88" s="35">
        <f t="shared" ref="G88" si="52">ROUND(F88*1.2,2)</f>
        <v>1992.72</v>
      </c>
      <c r="H88" s="64"/>
      <c r="I88" s="35"/>
      <c r="J88" s="35"/>
      <c r="K88" s="64">
        <f t="shared" si="49"/>
        <v>1660.6</v>
      </c>
      <c r="L88" s="42">
        <f t="shared" si="49"/>
        <v>1992.72</v>
      </c>
      <c r="M88" s="71" t="s">
        <v>262</v>
      </c>
    </row>
    <row r="89" spans="1:13" ht="17.25" customHeight="1" x14ac:dyDescent="0.25">
      <c r="A89" s="46" t="s">
        <v>132</v>
      </c>
      <c r="B89" s="78" t="s">
        <v>372</v>
      </c>
      <c r="C89" s="48" t="s">
        <v>220</v>
      </c>
      <c r="D89" s="117">
        <f>D88*0.3*20/16</f>
        <v>4.3125</v>
      </c>
      <c r="E89" s="50"/>
      <c r="F89" s="51"/>
      <c r="G89" s="51"/>
      <c r="H89" s="104">
        <v>237.5</v>
      </c>
      <c r="I89" s="51">
        <f>ROUND(H89*D89,2)</f>
        <v>1024.22</v>
      </c>
      <c r="J89" s="51">
        <f t="shared" ref="J89" si="53">ROUND(I89*1.2,2)</f>
        <v>1229.06</v>
      </c>
      <c r="K89" s="52">
        <f t="shared" si="49"/>
        <v>1024.22</v>
      </c>
      <c r="L89" s="51">
        <f t="shared" si="49"/>
        <v>1229.06</v>
      </c>
      <c r="M89" s="71"/>
    </row>
    <row r="90" spans="1:13" ht="28.5" customHeight="1" x14ac:dyDescent="0.25">
      <c r="A90" s="38">
        <f>A88+1</f>
        <v>40</v>
      </c>
      <c r="B90" s="37" t="s">
        <v>373</v>
      </c>
      <c r="C90" s="38" t="s">
        <v>35</v>
      </c>
      <c r="D90" s="152">
        <v>11.5</v>
      </c>
      <c r="E90" s="34">
        <v>299.76</v>
      </c>
      <c r="F90" s="35">
        <f>ROUND(E90*D90,2)</f>
        <v>3447.24</v>
      </c>
      <c r="G90" s="35">
        <f t="shared" ref="G90" si="54">ROUND(F90*1.2,2)</f>
        <v>4136.6899999999996</v>
      </c>
      <c r="H90" s="64"/>
      <c r="I90" s="35"/>
      <c r="J90" s="35"/>
      <c r="K90" s="64">
        <f t="shared" si="49"/>
        <v>3447.24</v>
      </c>
      <c r="L90" s="42">
        <f t="shared" si="49"/>
        <v>4136.6899999999996</v>
      </c>
      <c r="M90" s="71" t="s">
        <v>262</v>
      </c>
    </row>
    <row r="91" spans="1:13" ht="15.75" x14ac:dyDescent="0.25">
      <c r="A91" s="46" t="s">
        <v>136</v>
      </c>
      <c r="B91" s="78" t="s">
        <v>374</v>
      </c>
      <c r="C91" s="48" t="s">
        <v>130</v>
      </c>
      <c r="D91" s="49">
        <f>D90*0.7*2</f>
        <v>16.099999999999998</v>
      </c>
      <c r="E91" s="50"/>
      <c r="F91" s="51"/>
      <c r="G91" s="51"/>
      <c r="H91" s="104">
        <v>296.39999999999998</v>
      </c>
      <c r="I91" s="51">
        <f t="shared" ref="I91" si="55">ROUND(H91*D91,2)</f>
        <v>4772.04</v>
      </c>
      <c r="J91" s="51">
        <f t="shared" ref="J91" si="56">ROUND(I91*1.2,2)</f>
        <v>5726.45</v>
      </c>
      <c r="K91" s="70">
        <f t="shared" si="49"/>
        <v>4772.04</v>
      </c>
      <c r="L91" s="68">
        <f t="shared" si="49"/>
        <v>5726.45</v>
      </c>
      <c r="M91" s="71"/>
    </row>
    <row r="92" spans="1:13" ht="27" customHeight="1" x14ac:dyDescent="0.25">
      <c r="A92" s="38"/>
      <c r="B92" s="103" t="s">
        <v>221</v>
      </c>
      <c r="C92" s="38"/>
      <c r="D92" s="57"/>
      <c r="E92" s="34"/>
      <c r="F92" s="35"/>
      <c r="G92" s="35"/>
      <c r="H92" s="67"/>
      <c r="I92" s="35"/>
      <c r="J92" s="35"/>
      <c r="K92" s="64"/>
      <c r="L92" s="42"/>
      <c r="M92" s="36"/>
    </row>
    <row r="93" spans="1:13" ht="45" x14ac:dyDescent="0.25">
      <c r="A93" s="38">
        <f>A90+1</f>
        <v>41</v>
      </c>
      <c r="B93" s="73" t="s">
        <v>190</v>
      </c>
      <c r="C93" s="38" t="s">
        <v>66</v>
      </c>
      <c r="D93" s="150">
        <v>1</v>
      </c>
      <c r="E93" s="34">
        <v>14312.75</v>
      </c>
      <c r="F93" s="35">
        <f t="shared" ref="F93:F102" si="57">ROUND(E93*D93,2)</f>
        <v>14312.75</v>
      </c>
      <c r="G93" s="35">
        <f t="shared" ref="G93:G102" si="58">ROUND(F93*1.2,2)</f>
        <v>17175.3</v>
      </c>
      <c r="H93" s="67"/>
      <c r="I93" s="35"/>
      <c r="J93" s="35"/>
      <c r="K93" s="64">
        <f t="shared" ref="K93:L103" si="59">F93+I93</f>
        <v>14312.75</v>
      </c>
      <c r="L93" s="42">
        <f t="shared" si="59"/>
        <v>17175.3</v>
      </c>
    </row>
    <row r="94" spans="1:13" ht="45" x14ac:dyDescent="0.25">
      <c r="A94" s="46" t="s">
        <v>138</v>
      </c>
      <c r="B94" s="78" t="s">
        <v>191</v>
      </c>
      <c r="C94" s="48" t="s">
        <v>66</v>
      </c>
      <c r="D94" s="72">
        <v>1</v>
      </c>
      <c r="E94" s="50"/>
      <c r="F94" s="51"/>
      <c r="G94" s="51"/>
      <c r="H94" s="106">
        <v>109202.5</v>
      </c>
      <c r="I94" s="51">
        <f t="shared" ref="I94" si="60">ROUND(H94*D94,2)</f>
        <v>109202.5</v>
      </c>
      <c r="J94" s="51">
        <f t="shared" ref="J94:J101" si="61">ROUND(I94*1.2,2)</f>
        <v>131043</v>
      </c>
      <c r="K94" s="52">
        <f t="shared" si="59"/>
        <v>109202.5</v>
      </c>
      <c r="L94" s="51">
        <f t="shared" si="59"/>
        <v>131043</v>
      </c>
    </row>
    <row r="95" spans="1:13" ht="30" x14ac:dyDescent="0.25">
      <c r="A95" s="30">
        <f>A93+1</f>
        <v>42</v>
      </c>
      <c r="B95" s="73" t="s">
        <v>222</v>
      </c>
      <c r="C95" s="38" t="s">
        <v>66</v>
      </c>
      <c r="D95" s="150">
        <v>1</v>
      </c>
      <c r="E95" s="34">
        <v>6891.24</v>
      </c>
      <c r="F95" s="35">
        <f t="shared" si="57"/>
        <v>6891.24</v>
      </c>
      <c r="G95" s="35">
        <f t="shared" si="58"/>
        <v>8269.49</v>
      </c>
      <c r="H95" s="67"/>
      <c r="I95" s="35"/>
      <c r="J95" s="35"/>
      <c r="K95" s="64">
        <f t="shared" si="59"/>
        <v>6891.24</v>
      </c>
      <c r="L95" s="42">
        <f t="shared" si="59"/>
        <v>8269.49</v>
      </c>
    </row>
    <row r="96" spans="1:13" ht="18.75" customHeight="1" x14ac:dyDescent="0.25">
      <c r="A96" s="46" t="s">
        <v>141</v>
      </c>
      <c r="B96" s="47" t="s">
        <v>195</v>
      </c>
      <c r="C96" s="48" t="s">
        <v>66</v>
      </c>
      <c r="D96" s="72">
        <v>1</v>
      </c>
      <c r="E96" s="50"/>
      <c r="F96" s="51"/>
      <c r="G96" s="51"/>
      <c r="H96" s="104">
        <v>5092</v>
      </c>
      <c r="I96" s="51">
        <f t="shared" ref="I96:I99" si="62">ROUND(H96*D96,2)</f>
        <v>5092</v>
      </c>
      <c r="J96" s="51">
        <f t="shared" si="61"/>
        <v>6110.4</v>
      </c>
      <c r="K96" s="52">
        <f t="shared" si="59"/>
        <v>5092</v>
      </c>
      <c r="L96" s="51">
        <f t="shared" si="59"/>
        <v>6110.4</v>
      </c>
    </row>
    <row r="97" spans="1:13" ht="18.75" customHeight="1" x14ac:dyDescent="0.25">
      <c r="A97" s="46" t="s">
        <v>510</v>
      </c>
      <c r="B97" s="47" t="s">
        <v>196</v>
      </c>
      <c r="C97" s="98" t="s">
        <v>130</v>
      </c>
      <c r="D97" s="49">
        <f>ROUND(32*0.243,2)</f>
        <v>7.78</v>
      </c>
      <c r="E97" s="50"/>
      <c r="F97" s="51"/>
      <c r="G97" s="51"/>
      <c r="H97" s="104">
        <v>120.65</v>
      </c>
      <c r="I97" s="51">
        <f t="shared" si="62"/>
        <v>938.66</v>
      </c>
      <c r="J97" s="51">
        <f t="shared" si="61"/>
        <v>1126.3900000000001</v>
      </c>
      <c r="K97" s="52">
        <f t="shared" si="59"/>
        <v>938.66</v>
      </c>
      <c r="L97" s="51">
        <f t="shared" si="59"/>
        <v>1126.3900000000001</v>
      </c>
    </row>
    <row r="98" spans="1:13" ht="18.75" customHeight="1" x14ac:dyDescent="0.25">
      <c r="A98" s="46" t="s">
        <v>511</v>
      </c>
      <c r="B98" s="47" t="s">
        <v>225</v>
      </c>
      <c r="C98" s="98" t="s">
        <v>130</v>
      </c>
      <c r="D98" s="49">
        <f>ROUND(32*0.071,2)</f>
        <v>2.27</v>
      </c>
      <c r="E98" s="50"/>
      <c r="F98" s="51"/>
      <c r="G98" s="51"/>
      <c r="H98" s="104">
        <v>139.65</v>
      </c>
      <c r="I98" s="51">
        <f t="shared" si="62"/>
        <v>317.01</v>
      </c>
      <c r="J98" s="51">
        <f t="shared" si="61"/>
        <v>380.41</v>
      </c>
      <c r="K98" s="52">
        <f t="shared" si="59"/>
        <v>317.01</v>
      </c>
      <c r="L98" s="51">
        <f t="shared" si="59"/>
        <v>380.41</v>
      </c>
    </row>
    <row r="99" spans="1:13" ht="18.75" customHeight="1" x14ac:dyDescent="0.25">
      <c r="A99" s="46" t="s">
        <v>512</v>
      </c>
      <c r="B99" s="47" t="s">
        <v>227</v>
      </c>
      <c r="C99" s="98" t="s">
        <v>130</v>
      </c>
      <c r="D99" s="49">
        <f>ROUND(64*0.0172,2)</f>
        <v>1.1000000000000001</v>
      </c>
      <c r="E99" s="50"/>
      <c r="F99" s="51"/>
      <c r="G99" s="51"/>
      <c r="H99" s="104">
        <v>188.1</v>
      </c>
      <c r="I99" s="51">
        <f t="shared" si="62"/>
        <v>206.91</v>
      </c>
      <c r="J99" s="51">
        <f t="shared" si="61"/>
        <v>248.29</v>
      </c>
      <c r="K99" s="52">
        <f t="shared" si="59"/>
        <v>206.91</v>
      </c>
      <c r="L99" s="51">
        <f t="shared" si="59"/>
        <v>248.29</v>
      </c>
    </row>
    <row r="100" spans="1:13" ht="30" x14ac:dyDescent="0.25">
      <c r="A100" s="30">
        <f>A95+1</f>
        <v>43</v>
      </c>
      <c r="B100" s="73" t="s">
        <v>228</v>
      </c>
      <c r="C100" s="38" t="s">
        <v>66</v>
      </c>
      <c r="D100" s="150">
        <v>1</v>
      </c>
      <c r="E100" s="34">
        <v>6891.24</v>
      </c>
      <c r="F100" s="35">
        <f t="shared" si="57"/>
        <v>6891.24</v>
      </c>
      <c r="G100" s="35">
        <f t="shared" si="58"/>
        <v>8269.49</v>
      </c>
      <c r="H100" s="67"/>
      <c r="I100" s="35"/>
      <c r="J100" s="35"/>
      <c r="K100" s="64">
        <f t="shared" si="59"/>
        <v>6891.24</v>
      </c>
      <c r="L100" s="42">
        <f t="shared" si="59"/>
        <v>8269.49</v>
      </c>
    </row>
    <row r="101" spans="1:13" ht="18.75" customHeight="1" x14ac:dyDescent="0.25">
      <c r="A101" s="46" t="s">
        <v>144</v>
      </c>
      <c r="B101" s="78" t="s">
        <v>229</v>
      </c>
      <c r="C101" s="48" t="s">
        <v>66</v>
      </c>
      <c r="D101" s="72">
        <v>1</v>
      </c>
      <c r="E101" s="50"/>
      <c r="F101" s="51"/>
      <c r="G101" s="51"/>
      <c r="H101" s="104">
        <f>ROUND(11010.8*1.15,2)</f>
        <v>12662.42</v>
      </c>
      <c r="I101" s="51">
        <f t="shared" ref="I101" si="63">ROUND(H101*D101,2)</f>
        <v>12662.42</v>
      </c>
      <c r="J101" s="51">
        <f t="shared" si="61"/>
        <v>15194.9</v>
      </c>
      <c r="K101" s="52">
        <f t="shared" si="59"/>
        <v>12662.42</v>
      </c>
      <c r="L101" s="51">
        <f t="shared" si="59"/>
        <v>15194.9</v>
      </c>
      <c r="M101" s="21" t="s">
        <v>160</v>
      </c>
    </row>
    <row r="102" spans="1:13" ht="18.75" customHeight="1" x14ac:dyDescent="0.25">
      <c r="A102" s="30">
        <f>A100+1</f>
        <v>44</v>
      </c>
      <c r="B102" s="73" t="s">
        <v>192</v>
      </c>
      <c r="C102" s="38" t="s">
        <v>66</v>
      </c>
      <c r="D102" s="150">
        <v>1</v>
      </c>
      <c r="E102" s="34">
        <v>6039.48</v>
      </c>
      <c r="F102" s="35">
        <f t="shared" si="57"/>
        <v>6039.48</v>
      </c>
      <c r="G102" s="35">
        <f t="shared" si="58"/>
        <v>7247.38</v>
      </c>
      <c r="H102" s="67"/>
      <c r="I102" s="35"/>
      <c r="J102" s="35"/>
      <c r="K102" s="64">
        <f t="shared" si="59"/>
        <v>6039.48</v>
      </c>
      <c r="L102" s="42">
        <f t="shared" si="59"/>
        <v>7247.38</v>
      </c>
    </row>
    <row r="103" spans="1:13" ht="18.75" customHeight="1" x14ac:dyDescent="0.25">
      <c r="A103" s="46" t="s">
        <v>147</v>
      </c>
      <c r="B103" s="78" t="s">
        <v>193</v>
      </c>
      <c r="C103" s="48" t="s">
        <v>66</v>
      </c>
      <c r="D103" s="72">
        <v>1</v>
      </c>
      <c r="E103" s="50"/>
      <c r="F103" s="51"/>
      <c r="G103" s="51"/>
      <c r="H103" s="104">
        <v>2886.1</v>
      </c>
      <c r="I103" s="51">
        <f t="shared" ref="I103" si="64">ROUND(H103*D103,2)</f>
        <v>2886.1</v>
      </c>
      <c r="J103" s="51">
        <f t="shared" ref="J103" si="65">ROUND(I103*1.2,2)</f>
        <v>3463.32</v>
      </c>
      <c r="K103" s="52">
        <f t="shared" si="59"/>
        <v>2886.1</v>
      </c>
      <c r="L103" s="51">
        <f t="shared" si="59"/>
        <v>3463.32</v>
      </c>
    </row>
    <row r="104" spans="1:13" ht="15.75" x14ac:dyDescent="0.25">
      <c r="A104" s="38"/>
      <c r="B104" s="73"/>
      <c r="C104" s="38"/>
      <c r="D104" s="57"/>
      <c r="E104" s="34"/>
      <c r="F104" s="35"/>
      <c r="G104" s="35"/>
      <c r="H104" s="67"/>
      <c r="I104" s="35"/>
      <c r="J104" s="35"/>
      <c r="K104" s="64"/>
      <c r="L104" s="42"/>
    </row>
    <row r="105" spans="1:13" s="110" customFormat="1" ht="21.75" customHeight="1" x14ac:dyDescent="0.3">
      <c r="A105" s="185" t="s">
        <v>148</v>
      </c>
      <c r="B105" s="186"/>
      <c r="C105" s="186"/>
      <c r="D105" s="186"/>
      <c r="E105" s="187"/>
      <c r="F105" s="107">
        <f>SUM(F7:F104)</f>
        <v>909071.35</v>
      </c>
      <c r="G105" s="92">
        <f>ROUND(F105*1.2,2)</f>
        <v>1090885.6200000001</v>
      </c>
      <c r="H105" s="108"/>
      <c r="I105" s="107">
        <f>SUM(I7:I104)</f>
        <v>1023067.3900000001</v>
      </c>
      <c r="J105" s="92">
        <f>ROUND(I105*1.2,2)</f>
        <v>1227680.8700000001</v>
      </c>
      <c r="K105" s="107">
        <f>SUM(K7:K104)</f>
        <v>1932138.7399999991</v>
      </c>
      <c r="L105" s="92">
        <f>ROUND(K105*1.2,2)</f>
        <v>2318566.4900000002</v>
      </c>
      <c r="M105" s="109"/>
    </row>
  </sheetData>
  <mergeCells count="10">
    <mergeCell ref="B6:D6"/>
    <mergeCell ref="A105:E10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M118"/>
  <sheetViews>
    <sheetView view="pageBreakPreview" topLeftCell="A73" zoomScale="70" zoomScaleNormal="100" zoomScaleSheetLayoutView="70" workbookViewId="0">
      <selection activeCell="B114" sqref="B114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style="126" customWidth="1"/>
    <col min="6" max="6" width="16" customWidth="1"/>
    <col min="7" max="7" width="17.140625" style="97" customWidth="1"/>
    <col min="8" max="8" width="16.140625" style="97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67" t="s">
        <v>0</v>
      </c>
      <c r="B1" s="170" t="s">
        <v>8</v>
      </c>
      <c r="C1" s="173" t="s">
        <v>9</v>
      </c>
      <c r="D1" s="173" t="s">
        <v>10</v>
      </c>
      <c r="E1" s="179" t="s">
        <v>11</v>
      </c>
      <c r="F1" s="180"/>
      <c r="G1" s="180"/>
      <c r="H1" s="180"/>
      <c r="I1" s="180"/>
      <c r="J1" s="180"/>
      <c r="K1" s="180"/>
      <c r="L1" s="180"/>
    </row>
    <row r="2" spans="1:13" ht="14.45" customHeight="1" x14ac:dyDescent="0.25">
      <c r="A2" s="168"/>
      <c r="B2" s="171"/>
      <c r="C2" s="173"/>
      <c r="D2" s="173"/>
      <c r="E2" s="181"/>
      <c r="F2" s="182"/>
      <c r="G2" s="182"/>
      <c r="H2" s="182"/>
      <c r="I2" s="182"/>
      <c r="J2" s="182"/>
      <c r="K2" s="182"/>
      <c r="L2" s="182"/>
    </row>
    <row r="3" spans="1:13" ht="27.75" customHeight="1" x14ac:dyDescent="0.25">
      <c r="A3" s="168"/>
      <c r="B3" s="171"/>
      <c r="C3" s="173"/>
      <c r="D3" s="173"/>
      <c r="E3" s="173" t="s">
        <v>12</v>
      </c>
      <c r="F3" s="173"/>
      <c r="G3" s="173"/>
      <c r="H3" s="173" t="s">
        <v>13</v>
      </c>
      <c r="I3" s="173"/>
      <c r="J3" s="173"/>
      <c r="K3" s="163" t="s">
        <v>14</v>
      </c>
      <c r="L3" s="163"/>
    </row>
    <row r="4" spans="1:13" ht="56.1" customHeight="1" x14ac:dyDescent="0.25">
      <c r="A4" s="169"/>
      <c r="B4" s="172"/>
      <c r="C4" s="173"/>
      <c r="D4" s="173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30" customHeight="1" x14ac:dyDescent="0.25">
      <c r="A6" s="26"/>
      <c r="B6" s="190" t="s">
        <v>503</v>
      </c>
      <c r="C6" s="191"/>
      <c r="D6" s="191"/>
      <c r="E6" s="27"/>
      <c r="F6" s="28"/>
      <c r="G6" s="29"/>
      <c r="H6" s="29"/>
      <c r="I6" s="29"/>
      <c r="J6" s="29"/>
      <c r="K6" s="29"/>
      <c r="L6" s="29"/>
      <c r="M6" s="120" t="s">
        <v>480</v>
      </c>
    </row>
    <row r="7" spans="1:13" ht="18" customHeight="1" x14ac:dyDescent="0.25">
      <c r="A7" s="30"/>
      <c r="B7" s="31" t="s">
        <v>20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7" t="s">
        <v>427</v>
      </c>
      <c r="C8" s="5" t="s">
        <v>66</v>
      </c>
      <c r="D8" s="150">
        <v>4</v>
      </c>
      <c r="E8" s="40">
        <v>1055.02</v>
      </c>
      <c r="F8" s="33">
        <f t="shared" ref="F8:F11" si="0">ROUND(E8*D8,2)</f>
        <v>4220.08</v>
      </c>
      <c r="G8" s="33">
        <f t="shared" ref="G8:G11" si="1">ROUND(F8*1.2,2)</f>
        <v>5064.1000000000004</v>
      </c>
      <c r="H8" s="34"/>
      <c r="I8" s="35"/>
      <c r="J8" s="35"/>
      <c r="K8" s="32">
        <f t="shared" ref="K8:L11" si="2">F8+I8</f>
        <v>4220.08</v>
      </c>
      <c r="L8" s="33">
        <f t="shared" si="2"/>
        <v>5064.1000000000004</v>
      </c>
      <c r="M8" s="71" t="s">
        <v>25</v>
      </c>
    </row>
    <row r="9" spans="1:13" ht="22.5" customHeight="1" x14ac:dyDescent="0.25">
      <c r="A9" s="30">
        <f>A8+1</f>
        <v>2</v>
      </c>
      <c r="B9" s="37" t="s">
        <v>21</v>
      </c>
      <c r="C9" s="38" t="s">
        <v>22</v>
      </c>
      <c r="D9" s="151">
        <v>16.34</v>
      </c>
      <c r="E9" s="40">
        <v>1900</v>
      </c>
      <c r="F9" s="33">
        <f t="shared" si="0"/>
        <v>31046</v>
      </c>
      <c r="G9" s="33">
        <f t="shared" si="1"/>
        <v>37255.199999999997</v>
      </c>
      <c r="H9" s="34"/>
      <c r="I9" s="35"/>
      <c r="J9" s="35"/>
      <c r="K9" s="32">
        <f t="shared" si="2"/>
        <v>31046</v>
      </c>
      <c r="L9" s="33">
        <f t="shared" si="2"/>
        <v>37255.199999999997</v>
      </c>
      <c r="M9" s="41"/>
    </row>
    <row r="10" spans="1:13" ht="22.5" customHeight="1" x14ac:dyDescent="0.25">
      <c r="A10" s="30">
        <f>A9+1</f>
        <v>3</v>
      </c>
      <c r="B10" s="37" t="s">
        <v>23</v>
      </c>
      <c r="C10" s="100" t="s">
        <v>24</v>
      </c>
      <c r="D10" s="151">
        <v>8.69</v>
      </c>
      <c r="E10" s="42">
        <f>ROUND(65055.24/(297.03*0.05),2)</f>
        <v>4380.38</v>
      </c>
      <c r="F10" s="33">
        <f t="shared" si="0"/>
        <v>38065.5</v>
      </c>
      <c r="G10" s="33">
        <f t="shared" si="1"/>
        <v>45678.6</v>
      </c>
      <c r="H10" s="34"/>
      <c r="I10" s="35"/>
      <c r="J10" s="35"/>
      <c r="K10" s="32">
        <f t="shared" si="2"/>
        <v>38065.5</v>
      </c>
      <c r="L10" s="33">
        <f t="shared" si="2"/>
        <v>45678.6</v>
      </c>
      <c r="M10" s="21" t="s">
        <v>25</v>
      </c>
    </row>
    <row r="11" spans="1:13" ht="22.5" customHeight="1" x14ac:dyDescent="0.25">
      <c r="A11" s="30">
        <f t="shared" ref="A11" si="3">A10+1</f>
        <v>4</v>
      </c>
      <c r="B11" s="37" t="s">
        <v>26</v>
      </c>
      <c r="C11" s="100" t="s">
        <v>24</v>
      </c>
      <c r="D11" s="151">
        <v>12.86</v>
      </c>
      <c r="E11" s="64">
        <v>1440.5229999999999</v>
      </c>
      <c r="F11" s="33">
        <f t="shared" si="0"/>
        <v>18525.13</v>
      </c>
      <c r="G11" s="33">
        <f t="shared" si="1"/>
        <v>22230.16</v>
      </c>
      <c r="H11" s="35"/>
      <c r="I11" s="35"/>
      <c r="J11" s="35"/>
      <c r="K11" s="32">
        <f t="shared" si="2"/>
        <v>18525.13</v>
      </c>
      <c r="L11" s="35">
        <f t="shared" si="2"/>
        <v>22230.16</v>
      </c>
      <c r="M11" s="21" t="s">
        <v>25</v>
      </c>
    </row>
    <row r="12" spans="1:13" ht="20.25" customHeight="1" x14ac:dyDescent="0.25">
      <c r="A12" s="30"/>
      <c r="B12" s="111" t="s">
        <v>232</v>
      </c>
      <c r="C12" s="38"/>
      <c r="D12" s="151"/>
      <c r="E12" s="127"/>
      <c r="F12" s="35"/>
      <c r="G12" s="35"/>
      <c r="H12" s="35"/>
      <c r="I12" s="35"/>
      <c r="J12" s="35"/>
      <c r="K12" s="32"/>
      <c r="L12" s="35"/>
      <c r="M12" s="71"/>
    </row>
    <row r="13" spans="1:13" ht="24" customHeight="1" x14ac:dyDescent="0.25">
      <c r="A13" s="30">
        <f>A11+1</f>
        <v>5</v>
      </c>
      <c r="B13" s="73" t="s">
        <v>477</v>
      </c>
      <c r="C13" s="100" t="s">
        <v>38</v>
      </c>
      <c r="D13" s="151">
        <v>0.4</v>
      </c>
      <c r="E13" s="42">
        <v>544.86</v>
      </c>
      <c r="F13" s="33">
        <f t="shared" ref="F13:F14" si="4">ROUND(E13*D13,2)</f>
        <v>217.94</v>
      </c>
      <c r="G13" s="33">
        <f t="shared" ref="G13:G14" si="5">ROUND(F13*1.2,2)</f>
        <v>261.52999999999997</v>
      </c>
      <c r="H13" s="34"/>
      <c r="I13" s="35"/>
      <c r="J13" s="35"/>
      <c r="K13" s="32">
        <f t="shared" ref="K13:L14" si="6">F13+I13</f>
        <v>217.94</v>
      </c>
      <c r="L13" s="35">
        <f t="shared" si="6"/>
        <v>261.52999999999997</v>
      </c>
      <c r="M13" s="71" t="s">
        <v>158</v>
      </c>
    </row>
    <row r="14" spans="1:13" ht="24" customHeight="1" x14ac:dyDescent="0.25">
      <c r="A14" s="30">
        <f>A13+1</f>
        <v>6</v>
      </c>
      <c r="B14" s="73" t="s">
        <v>27</v>
      </c>
      <c r="C14" s="100" t="s">
        <v>38</v>
      </c>
      <c r="D14" s="151">
        <v>35.380000000000003</v>
      </c>
      <c r="E14" s="42">
        <v>544.86</v>
      </c>
      <c r="F14" s="33">
        <f t="shared" si="4"/>
        <v>19277.150000000001</v>
      </c>
      <c r="G14" s="33">
        <f t="shared" si="5"/>
        <v>23132.58</v>
      </c>
      <c r="H14" s="34"/>
      <c r="I14" s="35"/>
      <c r="J14" s="35"/>
      <c r="K14" s="32">
        <f t="shared" si="6"/>
        <v>19277.150000000001</v>
      </c>
      <c r="L14" s="35">
        <f t="shared" si="6"/>
        <v>23132.58</v>
      </c>
      <c r="M14" s="71" t="s">
        <v>28</v>
      </c>
    </row>
    <row r="15" spans="1:13" ht="20.25" customHeight="1" x14ac:dyDescent="0.25">
      <c r="A15" s="56"/>
      <c r="B15" s="43" t="s">
        <v>506</v>
      </c>
      <c r="C15" s="38"/>
      <c r="D15" s="150"/>
      <c r="E15" s="58"/>
      <c r="F15" s="59"/>
      <c r="G15" s="60"/>
      <c r="H15" s="61"/>
      <c r="I15" s="62"/>
      <c r="J15" s="62"/>
      <c r="K15" s="63"/>
      <c r="L15" s="62"/>
    </row>
    <row r="16" spans="1:13" ht="24" customHeight="1" x14ac:dyDescent="0.25">
      <c r="A16" s="30">
        <f>A14+1</f>
        <v>7</v>
      </c>
      <c r="B16" s="99" t="s">
        <v>46</v>
      </c>
      <c r="C16" s="100" t="s">
        <v>24</v>
      </c>
      <c r="D16" s="151">
        <v>64.31</v>
      </c>
      <c r="E16" s="64">
        <v>308.75</v>
      </c>
      <c r="F16" s="33">
        <f t="shared" ref="F16:F23" si="7">ROUND(E16*D16,2)</f>
        <v>19855.71</v>
      </c>
      <c r="G16" s="33">
        <f t="shared" ref="G16:G23" si="8">ROUND(F16*1.2,2)</f>
        <v>23826.85</v>
      </c>
      <c r="H16" s="61"/>
      <c r="I16" s="62"/>
      <c r="J16" s="62"/>
      <c r="K16" s="64">
        <f t="shared" ref="K16:L23" si="9">F16+I16</f>
        <v>19855.71</v>
      </c>
      <c r="L16" s="42">
        <f t="shared" si="9"/>
        <v>23826.85</v>
      </c>
    </row>
    <row r="17" spans="1:13" ht="24" customHeight="1" x14ac:dyDescent="0.25">
      <c r="A17" s="30">
        <f>A16+1</f>
        <v>8</v>
      </c>
      <c r="B17" s="99" t="s">
        <v>47</v>
      </c>
      <c r="C17" s="100" t="s">
        <v>24</v>
      </c>
      <c r="D17" s="151">
        <v>1.92</v>
      </c>
      <c r="E17" s="64">
        <v>1688.15</v>
      </c>
      <c r="F17" s="33">
        <f t="shared" si="7"/>
        <v>3241.25</v>
      </c>
      <c r="G17" s="33">
        <f t="shared" si="8"/>
        <v>3889.5</v>
      </c>
      <c r="H17" s="61"/>
      <c r="I17" s="62"/>
      <c r="J17" s="62"/>
      <c r="K17" s="64">
        <f t="shared" si="9"/>
        <v>3241.25</v>
      </c>
      <c r="L17" s="42">
        <f t="shared" si="9"/>
        <v>3889.5</v>
      </c>
    </row>
    <row r="18" spans="1:13" ht="20.25" customHeight="1" x14ac:dyDescent="0.25">
      <c r="A18" s="30">
        <f>A17+1</f>
        <v>9</v>
      </c>
      <c r="B18" s="37" t="s">
        <v>481</v>
      </c>
      <c r="C18" s="38" t="s">
        <v>345</v>
      </c>
      <c r="D18" s="151">
        <v>1.44</v>
      </c>
      <c r="E18" s="64">
        <v>2057.89</v>
      </c>
      <c r="F18" s="42">
        <f>ROUND(E18*D18,2)</f>
        <v>2963.36</v>
      </c>
      <c r="G18" s="42">
        <f t="shared" si="8"/>
        <v>3556.03</v>
      </c>
      <c r="H18" s="34"/>
      <c r="I18" s="42"/>
      <c r="J18" s="42"/>
      <c r="K18" s="64">
        <f t="shared" si="9"/>
        <v>2963.36</v>
      </c>
      <c r="L18" s="42">
        <f t="shared" si="9"/>
        <v>3556.03</v>
      </c>
      <c r="M18" s="71"/>
    </row>
    <row r="19" spans="1:13" ht="20.25" customHeight="1" x14ac:dyDescent="0.25">
      <c r="A19" s="46" t="s">
        <v>490</v>
      </c>
      <c r="B19" s="47" t="s">
        <v>159</v>
      </c>
      <c r="C19" s="48" t="s">
        <v>24</v>
      </c>
      <c r="D19" s="49">
        <f>D18*1.26</f>
        <v>1.8144</v>
      </c>
      <c r="E19" s="70"/>
      <c r="F19" s="68"/>
      <c r="G19" s="68"/>
      <c r="H19" s="70">
        <v>2827.08</v>
      </c>
      <c r="I19" s="51">
        <f>ROUND(H19*D19,2)</f>
        <v>5129.45</v>
      </c>
      <c r="J19" s="51">
        <f>ROUND(I19*1.2,2)</f>
        <v>6155.34</v>
      </c>
      <c r="K19" s="52">
        <f t="shared" si="9"/>
        <v>5129.45</v>
      </c>
      <c r="L19" s="51">
        <f t="shared" si="9"/>
        <v>6155.34</v>
      </c>
      <c r="M19" s="69"/>
    </row>
    <row r="20" spans="1:13" ht="24" customHeight="1" x14ac:dyDescent="0.25">
      <c r="A20" s="30">
        <f>A17+1</f>
        <v>9</v>
      </c>
      <c r="B20" s="73" t="s">
        <v>505</v>
      </c>
      <c r="C20" s="100" t="s">
        <v>24</v>
      </c>
      <c r="D20" s="151">
        <v>22.35</v>
      </c>
      <c r="E20" s="64">
        <v>1310.05</v>
      </c>
      <c r="F20" s="33">
        <f t="shared" si="7"/>
        <v>29279.62</v>
      </c>
      <c r="G20" s="33">
        <f t="shared" si="8"/>
        <v>35135.54</v>
      </c>
      <c r="H20" s="35"/>
      <c r="I20" s="35"/>
      <c r="J20" s="35"/>
      <c r="K20" s="32">
        <f t="shared" si="9"/>
        <v>29279.62</v>
      </c>
      <c r="L20" s="35">
        <f t="shared" si="9"/>
        <v>35135.54</v>
      </c>
    </row>
    <row r="21" spans="1:13" ht="20.25" customHeight="1" x14ac:dyDescent="0.25">
      <c r="A21" s="46" t="s">
        <v>490</v>
      </c>
      <c r="B21" s="47" t="s">
        <v>50</v>
      </c>
      <c r="C21" s="48" t="s">
        <v>24</v>
      </c>
      <c r="D21" s="49">
        <f>D20*1.1</f>
        <v>24.585000000000004</v>
      </c>
      <c r="E21" s="70"/>
      <c r="F21" s="51"/>
      <c r="G21" s="51"/>
      <c r="H21" s="51">
        <v>1191.3</v>
      </c>
      <c r="I21" s="51">
        <f>ROUND(H21*D21,2)</f>
        <v>29288.11</v>
      </c>
      <c r="J21" s="51">
        <f>ROUND(I21*1.2,2)</f>
        <v>35145.730000000003</v>
      </c>
      <c r="K21" s="52">
        <f t="shared" si="9"/>
        <v>29288.11</v>
      </c>
      <c r="L21" s="51">
        <f t="shared" si="9"/>
        <v>35145.730000000003</v>
      </c>
    </row>
    <row r="22" spans="1:13" s="66" customFormat="1" ht="22.5" customHeight="1" x14ac:dyDescent="0.25">
      <c r="A22" s="38">
        <f>A20+1</f>
        <v>10</v>
      </c>
      <c r="B22" s="99" t="s">
        <v>153</v>
      </c>
      <c r="C22" s="100" t="s">
        <v>24</v>
      </c>
      <c r="D22" s="151">
        <v>45.81</v>
      </c>
      <c r="E22" s="64">
        <v>118.75</v>
      </c>
      <c r="F22" s="33">
        <f t="shared" si="7"/>
        <v>5439.94</v>
      </c>
      <c r="G22" s="33">
        <f t="shared" si="8"/>
        <v>6527.93</v>
      </c>
      <c r="H22" s="61"/>
      <c r="I22" s="62"/>
      <c r="J22" s="62"/>
      <c r="K22" s="64">
        <f t="shared" si="9"/>
        <v>5439.94</v>
      </c>
      <c r="L22" s="42">
        <f t="shared" si="9"/>
        <v>6527.93</v>
      </c>
      <c r="M22" s="65"/>
    </row>
    <row r="23" spans="1:13" ht="22.5" customHeight="1" x14ac:dyDescent="0.25">
      <c r="A23" s="30">
        <f>A22+1</f>
        <v>11</v>
      </c>
      <c r="B23" s="99" t="s">
        <v>53</v>
      </c>
      <c r="C23" s="100" t="s">
        <v>24</v>
      </c>
      <c r="D23" s="151">
        <v>45.81</v>
      </c>
      <c r="E23" s="64">
        <v>188.1</v>
      </c>
      <c r="F23" s="33">
        <f t="shared" si="7"/>
        <v>8616.86</v>
      </c>
      <c r="G23" s="33">
        <f t="shared" si="8"/>
        <v>10340.23</v>
      </c>
      <c r="H23" s="64"/>
      <c r="I23" s="35"/>
      <c r="J23" s="35"/>
      <c r="K23" s="64">
        <f t="shared" si="9"/>
        <v>8616.86</v>
      </c>
      <c r="L23" s="42">
        <f t="shared" si="9"/>
        <v>10340.23</v>
      </c>
    </row>
    <row r="24" spans="1:13" ht="20.25" customHeight="1" x14ac:dyDescent="0.25">
      <c r="A24" s="56"/>
      <c r="B24" s="43" t="s">
        <v>349</v>
      </c>
      <c r="C24" s="38"/>
      <c r="D24" s="150"/>
      <c r="E24" s="58"/>
      <c r="F24" s="59"/>
      <c r="G24" s="60"/>
      <c r="H24" s="61"/>
      <c r="I24" s="62"/>
      <c r="J24" s="62"/>
      <c r="K24" s="63"/>
      <c r="L24" s="62"/>
    </row>
    <row r="25" spans="1:13" ht="24" customHeight="1" x14ac:dyDescent="0.25">
      <c r="A25" s="30">
        <f>A23+1</f>
        <v>12</v>
      </c>
      <c r="B25" s="99" t="s">
        <v>46</v>
      </c>
      <c r="C25" s="100" t="s">
        <v>24</v>
      </c>
      <c r="D25" s="151">
        <v>22.63</v>
      </c>
      <c r="E25" s="64">
        <v>308.75</v>
      </c>
      <c r="F25" s="33">
        <f t="shared" ref="F25:F26" si="10">ROUND(E25*D25,2)</f>
        <v>6987.01</v>
      </c>
      <c r="G25" s="33">
        <f t="shared" ref="G25:G26" si="11">ROUND(F25*1.2,2)</f>
        <v>8384.41</v>
      </c>
      <c r="H25" s="61"/>
      <c r="I25" s="62"/>
      <c r="J25" s="62"/>
      <c r="K25" s="64">
        <f t="shared" ref="K25:K30" si="12">F25+I25</f>
        <v>6987.01</v>
      </c>
      <c r="L25" s="42">
        <f t="shared" ref="L25:L30" si="13">G25+J25</f>
        <v>8384.41</v>
      </c>
    </row>
    <row r="26" spans="1:13" ht="24" customHeight="1" x14ac:dyDescent="0.25">
      <c r="A26" s="30">
        <f>A25+1</f>
        <v>13</v>
      </c>
      <c r="B26" s="99" t="s">
        <v>47</v>
      </c>
      <c r="C26" s="100" t="s">
        <v>24</v>
      </c>
      <c r="D26" s="151">
        <v>0.7</v>
      </c>
      <c r="E26" s="64">
        <v>1688.15</v>
      </c>
      <c r="F26" s="33">
        <f t="shared" si="10"/>
        <v>1181.71</v>
      </c>
      <c r="G26" s="33">
        <f t="shared" si="11"/>
        <v>1418.05</v>
      </c>
      <c r="H26" s="61"/>
      <c r="I26" s="62"/>
      <c r="J26" s="62"/>
      <c r="K26" s="64">
        <f t="shared" si="12"/>
        <v>1181.71</v>
      </c>
      <c r="L26" s="42">
        <f t="shared" si="13"/>
        <v>1418.05</v>
      </c>
    </row>
    <row r="27" spans="1:13" ht="24" customHeight="1" x14ac:dyDescent="0.25">
      <c r="A27" s="30">
        <f>A26+1</f>
        <v>14</v>
      </c>
      <c r="B27" s="73" t="s">
        <v>513</v>
      </c>
      <c r="C27" s="100" t="s">
        <v>24</v>
      </c>
      <c r="D27" s="151">
        <v>10.050000000000001</v>
      </c>
      <c r="E27" s="64">
        <v>1310.05</v>
      </c>
      <c r="F27" s="33">
        <f t="shared" ref="F27" si="14">ROUND(E27*D27,2)</f>
        <v>13166</v>
      </c>
      <c r="G27" s="33">
        <f t="shared" ref="G27" si="15">ROUND(F27*1.2,2)</f>
        <v>15799.2</v>
      </c>
      <c r="H27" s="35"/>
      <c r="I27" s="35"/>
      <c r="J27" s="35"/>
      <c r="K27" s="32">
        <f t="shared" si="12"/>
        <v>13166</v>
      </c>
      <c r="L27" s="35">
        <f t="shared" si="13"/>
        <v>15799.2</v>
      </c>
    </row>
    <row r="28" spans="1:13" ht="20.25" customHeight="1" x14ac:dyDescent="0.25">
      <c r="A28" s="46" t="s">
        <v>491</v>
      </c>
      <c r="B28" s="47" t="s">
        <v>50</v>
      </c>
      <c r="C28" s="48" t="s">
        <v>24</v>
      </c>
      <c r="D28" s="49">
        <f>D27*1.1</f>
        <v>11.055000000000001</v>
      </c>
      <c r="E28" s="70"/>
      <c r="F28" s="51"/>
      <c r="G28" s="51"/>
      <c r="H28" s="51">
        <v>1191.3</v>
      </c>
      <c r="I28" s="51">
        <f>ROUND(H28*D28,2)</f>
        <v>13169.82</v>
      </c>
      <c r="J28" s="51">
        <f>ROUND(I28*1.2,2)</f>
        <v>15803.78</v>
      </c>
      <c r="K28" s="52">
        <f t="shared" si="12"/>
        <v>13169.82</v>
      </c>
      <c r="L28" s="51">
        <f t="shared" si="13"/>
        <v>15803.78</v>
      </c>
    </row>
    <row r="29" spans="1:13" s="66" customFormat="1" ht="22.5" customHeight="1" x14ac:dyDescent="0.25">
      <c r="A29" s="38">
        <f>A27+1</f>
        <v>15</v>
      </c>
      <c r="B29" s="99" t="s">
        <v>153</v>
      </c>
      <c r="C29" s="100" t="s">
        <v>24</v>
      </c>
      <c r="D29" s="151">
        <v>25.79</v>
      </c>
      <c r="E29" s="64">
        <v>118.75</v>
      </c>
      <c r="F29" s="33">
        <f t="shared" ref="F29:F30" si="16">ROUND(E29*D29,2)</f>
        <v>3062.56</v>
      </c>
      <c r="G29" s="33">
        <f t="shared" ref="G29:G30" si="17">ROUND(F29*1.2,2)</f>
        <v>3675.07</v>
      </c>
      <c r="H29" s="61"/>
      <c r="I29" s="62"/>
      <c r="J29" s="62"/>
      <c r="K29" s="64">
        <f t="shared" si="12"/>
        <v>3062.56</v>
      </c>
      <c r="L29" s="42">
        <f t="shared" si="13"/>
        <v>3675.07</v>
      </c>
      <c r="M29" s="65"/>
    </row>
    <row r="30" spans="1:13" ht="22.5" customHeight="1" x14ac:dyDescent="0.25">
      <c r="A30" s="30">
        <f>A29+1</f>
        <v>16</v>
      </c>
      <c r="B30" s="99" t="s">
        <v>53</v>
      </c>
      <c r="C30" s="100" t="s">
        <v>24</v>
      </c>
      <c r="D30" s="151">
        <v>25.79</v>
      </c>
      <c r="E30" s="64">
        <v>188.1</v>
      </c>
      <c r="F30" s="33">
        <f t="shared" si="16"/>
        <v>4851.1000000000004</v>
      </c>
      <c r="G30" s="33">
        <f t="shared" si="17"/>
        <v>5821.32</v>
      </c>
      <c r="H30" s="64"/>
      <c r="I30" s="35"/>
      <c r="J30" s="35"/>
      <c r="K30" s="64">
        <f t="shared" si="12"/>
        <v>4851.1000000000004</v>
      </c>
      <c r="L30" s="42">
        <f t="shared" si="13"/>
        <v>5821.32</v>
      </c>
    </row>
    <row r="31" spans="1:13" ht="18.75" customHeight="1" x14ac:dyDescent="0.25">
      <c r="A31" s="30"/>
      <c r="B31" s="121" t="s">
        <v>514</v>
      </c>
      <c r="C31" s="100"/>
      <c r="D31" s="151"/>
      <c r="E31" s="123"/>
      <c r="F31" s="35"/>
      <c r="G31" s="35"/>
      <c r="H31" s="67"/>
      <c r="I31" s="35"/>
      <c r="J31" s="35"/>
      <c r="K31" s="64"/>
      <c r="L31" s="42"/>
    </row>
    <row r="32" spans="1:13" ht="30.75" customHeight="1" x14ac:dyDescent="0.25">
      <c r="A32" s="38">
        <f>A30+1</f>
        <v>17</v>
      </c>
      <c r="B32" s="99" t="s">
        <v>178</v>
      </c>
      <c r="C32" s="38" t="s">
        <v>24</v>
      </c>
      <c r="D32" s="151">
        <f>1*0.18+2*0.242+1*0.1+1*0.1</f>
        <v>0.86399999999999988</v>
      </c>
      <c r="E32" s="123">
        <v>17265.68</v>
      </c>
      <c r="F32" s="35">
        <f t="shared" ref="F32" si="18">ROUND(E32*D32,2)</f>
        <v>14917.55</v>
      </c>
      <c r="G32" s="35">
        <f t="shared" ref="G32" si="19">ROUND(F32*1.2,2)</f>
        <v>17901.060000000001</v>
      </c>
      <c r="H32" s="67"/>
      <c r="I32" s="35"/>
      <c r="J32" s="35"/>
      <c r="K32" s="64">
        <f t="shared" ref="K32:L42" si="20">F32+I32</f>
        <v>14917.55</v>
      </c>
      <c r="L32" s="42">
        <f t="shared" ref="L32:L42" si="21">G32+J32</f>
        <v>17901.060000000001</v>
      </c>
    </row>
    <row r="33" spans="1:13" ht="18.75" customHeight="1" x14ac:dyDescent="0.25">
      <c r="A33" s="46" t="s">
        <v>63</v>
      </c>
      <c r="B33" s="78" t="s">
        <v>515</v>
      </c>
      <c r="C33" s="48" t="s">
        <v>66</v>
      </c>
      <c r="D33" s="72">
        <v>1</v>
      </c>
      <c r="E33" s="70"/>
      <c r="F33" s="51"/>
      <c r="G33" s="51"/>
      <c r="H33" s="104">
        <v>3136</v>
      </c>
      <c r="I33" s="51">
        <f t="shared" ref="I33:I37" si="22">ROUND(H33*D33,2)</f>
        <v>3136</v>
      </c>
      <c r="J33" s="51">
        <f t="shared" ref="J33:J37" si="23">ROUND(I33*1.2,2)</f>
        <v>3763.2</v>
      </c>
      <c r="K33" s="52">
        <f t="shared" si="20"/>
        <v>3136</v>
      </c>
      <c r="L33" s="51">
        <f t="shared" si="20"/>
        <v>3763.2</v>
      </c>
      <c r="M33" s="69"/>
    </row>
    <row r="34" spans="1:13" ht="18.75" customHeight="1" x14ac:dyDescent="0.25">
      <c r="A34" s="46" t="s">
        <v>64</v>
      </c>
      <c r="B34" s="78" t="s">
        <v>516</v>
      </c>
      <c r="C34" s="48" t="s">
        <v>66</v>
      </c>
      <c r="D34" s="72">
        <v>2</v>
      </c>
      <c r="E34" s="70"/>
      <c r="F34" s="51"/>
      <c r="G34" s="51"/>
      <c r="H34" s="104">
        <v>6995.83</v>
      </c>
      <c r="I34" s="51">
        <f t="shared" si="22"/>
        <v>13991.66</v>
      </c>
      <c r="J34" s="51">
        <f t="shared" si="23"/>
        <v>16789.990000000002</v>
      </c>
      <c r="K34" s="52">
        <f t="shared" si="20"/>
        <v>13991.66</v>
      </c>
      <c r="L34" s="51">
        <f t="shared" si="20"/>
        <v>16789.990000000002</v>
      </c>
      <c r="M34" s="69"/>
    </row>
    <row r="35" spans="1:13" ht="18.75" customHeight="1" x14ac:dyDescent="0.25">
      <c r="A35" s="46" t="s">
        <v>518</v>
      </c>
      <c r="B35" s="78" t="s">
        <v>517</v>
      </c>
      <c r="C35" s="48" t="s">
        <v>66</v>
      </c>
      <c r="D35" s="72">
        <v>1</v>
      </c>
      <c r="E35" s="70"/>
      <c r="F35" s="51"/>
      <c r="G35" s="51"/>
      <c r="H35" s="104">
        <v>3784</v>
      </c>
      <c r="I35" s="51">
        <f t="shared" si="22"/>
        <v>3784</v>
      </c>
      <c r="J35" s="51">
        <f t="shared" si="23"/>
        <v>4540.8</v>
      </c>
      <c r="K35" s="52">
        <f t="shared" si="20"/>
        <v>3784</v>
      </c>
      <c r="L35" s="51">
        <f t="shared" si="20"/>
        <v>4540.8</v>
      </c>
      <c r="M35" s="69"/>
    </row>
    <row r="36" spans="1:13" ht="18.75" customHeight="1" x14ac:dyDescent="0.25">
      <c r="A36" s="46" t="s">
        <v>519</v>
      </c>
      <c r="B36" s="78" t="s">
        <v>522</v>
      </c>
      <c r="C36" s="48" t="s">
        <v>66</v>
      </c>
      <c r="D36" s="72">
        <v>1</v>
      </c>
      <c r="E36" s="70"/>
      <c r="F36" s="51"/>
      <c r="G36" s="51"/>
      <c r="H36" s="104">
        <v>3136</v>
      </c>
      <c r="I36" s="51">
        <f t="shared" si="22"/>
        <v>3136</v>
      </c>
      <c r="J36" s="51">
        <f t="shared" si="23"/>
        <v>3763.2</v>
      </c>
      <c r="K36" s="52">
        <f t="shared" si="20"/>
        <v>3136</v>
      </c>
      <c r="L36" s="51">
        <f t="shared" si="20"/>
        <v>3763.2</v>
      </c>
      <c r="M36" s="69"/>
    </row>
    <row r="37" spans="1:13" ht="18.75" customHeight="1" x14ac:dyDescent="0.25">
      <c r="A37" s="46" t="s">
        <v>520</v>
      </c>
      <c r="B37" s="78" t="s">
        <v>188</v>
      </c>
      <c r="C37" s="48" t="s">
        <v>66</v>
      </c>
      <c r="D37" s="72">
        <v>1</v>
      </c>
      <c r="E37" s="70"/>
      <c r="F37" s="51"/>
      <c r="G37" s="51"/>
      <c r="H37" s="104">
        <v>14421</v>
      </c>
      <c r="I37" s="51">
        <f t="shared" si="22"/>
        <v>14421</v>
      </c>
      <c r="J37" s="51">
        <f t="shared" si="23"/>
        <v>17305.2</v>
      </c>
      <c r="K37" s="52">
        <f t="shared" si="20"/>
        <v>14421</v>
      </c>
      <c r="L37" s="51">
        <f t="shared" si="20"/>
        <v>17305.2</v>
      </c>
      <c r="M37" s="69"/>
    </row>
    <row r="38" spans="1:13" ht="18.75" customHeight="1" x14ac:dyDescent="0.25">
      <c r="A38" s="46" t="s">
        <v>521</v>
      </c>
      <c r="B38" s="78" t="s">
        <v>595</v>
      </c>
      <c r="C38" s="48" t="s">
        <v>66</v>
      </c>
      <c r="D38" s="79">
        <v>1</v>
      </c>
      <c r="E38" s="70"/>
      <c r="F38" s="51"/>
      <c r="G38" s="51"/>
      <c r="H38" s="106">
        <v>3674.25</v>
      </c>
      <c r="I38" s="51">
        <f>ROUND(H38*D38,2)</f>
        <v>3674.25</v>
      </c>
      <c r="J38" s="51">
        <f>ROUND(I38*1.2,2)</f>
        <v>4409.1000000000004</v>
      </c>
      <c r="K38" s="52">
        <f t="shared" si="20"/>
        <v>3674.25</v>
      </c>
      <c r="L38" s="51">
        <f t="shared" si="20"/>
        <v>4409.1000000000004</v>
      </c>
      <c r="M38" s="69"/>
    </row>
    <row r="39" spans="1:13" ht="27.75" customHeight="1" x14ac:dyDescent="0.25">
      <c r="A39" s="38">
        <f>A32+1</f>
        <v>18</v>
      </c>
      <c r="B39" s="37" t="s">
        <v>371</v>
      </c>
      <c r="C39" s="38" t="s">
        <v>35</v>
      </c>
      <c r="D39" s="152">
        <v>10.33</v>
      </c>
      <c r="E39" s="64">
        <v>144.4</v>
      </c>
      <c r="F39" s="35">
        <f>ROUND(E39*D39,2)</f>
        <v>1491.65</v>
      </c>
      <c r="G39" s="35">
        <f t="shared" ref="G39" si="24">ROUND(F39*1.2,2)</f>
        <v>1789.98</v>
      </c>
      <c r="H39" s="64"/>
      <c r="I39" s="35"/>
      <c r="J39" s="35"/>
      <c r="K39" s="64">
        <f t="shared" si="20"/>
        <v>1491.65</v>
      </c>
      <c r="L39" s="42">
        <f t="shared" si="21"/>
        <v>1789.98</v>
      </c>
      <c r="M39" s="71" t="s">
        <v>262</v>
      </c>
    </row>
    <row r="40" spans="1:13" ht="17.25" customHeight="1" x14ac:dyDescent="0.25">
      <c r="A40" s="46" t="s">
        <v>68</v>
      </c>
      <c r="B40" s="78" t="s">
        <v>372</v>
      </c>
      <c r="C40" s="48" t="s">
        <v>220</v>
      </c>
      <c r="D40" s="117">
        <f>D39*0.3*20/16</f>
        <v>3.8737499999999998</v>
      </c>
      <c r="E40" s="70"/>
      <c r="F40" s="51"/>
      <c r="G40" s="51"/>
      <c r="H40" s="104">
        <v>237.5</v>
      </c>
      <c r="I40" s="51">
        <f>ROUND(H40*D40,2)</f>
        <v>920.02</v>
      </c>
      <c r="J40" s="51">
        <f t="shared" ref="J40" si="25">ROUND(I40*1.2,2)</f>
        <v>1104.02</v>
      </c>
      <c r="K40" s="52">
        <f t="shared" si="20"/>
        <v>920.02</v>
      </c>
      <c r="L40" s="51">
        <f t="shared" si="21"/>
        <v>1104.02</v>
      </c>
      <c r="M40" s="71"/>
    </row>
    <row r="41" spans="1:13" ht="28.5" customHeight="1" x14ac:dyDescent="0.25">
      <c r="A41" s="38">
        <f>A39+1</f>
        <v>19</v>
      </c>
      <c r="B41" s="37" t="s">
        <v>373</v>
      </c>
      <c r="C41" s="38" t="s">
        <v>35</v>
      </c>
      <c r="D41" s="152">
        <v>10.33</v>
      </c>
      <c r="E41" s="64">
        <v>299.76</v>
      </c>
      <c r="F41" s="35">
        <f>ROUND(E41*D41,2)</f>
        <v>3096.52</v>
      </c>
      <c r="G41" s="35">
        <f t="shared" ref="G41" si="26">ROUND(F41*1.2,2)</f>
        <v>3715.82</v>
      </c>
      <c r="H41" s="64"/>
      <c r="I41" s="35"/>
      <c r="J41" s="35"/>
      <c r="K41" s="64">
        <f t="shared" si="20"/>
        <v>3096.52</v>
      </c>
      <c r="L41" s="42">
        <f t="shared" si="21"/>
        <v>3715.82</v>
      </c>
      <c r="M41" s="71" t="s">
        <v>262</v>
      </c>
    </row>
    <row r="42" spans="1:13" x14ac:dyDescent="0.25">
      <c r="A42" s="46" t="s">
        <v>71</v>
      </c>
      <c r="B42" s="78" t="s">
        <v>374</v>
      </c>
      <c r="C42" s="48" t="s">
        <v>130</v>
      </c>
      <c r="D42" s="49">
        <f>D41*0.7*2</f>
        <v>14.462</v>
      </c>
      <c r="E42" s="70"/>
      <c r="F42" s="51"/>
      <c r="G42" s="51"/>
      <c r="H42" s="104">
        <v>296.39999999999998</v>
      </c>
      <c r="I42" s="51">
        <f t="shared" ref="I42" si="27">ROUND(H42*D42,2)</f>
        <v>4286.54</v>
      </c>
      <c r="J42" s="51">
        <f t="shared" ref="J42" si="28">ROUND(I42*1.2,2)</f>
        <v>5143.8500000000004</v>
      </c>
      <c r="K42" s="70">
        <f t="shared" si="20"/>
        <v>4286.54</v>
      </c>
      <c r="L42" s="68">
        <f t="shared" si="21"/>
        <v>5143.8500000000004</v>
      </c>
      <c r="M42" s="71"/>
    </row>
    <row r="43" spans="1:13" ht="18.75" customHeight="1" x14ac:dyDescent="0.25">
      <c r="A43" s="30"/>
      <c r="B43" s="121" t="s">
        <v>523</v>
      </c>
      <c r="C43" s="100"/>
      <c r="D43" s="101"/>
      <c r="E43" s="123"/>
      <c r="F43" s="35"/>
      <c r="G43" s="35"/>
      <c r="H43" s="67"/>
      <c r="I43" s="35"/>
      <c r="J43" s="35"/>
      <c r="K43" s="64"/>
      <c r="L43" s="42"/>
    </row>
    <row r="44" spans="1:13" ht="30.75" customHeight="1" x14ac:dyDescent="0.25">
      <c r="A44" s="38">
        <f>A41+1</f>
        <v>20</v>
      </c>
      <c r="B44" s="99" t="s">
        <v>178</v>
      </c>
      <c r="C44" s="38" t="s">
        <v>24</v>
      </c>
      <c r="D44" s="138">
        <f>1*0.18+2*0.242+1*0.1+1*0.1</f>
        <v>0.86399999999999988</v>
      </c>
      <c r="E44" s="123">
        <v>17265.68</v>
      </c>
      <c r="F44" s="35">
        <f t="shared" ref="F44" si="29">ROUND(E44*D44,2)</f>
        <v>14917.55</v>
      </c>
      <c r="G44" s="35">
        <f t="shared" ref="G44" si="30">ROUND(F44*1.2,2)</f>
        <v>17901.060000000001</v>
      </c>
      <c r="H44" s="67"/>
      <c r="I44" s="35"/>
      <c r="J44" s="35"/>
      <c r="K44" s="64">
        <f t="shared" ref="K44:K53" si="31">F44+I44</f>
        <v>14917.55</v>
      </c>
      <c r="L44" s="42">
        <f t="shared" ref="L44:L53" si="32">G44+J44</f>
        <v>17901.060000000001</v>
      </c>
      <c r="M44" s="139">
        <v>1.34</v>
      </c>
    </row>
    <row r="45" spans="1:13" ht="18.75" customHeight="1" x14ac:dyDescent="0.25">
      <c r="A45" s="46" t="s">
        <v>76</v>
      </c>
      <c r="B45" s="78" t="s">
        <v>493</v>
      </c>
      <c r="C45" s="48" t="s">
        <v>66</v>
      </c>
      <c r="D45" s="72">
        <v>1</v>
      </c>
      <c r="E45" s="70"/>
      <c r="F45" s="51"/>
      <c r="G45" s="51"/>
      <c r="H45" s="104">
        <v>7448</v>
      </c>
      <c r="I45" s="51">
        <f t="shared" ref="I45:I48" si="33">ROUND(H45*D45,2)</f>
        <v>7448</v>
      </c>
      <c r="J45" s="51">
        <f t="shared" ref="J45:J48" si="34">ROUND(I45*1.2,2)</f>
        <v>8937.6</v>
      </c>
      <c r="K45" s="52">
        <f t="shared" si="31"/>
        <v>7448</v>
      </c>
      <c r="L45" s="51">
        <f t="shared" si="32"/>
        <v>8937.6</v>
      </c>
      <c r="M45" s="69"/>
    </row>
    <row r="46" spans="1:13" ht="18.75" customHeight="1" x14ac:dyDescent="0.25">
      <c r="A46" s="46" t="s">
        <v>172</v>
      </c>
      <c r="B46" s="78" t="s">
        <v>524</v>
      </c>
      <c r="C46" s="48" t="s">
        <v>66</v>
      </c>
      <c r="D46" s="72">
        <v>2</v>
      </c>
      <c r="E46" s="70"/>
      <c r="F46" s="51"/>
      <c r="G46" s="51"/>
      <c r="H46" s="104">
        <v>10388</v>
      </c>
      <c r="I46" s="51">
        <f t="shared" si="33"/>
        <v>20776</v>
      </c>
      <c r="J46" s="51">
        <f t="shared" si="34"/>
        <v>24931.200000000001</v>
      </c>
      <c r="K46" s="52">
        <f t="shared" si="31"/>
        <v>20776</v>
      </c>
      <c r="L46" s="51">
        <f t="shared" si="32"/>
        <v>24931.200000000001</v>
      </c>
      <c r="M46" s="69"/>
    </row>
    <row r="47" spans="1:13" ht="18.75" customHeight="1" x14ac:dyDescent="0.25">
      <c r="A47" s="46" t="s">
        <v>526</v>
      </c>
      <c r="B47" s="78" t="s">
        <v>525</v>
      </c>
      <c r="C47" s="48" t="s">
        <v>66</v>
      </c>
      <c r="D47" s="72">
        <v>1</v>
      </c>
      <c r="E47" s="70"/>
      <c r="F47" s="51"/>
      <c r="G47" s="51"/>
      <c r="H47" s="104">
        <v>7056</v>
      </c>
      <c r="I47" s="51">
        <f t="shared" si="33"/>
        <v>7056</v>
      </c>
      <c r="J47" s="51">
        <f t="shared" si="34"/>
        <v>8467.2000000000007</v>
      </c>
      <c r="K47" s="52">
        <f t="shared" si="31"/>
        <v>7056</v>
      </c>
      <c r="L47" s="51">
        <f t="shared" si="32"/>
        <v>8467.2000000000007</v>
      </c>
      <c r="M47" s="69"/>
    </row>
    <row r="48" spans="1:13" ht="18.75" customHeight="1" x14ac:dyDescent="0.25">
      <c r="A48" s="46" t="s">
        <v>527</v>
      </c>
      <c r="B48" s="78" t="s">
        <v>188</v>
      </c>
      <c r="C48" s="48" t="s">
        <v>66</v>
      </c>
      <c r="D48" s="72">
        <v>1</v>
      </c>
      <c r="E48" s="70"/>
      <c r="F48" s="51"/>
      <c r="G48" s="51"/>
      <c r="H48" s="104">
        <v>14421</v>
      </c>
      <c r="I48" s="51">
        <f t="shared" si="33"/>
        <v>14421</v>
      </c>
      <c r="J48" s="51">
        <f t="shared" si="34"/>
        <v>17305.2</v>
      </c>
      <c r="K48" s="52">
        <f t="shared" si="31"/>
        <v>14421</v>
      </c>
      <c r="L48" s="51">
        <f t="shared" si="32"/>
        <v>17305.2</v>
      </c>
      <c r="M48" s="69"/>
    </row>
    <row r="49" spans="1:13" ht="18.75" customHeight="1" x14ac:dyDescent="0.25">
      <c r="A49" s="46" t="s">
        <v>528</v>
      </c>
      <c r="B49" s="78" t="s">
        <v>595</v>
      </c>
      <c r="C49" s="48" t="s">
        <v>66</v>
      </c>
      <c r="D49" s="72">
        <v>1</v>
      </c>
      <c r="E49" s="70"/>
      <c r="F49" s="51"/>
      <c r="G49" s="51"/>
      <c r="H49" s="106">
        <v>3674.25</v>
      </c>
      <c r="I49" s="51">
        <f>ROUND(H49*D49,2)</f>
        <v>3674.25</v>
      </c>
      <c r="J49" s="51">
        <f>ROUND(I49*1.2,2)</f>
        <v>4409.1000000000004</v>
      </c>
      <c r="K49" s="52">
        <f t="shared" si="31"/>
        <v>3674.25</v>
      </c>
      <c r="L49" s="51">
        <f t="shared" si="32"/>
        <v>4409.1000000000004</v>
      </c>
      <c r="M49" s="69"/>
    </row>
    <row r="50" spans="1:13" ht="27.75" customHeight="1" x14ac:dyDescent="0.25">
      <c r="A50" s="38">
        <f>A44+1</f>
        <v>21</v>
      </c>
      <c r="B50" s="37" t="s">
        <v>371</v>
      </c>
      <c r="C50" s="38" t="s">
        <v>35</v>
      </c>
      <c r="D50" s="152">
        <v>15.06</v>
      </c>
      <c r="E50" s="64">
        <v>144.4</v>
      </c>
      <c r="F50" s="35">
        <f>ROUND(E50*D50,2)</f>
        <v>2174.66</v>
      </c>
      <c r="G50" s="35">
        <f t="shared" ref="G50" si="35">ROUND(F50*1.2,2)</f>
        <v>2609.59</v>
      </c>
      <c r="H50" s="64"/>
      <c r="I50" s="35"/>
      <c r="J50" s="35"/>
      <c r="K50" s="64">
        <f t="shared" si="31"/>
        <v>2174.66</v>
      </c>
      <c r="L50" s="42">
        <f t="shared" si="32"/>
        <v>2609.59</v>
      </c>
      <c r="M50" s="71" t="s">
        <v>262</v>
      </c>
    </row>
    <row r="51" spans="1:13" ht="17.25" customHeight="1" x14ac:dyDescent="0.25">
      <c r="A51" s="46" t="s">
        <v>78</v>
      </c>
      <c r="B51" s="78" t="s">
        <v>372</v>
      </c>
      <c r="C51" s="48" t="s">
        <v>220</v>
      </c>
      <c r="D51" s="117">
        <f>D50*0.3*20/16</f>
        <v>5.6475</v>
      </c>
      <c r="E51" s="70"/>
      <c r="F51" s="51"/>
      <c r="G51" s="51"/>
      <c r="H51" s="104">
        <v>237.5</v>
      </c>
      <c r="I51" s="51">
        <f>ROUND(H51*D51,2)</f>
        <v>1341.28</v>
      </c>
      <c r="J51" s="51">
        <f t="shared" ref="J51" si="36">ROUND(I51*1.2,2)</f>
        <v>1609.54</v>
      </c>
      <c r="K51" s="52">
        <f t="shared" si="31"/>
        <v>1341.28</v>
      </c>
      <c r="L51" s="51">
        <f t="shared" si="32"/>
        <v>1609.54</v>
      </c>
      <c r="M51" s="71"/>
    </row>
    <row r="52" spans="1:13" ht="28.5" customHeight="1" x14ac:dyDescent="0.25">
      <c r="A52" s="38">
        <f>A50+1</f>
        <v>22</v>
      </c>
      <c r="B52" s="37" t="s">
        <v>373</v>
      </c>
      <c r="C52" s="38" t="s">
        <v>35</v>
      </c>
      <c r="D52" s="152">
        <v>15.06</v>
      </c>
      <c r="E52" s="64">
        <v>299.76</v>
      </c>
      <c r="F52" s="35">
        <f>ROUND(E52*D52,2)</f>
        <v>4514.3900000000003</v>
      </c>
      <c r="G52" s="35">
        <f t="shared" ref="G52" si="37">ROUND(F52*1.2,2)</f>
        <v>5417.27</v>
      </c>
      <c r="H52" s="64"/>
      <c r="I52" s="35"/>
      <c r="J52" s="35"/>
      <c r="K52" s="64">
        <f t="shared" si="31"/>
        <v>4514.3900000000003</v>
      </c>
      <c r="L52" s="42">
        <f t="shared" si="32"/>
        <v>5417.27</v>
      </c>
      <c r="M52" s="71" t="s">
        <v>262</v>
      </c>
    </row>
    <row r="53" spans="1:13" x14ac:dyDescent="0.25">
      <c r="A53" s="46" t="s">
        <v>82</v>
      </c>
      <c r="B53" s="78" t="s">
        <v>374</v>
      </c>
      <c r="C53" s="48" t="s">
        <v>130</v>
      </c>
      <c r="D53" s="49">
        <f>D52*0.7*2</f>
        <v>21.084</v>
      </c>
      <c r="E53" s="70"/>
      <c r="F53" s="51"/>
      <c r="G53" s="51"/>
      <c r="H53" s="104">
        <v>296.39999999999998</v>
      </c>
      <c r="I53" s="51">
        <f t="shared" ref="I53" si="38">ROUND(H53*D53,2)</f>
        <v>6249.3</v>
      </c>
      <c r="J53" s="51">
        <f t="shared" ref="J53" si="39">ROUND(I53*1.2,2)</f>
        <v>7499.16</v>
      </c>
      <c r="K53" s="70">
        <f t="shared" si="31"/>
        <v>6249.3</v>
      </c>
      <c r="L53" s="68">
        <f t="shared" si="32"/>
        <v>7499.16</v>
      </c>
      <c r="M53" s="71"/>
    </row>
    <row r="54" spans="1:13" ht="22.5" customHeight="1" x14ac:dyDescent="0.25">
      <c r="A54" s="46"/>
      <c r="B54" s="43" t="s">
        <v>55</v>
      </c>
      <c r="C54" s="38"/>
      <c r="D54" s="57"/>
      <c r="E54" s="58"/>
      <c r="F54" s="59"/>
      <c r="G54" s="60"/>
      <c r="H54" s="67"/>
      <c r="I54" s="35"/>
      <c r="J54" s="35"/>
      <c r="K54" s="32"/>
      <c r="L54" s="35"/>
    </row>
    <row r="55" spans="1:13" ht="37.5" customHeight="1" x14ac:dyDescent="0.25">
      <c r="A55" s="30">
        <f>A52+1</f>
        <v>23</v>
      </c>
      <c r="B55" s="99" t="s">
        <v>529</v>
      </c>
      <c r="C55" s="100" t="s">
        <v>22</v>
      </c>
      <c r="D55" s="151">
        <v>12.18</v>
      </c>
      <c r="E55" s="123">
        <v>1724.25</v>
      </c>
      <c r="F55" s="35">
        <f t="shared" ref="F55" si="40">ROUND(E55*D55,2)</f>
        <v>21001.37</v>
      </c>
      <c r="G55" s="35">
        <f t="shared" ref="G55" si="41">ROUND(F55*1.2,2)</f>
        <v>25201.64</v>
      </c>
      <c r="H55" s="67"/>
      <c r="I55" s="35"/>
      <c r="J55" s="35"/>
      <c r="K55" s="64">
        <f t="shared" ref="K55:L61" si="42">F55+I55</f>
        <v>21001.37</v>
      </c>
      <c r="L55" s="42">
        <f t="shared" si="42"/>
        <v>25201.64</v>
      </c>
    </row>
    <row r="56" spans="1:13" ht="30.75" customHeight="1" x14ac:dyDescent="0.25">
      <c r="A56" s="46" t="s">
        <v>85</v>
      </c>
      <c r="B56" s="47" t="s">
        <v>530</v>
      </c>
      <c r="C56" s="48" t="s">
        <v>22</v>
      </c>
      <c r="D56" s="49">
        <f>D55*1.02</f>
        <v>12.4236</v>
      </c>
      <c r="E56" s="70"/>
      <c r="F56" s="68"/>
      <c r="G56" s="68"/>
      <c r="H56" s="68">
        <v>5747.5</v>
      </c>
      <c r="I56" s="68">
        <f>ROUND(H56*D56,2)</f>
        <v>71404.639999999999</v>
      </c>
      <c r="J56" s="68">
        <f>ROUND(I56*1.2,2)</f>
        <v>85685.57</v>
      </c>
      <c r="K56" s="70">
        <f t="shared" si="42"/>
        <v>71404.639999999999</v>
      </c>
      <c r="L56" s="68">
        <f t="shared" si="42"/>
        <v>85685.57</v>
      </c>
    </row>
    <row r="57" spans="1:13" ht="36.75" customHeight="1" x14ac:dyDescent="0.25">
      <c r="A57" s="30">
        <f>A55+1</f>
        <v>24</v>
      </c>
      <c r="B57" s="99" t="s">
        <v>531</v>
      </c>
      <c r="C57" s="100" t="s">
        <v>22</v>
      </c>
      <c r="D57" s="151">
        <v>12.18</v>
      </c>
      <c r="E57" s="123">
        <f>ROUND(1570.09*1.33,2)</f>
        <v>2088.2199999999998</v>
      </c>
      <c r="F57" s="35">
        <f t="shared" ref="F57" si="43">ROUND(E57*D57,2)</f>
        <v>25434.52</v>
      </c>
      <c r="G57" s="35">
        <f t="shared" ref="G57" si="44">ROUND(F57*1.2,2)</f>
        <v>30521.42</v>
      </c>
      <c r="H57" s="67"/>
      <c r="I57" s="35"/>
      <c r="J57" s="35"/>
      <c r="K57" s="64">
        <f t="shared" si="42"/>
        <v>25434.52</v>
      </c>
      <c r="L57" s="42">
        <f t="shared" si="42"/>
        <v>30521.42</v>
      </c>
      <c r="M57" s="71" t="s">
        <v>75</v>
      </c>
    </row>
    <row r="58" spans="1:13" ht="21" customHeight="1" x14ac:dyDescent="0.25">
      <c r="A58" s="46" t="s">
        <v>88</v>
      </c>
      <c r="B58" s="47" t="s">
        <v>532</v>
      </c>
      <c r="C58" s="48" t="s">
        <v>22</v>
      </c>
      <c r="D58" s="49">
        <f>D57*1.02</f>
        <v>12.4236</v>
      </c>
      <c r="E58" s="70"/>
      <c r="F58" s="51"/>
      <c r="G58" s="51"/>
      <c r="H58" s="51">
        <v>783.75</v>
      </c>
      <c r="I58" s="51">
        <f>ROUND(H58*D58,2)</f>
        <v>9737</v>
      </c>
      <c r="J58" s="51">
        <f>ROUND(I58*1.2,2)</f>
        <v>11684.4</v>
      </c>
      <c r="K58" s="52">
        <f t="shared" si="42"/>
        <v>9737</v>
      </c>
      <c r="L58" s="51">
        <f t="shared" si="42"/>
        <v>11684.4</v>
      </c>
    </row>
    <row r="59" spans="1:13" ht="24.75" customHeight="1" x14ac:dyDescent="0.25">
      <c r="A59" s="46" t="s">
        <v>180</v>
      </c>
      <c r="B59" s="47" t="s">
        <v>533</v>
      </c>
      <c r="C59" s="48" t="s">
        <v>66</v>
      </c>
      <c r="D59" s="72">
        <v>6</v>
      </c>
      <c r="E59" s="70"/>
      <c r="F59" s="51"/>
      <c r="G59" s="51"/>
      <c r="H59" s="51">
        <v>919.6</v>
      </c>
      <c r="I59" s="51">
        <f>ROUND(H59*D59,2)</f>
        <v>5517.6</v>
      </c>
      <c r="J59" s="51">
        <f>ROUND(I59*1.2,2)</f>
        <v>6621.12</v>
      </c>
      <c r="K59" s="52">
        <f t="shared" si="42"/>
        <v>5517.6</v>
      </c>
      <c r="L59" s="51">
        <f t="shared" si="42"/>
        <v>6621.12</v>
      </c>
    </row>
    <row r="60" spans="1:13" ht="36.75" customHeight="1" x14ac:dyDescent="0.25">
      <c r="A60" s="30">
        <f>A57+1</f>
        <v>25</v>
      </c>
      <c r="B60" s="99" t="s">
        <v>534</v>
      </c>
      <c r="C60" s="100" t="s">
        <v>22</v>
      </c>
      <c r="D60" s="151">
        <v>12.5</v>
      </c>
      <c r="E60" s="123">
        <v>1149.5</v>
      </c>
      <c r="F60" s="35">
        <f t="shared" ref="F60" si="45">ROUND(E60*D60,2)</f>
        <v>14368.75</v>
      </c>
      <c r="G60" s="35">
        <f t="shared" ref="G60" si="46">ROUND(F60*1.2,2)</f>
        <v>17242.5</v>
      </c>
      <c r="H60" s="67"/>
      <c r="I60" s="35"/>
      <c r="J60" s="35"/>
      <c r="K60" s="64">
        <f t="shared" si="42"/>
        <v>14368.75</v>
      </c>
      <c r="L60" s="42">
        <f t="shared" si="42"/>
        <v>17242.5</v>
      </c>
      <c r="M60" s="71" t="s">
        <v>75</v>
      </c>
    </row>
    <row r="61" spans="1:13" ht="21" customHeight="1" x14ac:dyDescent="0.25">
      <c r="A61" s="46" t="s">
        <v>91</v>
      </c>
      <c r="B61" s="47" t="s">
        <v>532</v>
      </c>
      <c r="C61" s="48" t="s">
        <v>22</v>
      </c>
      <c r="D61" s="49">
        <f>D60*1.02</f>
        <v>12.75</v>
      </c>
      <c r="E61" s="70"/>
      <c r="F61" s="51"/>
      <c r="G61" s="51"/>
      <c r="H61" s="51">
        <v>783.75</v>
      </c>
      <c r="I61" s="51">
        <f>ROUND(H61*D61,2)</f>
        <v>9992.81</v>
      </c>
      <c r="J61" s="51">
        <f>ROUND(I61*1.2,2)</f>
        <v>11991.37</v>
      </c>
      <c r="K61" s="52">
        <f t="shared" si="42"/>
        <v>9992.81</v>
      </c>
      <c r="L61" s="51">
        <f t="shared" si="42"/>
        <v>11991.37</v>
      </c>
    </row>
    <row r="62" spans="1:13" ht="30" x14ac:dyDescent="0.25">
      <c r="A62" s="30">
        <f>A60+1</f>
        <v>26</v>
      </c>
      <c r="B62" s="37" t="s">
        <v>536</v>
      </c>
      <c r="C62" s="38" t="s">
        <v>66</v>
      </c>
      <c r="D62" s="150">
        <v>2</v>
      </c>
      <c r="E62" s="64">
        <v>3358.25</v>
      </c>
      <c r="F62" s="35">
        <f t="shared" ref="F62" si="47">ROUND(E62*D62,2)</f>
        <v>6716.5</v>
      </c>
      <c r="G62" s="35">
        <f t="shared" ref="G62" si="48">ROUND(F62*1.2,2)</f>
        <v>8059.8</v>
      </c>
      <c r="H62" s="67"/>
      <c r="I62" s="35"/>
      <c r="J62" s="35"/>
      <c r="K62" s="64">
        <f t="shared" ref="K62:K65" si="49">F62+I62</f>
        <v>6716.5</v>
      </c>
      <c r="L62" s="42">
        <f t="shared" ref="L62:L65" si="50">G62+J62</f>
        <v>8059.8</v>
      </c>
    </row>
    <row r="63" spans="1:13" x14ac:dyDescent="0.25">
      <c r="A63" s="46" t="s">
        <v>94</v>
      </c>
      <c r="B63" s="47" t="s">
        <v>535</v>
      </c>
      <c r="C63" s="48" t="s">
        <v>66</v>
      </c>
      <c r="D63" s="72">
        <v>2</v>
      </c>
      <c r="E63" s="70"/>
      <c r="F63" s="51"/>
      <c r="G63" s="51"/>
      <c r="H63" s="51">
        <v>731.5</v>
      </c>
      <c r="I63" s="51">
        <f>ROUND(H63*D63,2)</f>
        <v>1463</v>
      </c>
      <c r="J63" s="51">
        <f>ROUND(I63*1.2,2)</f>
        <v>1755.6</v>
      </c>
      <c r="K63" s="52">
        <f t="shared" si="49"/>
        <v>1463</v>
      </c>
      <c r="L63" s="51">
        <f t="shared" si="50"/>
        <v>1755.6</v>
      </c>
    </row>
    <row r="64" spans="1:13" ht="30" x14ac:dyDescent="0.25">
      <c r="A64" s="30">
        <f>A62+1</f>
        <v>27</v>
      </c>
      <c r="B64" s="37" t="s">
        <v>70</v>
      </c>
      <c r="C64" s="38" t="s">
        <v>24</v>
      </c>
      <c r="D64" s="151">
        <v>1.02</v>
      </c>
      <c r="E64" s="64">
        <v>8327.42</v>
      </c>
      <c r="F64" s="35">
        <f t="shared" ref="F64" si="51">ROUND(E64*D64,2)</f>
        <v>8493.9699999999993</v>
      </c>
      <c r="G64" s="35">
        <f t="shared" ref="G64" si="52">ROUND(F64*1.2,2)</f>
        <v>10192.76</v>
      </c>
      <c r="H64" s="67"/>
      <c r="I64" s="35"/>
      <c r="J64" s="35"/>
      <c r="K64" s="64">
        <f t="shared" si="49"/>
        <v>8493.9699999999993</v>
      </c>
      <c r="L64" s="42">
        <f t="shared" si="50"/>
        <v>10192.76</v>
      </c>
    </row>
    <row r="65" spans="1:13" x14ac:dyDescent="0.25">
      <c r="A65" s="46" t="s">
        <v>97</v>
      </c>
      <c r="B65" s="47" t="s">
        <v>72</v>
      </c>
      <c r="C65" s="48" t="s">
        <v>24</v>
      </c>
      <c r="D65" s="49">
        <v>1.02</v>
      </c>
      <c r="E65" s="70"/>
      <c r="F65" s="51"/>
      <c r="G65" s="51"/>
      <c r="H65" s="51">
        <v>5322.58</v>
      </c>
      <c r="I65" s="51">
        <f t="shared" ref="I65" si="53">ROUND(H65*D65,2)</f>
        <v>5429.03</v>
      </c>
      <c r="J65" s="51">
        <f t="shared" ref="J65" si="54">ROUND(I65*1.2,2)</f>
        <v>6514.84</v>
      </c>
      <c r="K65" s="52">
        <f t="shared" si="49"/>
        <v>5429.03</v>
      </c>
      <c r="L65" s="51">
        <f t="shared" si="50"/>
        <v>6514.84</v>
      </c>
      <c r="M65" s="69"/>
    </row>
    <row r="66" spans="1:13" s="66" customFormat="1" ht="20.25" customHeight="1" x14ac:dyDescent="0.25">
      <c r="A66" s="46"/>
      <c r="B66" s="43" t="s">
        <v>537</v>
      </c>
      <c r="C66" s="38"/>
      <c r="D66" s="105"/>
      <c r="E66" s="35"/>
      <c r="F66" s="35"/>
      <c r="G66" s="35"/>
      <c r="H66" s="35"/>
      <c r="I66" s="35"/>
      <c r="J66" s="35"/>
      <c r="K66" s="32"/>
      <c r="L66" s="35"/>
      <c r="M66" s="41"/>
    </row>
    <row r="67" spans="1:13" ht="24" customHeight="1" x14ac:dyDescent="0.25">
      <c r="A67" s="38">
        <f>A64+1</f>
        <v>28</v>
      </c>
      <c r="B67" s="73" t="s">
        <v>538</v>
      </c>
      <c r="C67" s="38" t="s">
        <v>66</v>
      </c>
      <c r="D67" s="150">
        <v>1</v>
      </c>
      <c r="E67" s="34">
        <v>4704.3999999999996</v>
      </c>
      <c r="F67" s="35">
        <f>ROUND(E67*D67,2)</f>
        <v>4704.3999999999996</v>
      </c>
      <c r="G67" s="35">
        <f t="shared" ref="G67" si="55">ROUND(F67*1.2,2)</f>
        <v>5645.28</v>
      </c>
      <c r="H67" s="64"/>
      <c r="I67" s="35"/>
      <c r="J67" s="35"/>
      <c r="K67" s="64">
        <f t="shared" ref="K67:L93" si="56">F67+I67</f>
        <v>4704.3999999999996</v>
      </c>
      <c r="L67" s="42">
        <f t="shared" si="56"/>
        <v>5645.28</v>
      </c>
      <c r="M67" s="71"/>
    </row>
    <row r="68" spans="1:13" ht="18" customHeight="1" x14ac:dyDescent="0.25">
      <c r="A68" s="46" t="s">
        <v>101</v>
      </c>
      <c r="B68" s="78" t="s">
        <v>539</v>
      </c>
      <c r="C68" s="48" t="s">
        <v>66</v>
      </c>
      <c r="D68" s="72">
        <v>1</v>
      </c>
      <c r="E68" s="70"/>
      <c r="F68" s="51"/>
      <c r="G68" s="51"/>
      <c r="H68" s="104">
        <v>2870</v>
      </c>
      <c r="I68" s="51">
        <f t="shared" ref="I68" si="57">ROUND(H68*D68,2)</f>
        <v>2870</v>
      </c>
      <c r="J68" s="51">
        <f t="shared" ref="J68" si="58">ROUND(I68*1.2,2)</f>
        <v>3444</v>
      </c>
      <c r="K68" s="70">
        <f t="shared" ref="K68:K69" si="59">F68+I68</f>
        <v>2870</v>
      </c>
      <c r="L68" s="68">
        <f t="shared" ref="L68:L69" si="60">G68+J68</f>
        <v>3444</v>
      </c>
      <c r="M68" s="71"/>
    </row>
    <row r="69" spans="1:13" ht="24" customHeight="1" x14ac:dyDescent="0.25">
      <c r="A69" s="38">
        <f>A67+1</f>
        <v>29</v>
      </c>
      <c r="B69" s="73" t="s">
        <v>540</v>
      </c>
      <c r="C69" s="38" t="s">
        <v>66</v>
      </c>
      <c r="D69" s="150">
        <v>1</v>
      </c>
      <c r="E69" s="64">
        <f>ROUND(1468.66*1.33,2)</f>
        <v>1953.32</v>
      </c>
      <c r="F69" s="35">
        <f>ROUND(E69*D69,2)</f>
        <v>1953.32</v>
      </c>
      <c r="G69" s="35">
        <f t="shared" ref="G69" si="61">ROUND(F69*1.2,2)</f>
        <v>2343.98</v>
      </c>
      <c r="H69" s="64"/>
      <c r="I69" s="35"/>
      <c r="J69" s="35"/>
      <c r="K69" s="64">
        <f t="shared" si="59"/>
        <v>1953.32</v>
      </c>
      <c r="L69" s="42">
        <f t="shared" si="60"/>
        <v>2343.98</v>
      </c>
      <c r="M69" s="71"/>
    </row>
    <row r="70" spans="1:13" ht="18" customHeight="1" x14ac:dyDescent="0.25">
      <c r="A70" s="46" t="s">
        <v>104</v>
      </c>
      <c r="B70" s="78" t="s">
        <v>541</v>
      </c>
      <c r="C70" s="48" t="s">
        <v>66</v>
      </c>
      <c r="D70" s="72">
        <v>1</v>
      </c>
      <c r="E70" s="70"/>
      <c r="F70" s="51"/>
      <c r="G70" s="51"/>
      <c r="H70" s="70">
        <f>ROUND(2208.64/1.2*1.15,2)</f>
        <v>2116.61</v>
      </c>
      <c r="I70" s="51">
        <f t="shared" ref="I70" si="62">ROUND(H70*D70,2)</f>
        <v>2116.61</v>
      </c>
      <c r="J70" s="51">
        <f t="shared" ref="J70" si="63">ROUND(I70*1.2,2)</f>
        <v>2539.9299999999998</v>
      </c>
      <c r="K70" s="70">
        <f t="shared" ref="K70:K71" si="64">F70+I70</f>
        <v>2116.61</v>
      </c>
      <c r="L70" s="68">
        <f t="shared" ref="L70:L71" si="65">G70+J70</f>
        <v>2539.9299999999998</v>
      </c>
      <c r="M70" s="71"/>
    </row>
    <row r="71" spans="1:13" ht="34.5" customHeight="1" x14ac:dyDescent="0.25">
      <c r="A71" s="38">
        <f>A69+1</f>
        <v>30</v>
      </c>
      <c r="B71" s="73" t="s">
        <v>542</v>
      </c>
      <c r="C71" s="38" t="s">
        <v>66</v>
      </c>
      <c r="D71" s="150">
        <v>1</v>
      </c>
      <c r="E71" s="34">
        <v>6232.95</v>
      </c>
      <c r="F71" s="35">
        <f>ROUND(E71*D71,2)</f>
        <v>6232.95</v>
      </c>
      <c r="G71" s="35">
        <f t="shared" ref="G71" si="66">ROUND(F71*1.2,2)</f>
        <v>7479.54</v>
      </c>
      <c r="H71" s="64"/>
      <c r="I71" s="35"/>
      <c r="J71" s="35"/>
      <c r="K71" s="64">
        <f t="shared" si="64"/>
        <v>6232.95</v>
      </c>
      <c r="L71" s="42">
        <f t="shared" si="65"/>
        <v>7479.54</v>
      </c>
      <c r="M71" s="71"/>
    </row>
    <row r="72" spans="1:13" ht="18" customHeight="1" x14ac:dyDescent="0.25">
      <c r="A72" s="46" t="s">
        <v>107</v>
      </c>
      <c r="B72" s="78" t="s">
        <v>543</v>
      </c>
      <c r="C72" s="48" t="s">
        <v>66</v>
      </c>
      <c r="D72" s="72">
        <v>1</v>
      </c>
      <c r="E72" s="70"/>
      <c r="F72" s="51"/>
      <c r="G72" s="51"/>
      <c r="H72" s="104">
        <v>2116.61</v>
      </c>
      <c r="I72" s="51">
        <f t="shared" ref="I72" si="67">ROUND(H72*D72,2)</f>
        <v>2116.61</v>
      </c>
      <c r="J72" s="51">
        <f t="shared" ref="J72" si="68">ROUND(I72*1.2,2)</f>
        <v>2539.9299999999998</v>
      </c>
      <c r="K72" s="70">
        <f t="shared" ref="K72:K73" si="69">F72+I72</f>
        <v>2116.61</v>
      </c>
      <c r="L72" s="68">
        <f t="shared" ref="L72:L73" si="70">G72+J72</f>
        <v>2539.9299999999998</v>
      </c>
      <c r="M72" s="71"/>
    </row>
    <row r="73" spans="1:13" ht="34.5" customHeight="1" x14ac:dyDescent="0.25">
      <c r="A73" s="38">
        <f>A71+1</f>
        <v>31</v>
      </c>
      <c r="B73" s="73" t="s">
        <v>544</v>
      </c>
      <c r="C73" s="38" t="s">
        <v>66</v>
      </c>
      <c r="D73" s="150">
        <v>1</v>
      </c>
      <c r="E73" s="34">
        <v>6546.68</v>
      </c>
      <c r="F73" s="35">
        <f>ROUND(E73*D73,2)</f>
        <v>6546.68</v>
      </c>
      <c r="G73" s="35">
        <f t="shared" ref="G73" si="71">ROUND(F73*1.2,2)</f>
        <v>7856.02</v>
      </c>
      <c r="H73" s="64"/>
      <c r="I73" s="35"/>
      <c r="J73" s="35"/>
      <c r="K73" s="64">
        <f t="shared" si="69"/>
        <v>6546.68</v>
      </c>
      <c r="L73" s="42">
        <f t="shared" si="70"/>
        <v>7856.02</v>
      </c>
      <c r="M73" s="71"/>
    </row>
    <row r="74" spans="1:13" ht="25.5" customHeight="1" x14ac:dyDescent="0.25">
      <c r="A74" s="46" t="s">
        <v>110</v>
      </c>
      <c r="B74" s="78" t="s">
        <v>545</v>
      </c>
      <c r="C74" s="48" t="s">
        <v>66</v>
      </c>
      <c r="D74" s="72">
        <v>1</v>
      </c>
      <c r="E74" s="70"/>
      <c r="F74" s="51"/>
      <c r="G74" s="51"/>
      <c r="H74" s="104">
        <v>3184</v>
      </c>
      <c r="I74" s="51">
        <f t="shared" ref="I74" si="72">ROUND(H74*D74,2)</f>
        <v>3184</v>
      </c>
      <c r="J74" s="51">
        <f t="shared" ref="J74" si="73">ROUND(I74*1.2,2)</f>
        <v>3820.8</v>
      </c>
      <c r="K74" s="70">
        <f t="shared" ref="K74:L84" si="74">F74+I74</f>
        <v>3184</v>
      </c>
      <c r="L74" s="68">
        <f t="shared" ref="L74:L76" si="75">G74+J74</f>
        <v>3820.8</v>
      </c>
      <c r="M74" s="71"/>
    </row>
    <row r="75" spans="1:13" ht="21" customHeight="1" x14ac:dyDescent="0.25">
      <c r="A75" s="38">
        <f>A73+1</f>
        <v>32</v>
      </c>
      <c r="B75" s="73" t="s">
        <v>420</v>
      </c>
      <c r="C75" s="38" t="s">
        <v>66</v>
      </c>
      <c r="D75" s="158">
        <v>1</v>
      </c>
      <c r="E75" s="64">
        <v>1389.85</v>
      </c>
      <c r="F75" s="35">
        <f t="shared" ref="F75" si="76">ROUND(E75*D75,2)</f>
        <v>1389.85</v>
      </c>
      <c r="G75" s="35">
        <f t="shared" ref="G75" si="77">ROUND(F75*1.2,2)</f>
        <v>1667.82</v>
      </c>
      <c r="H75" s="64"/>
      <c r="I75" s="35"/>
      <c r="J75" s="35"/>
      <c r="K75" s="64">
        <f t="shared" si="74"/>
        <v>1389.85</v>
      </c>
      <c r="L75" s="42">
        <f t="shared" si="75"/>
        <v>1667.82</v>
      </c>
      <c r="M75" s="71" t="s">
        <v>421</v>
      </c>
    </row>
    <row r="76" spans="1:13" ht="19.5" customHeight="1" x14ac:dyDescent="0.25">
      <c r="A76" s="46" t="s">
        <v>113</v>
      </c>
      <c r="B76" s="78" t="s">
        <v>145</v>
      </c>
      <c r="C76" s="48"/>
      <c r="D76" s="79">
        <v>1</v>
      </c>
      <c r="E76" s="70"/>
      <c r="F76" s="51"/>
      <c r="G76" s="51"/>
      <c r="H76" s="70">
        <v>585.20000000000005</v>
      </c>
      <c r="I76" s="51">
        <f>ROUND(H76*D76,2)</f>
        <v>585.20000000000005</v>
      </c>
      <c r="J76" s="51">
        <f>ROUND(I76*1.2,2)</f>
        <v>702.24</v>
      </c>
      <c r="K76" s="52">
        <f t="shared" si="74"/>
        <v>585.20000000000005</v>
      </c>
      <c r="L76" s="51">
        <f t="shared" si="75"/>
        <v>702.24</v>
      </c>
      <c r="M76" s="71" t="s">
        <v>413</v>
      </c>
    </row>
    <row r="77" spans="1:13" ht="28.5" customHeight="1" x14ac:dyDescent="0.25">
      <c r="A77" s="38">
        <f>A75+1</f>
        <v>33</v>
      </c>
      <c r="B77" s="73" t="s">
        <v>417</v>
      </c>
      <c r="C77" s="38" t="s">
        <v>66</v>
      </c>
      <c r="D77" s="158">
        <v>1</v>
      </c>
      <c r="E77" s="64">
        <v>3791.45</v>
      </c>
      <c r="F77" s="35">
        <f t="shared" ref="F77" si="78">ROUND(E77*D77,2)</f>
        <v>3791.45</v>
      </c>
      <c r="G77" s="35">
        <f t="shared" ref="G77" si="79">ROUND(F77*1.2,2)</f>
        <v>4549.74</v>
      </c>
      <c r="H77" s="64"/>
      <c r="I77" s="35"/>
      <c r="J77" s="35"/>
      <c r="K77" s="64">
        <f t="shared" si="74"/>
        <v>3791.45</v>
      </c>
      <c r="L77" s="42">
        <f t="shared" si="74"/>
        <v>4549.74</v>
      </c>
      <c r="M77" s="71" t="s">
        <v>413</v>
      </c>
    </row>
    <row r="78" spans="1:13" ht="18" customHeight="1" x14ac:dyDescent="0.25">
      <c r="A78" s="46" t="s">
        <v>116</v>
      </c>
      <c r="B78" s="78" t="s">
        <v>419</v>
      </c>
      <c r="C78" s="48" t="s">
        <v>66</v>
      </c>
      <c r="D78" s="79">
        <v>1</v>
      </c>
      <c r="E78" s="70"/>
      <c r="F78" s="51"/>
      <c r="G78" s="51"/>
      <c r="H78" s="70">
        <v>6897</v>
      </c>
      <c r="I78" s="51">
        <f>ROUND(H78*D78,2)</f>
        <v>6897</v>
      </c>
      <c r="J78" s="51">
        <f>ROUND(I78*1.2,2)</f>
        <v>8276.4</v>
      </c>
      <c r="K78" s="52">
        <f t="shared" si="74"/>
        <v>6897</v>
      </c>
      <c r="L78" s="51">
        <f t="shared" si="74"/>
        <v>8276.4</v>
      </c>
      <c r="M78" s="71" t="s">
        <v>413</v>
      </c>
    </row>
    <row r="79" spans="1:13" ht="19.5" customHeight="1" x14ac:dyDescent="0.25">
      <c r="A79" s="46" t="s">
        <v>267</v>
      </c>
      <c r="B79" s="78" t="s">
        <v>463</v>
      </c>
      <c r="C79" s="48" t="s">
        <v>66</v>
      </c>
      <c r="D79" s="79">
        <v>1</v>
      </c>
      <c r="E79" s="70"/>
      <c r="F79" s="51"/>
      <c r="G79" s="51"/>
      <c r="H79" s="70">
        <v>26.6</v>
      </c>
      <c r="I79" s="51">
        <f>ROUND(H79*D79,2)</f>
        <v>26.6</v>
      </c>
      <c r="J79" s="51">
        <f>ROUND(I79*1.2,2)</f>
        <v>31.92</v>
      </c>
      <c r="K79" s="52">
        <f t="shared" si="74"/>
        <v>26.6</v>
      </c>
      <c r="L79" s="51">
        <f t="shared" si="74"/>
        <v>31.92</v>
      </c>
      <c r="M79" s="71"/>
    </row>
    <row r="80" spans="1:13" ht="18.75" customHeight="1" x14ac:dyDescent="0.25">
      <c r="A80" s="46" t="s">
        <v>268</v>
      </c>
      <c r="B80" s="47" t="s">
        <v>546</v>
      </c>
      <c r="C80" s="98" t="s">
        <v>130</v>
      </c>
      <c r="D80" s="49">
        <f>ROUND(8*0.137,2)</f>
        <v>1.1000000000000001</v>
      </c>
      <c r="E80" s="70"/>
      <c r="F80" s="51"/>
      <c r="G80" s="51"/>
      <c r="H80" s="51">
        <v>120.65</v>
      </c>
      <c r="I80" s="51">
        <f t="shared" ref="I80:I82" si="80">ROUND(H80*D80,2)</f>
        <v>132.72</v>
      </c>
      <c r="J80" s="51">
        <f t="shared" ref="J80:J82" si="81">ROUND(I80*1.2,2)</f>
        <v>159.26</v>
      </c>
      <c r="K80" s="52">
        <f t="shared" si="74"/>
        <v>132.72</v>
      </c>
      <c r="L80" s="51">
        <f t="shared" si="74"/>
        <v>159.26</v>
      </c>
    </row>
    <row r="81" spans="1:13" ht="18.75" customHeight="1" x14ac:dyDescent="0.25">
      <c r="A81" s="46" t="s">
        <v>508</v>
      </c>
      <c r="B81" s="47" t="s">
        <v>547</v>
      </c>
      <c r="C81" s="98" t="s">
        <v>130</v>
      </c>
      <c r="D81" s="49">
        <f>ROUND(8*0.032,2)</f>
        <v>0.26</v>
      </c>
      <c r="E81" s="70"/>
      <c r="F81" s="51"/>
      <c r="G81" s="51"/>
      <c r="H81" s="51">
        <v>139.65</v>
      </c>
      <c r="I81" s="51">
        <f t="shared" si="80"/>
        <v>36.31</v>
      </c>
      <c r="J81" s="51">
        <f t="shared" si="81"/>
        <v>43.57</v>
      </c>
      <c r="K81" s="52">
        <f t="shared" si="74"/>
        <v>36.31</v>
      </c>
      <c r="L81" s="51">
        <f t="shared" si="74"/>
        <v>43.57</v>
      </c>
    </row>
    <row r="82" spans="1:13" ht="18.75" customHeight="1" x14ac:dyDescent="0.25">
      <c r="A82" s="46" t="s">
        <v>549</v>
      </c>
      <c r="B82" s="47" t="s">
        <v>548</v>
      </c>
      <c r="C82" s="98" t="s">
        <v>130</v>
      </c>
      <c r="D82" s="49">
        <f>ROUND(16*0.013,2)</f>
        <v>0.21</v>
      </c>
      <c r="E82" s="70"/>
      <c r="F82" s="51"/>
      <c r="G82" s="51"/>
      <c r="H82" s="51">
        <v>188.1</v>
      </c>
      <c r="I82" s="51">
        <f t="shared" si="80"/>
        <v>39.5</v>
      </c>
      <c r="J82" s="51">
        <f t="shared" si="81"/>
        <v>47.4</v>
      </c>
      <c r="K82" s="52">
        <f t="shared" si="74"/>
        <v>39.5</v>
      </c>
      <c r="L82" s="51">
        <f t="shared" si="74"/>
        <v>47.4</v>
      </c>
    </row>
    <row r="83" spans="1:13" ht="18" customHeight="1" x14ac:dyDescent="0.25">
      <c r="A83" s="38">
        <f>A77+1</f>
        <v>34</v>
      </c>
      <c r="B83" s="142" t="s">
        <v>458</v>
      </c>
      <c r="C83" s="38" t="s">
        <v>66</v>
      </c>
      <c r="D83" s="144">
        <v>1</v>
      </c>
      <c r="E83" s="64">
        <v>3358.25</v>
      </c>
      <c r="F83" s="35">
        <f t="shared" ref="F83" si="82">ROUND(E83*D83,2)</f>
        <v>3358.25</v>
      </c>
      <c r="G83" s="35">
        <f t="shared" ref="G83" si="83">ROUND(F83*1.2,2)</f>
        <v>4029.9</v>
      </c>
      <c r="H83" s="64"/>
      <c r="I83" s="35"/>
      <c r="J83" s="35"/>
      <c r="K83" s="64">
        <f t="shared" si="74"/>
        <v>3358.25</v>
      </c>
      <c r="L83" s="42">
        <f t="shared" si="74"/>
        <v>4029.9</v>
      </c>
      <c r="M83" s="71" t="s">
        <v>605</v>
      </c>
    </row>
    <row r="84" spans="1:13" ht="20.25" customHeight="1" x14ac:dyDescent="0.25">
      <c r="A84" s="46" t="s">
        <v>120</v>
      </c>
      <c r="B84" s="78" t="s">
        <v>459</v>
      </c>
      <c r="C84" s="48" t="s">
        <v>66</v>
      </c>
      <c r="D84" s="79">
        <v>1</v>
      </c>
      <c r="E84" s="70"/>
      <c r="F84" s="51"/>
      <c r="G84" s="51"/>
      <c r="H84" s="70">
        <v>731.5</v>
      </c>
      <c r="I84" s="51">
        <f>ROUND(H84*D84,2)</f>
        <v>731.5</v>
      </c>
      <c r="J84" s="51">
        <f>ROUND(I84*1.2,2)</f>
        <v>877.8</v>
      </c>
      <c r="K84" s="52">
        <f t="shared" si="74"/>
        <v>731.5</v>
      </c>
      <c r="L84" s="51">
        <f t="shared" si="74"/>
        <v>877.8</v>
      </c>
      <c r="M84" s="71"/>
    </row>
    <row r="85" spans="1:13" ht="18" customHeight="1" x14ac:dyDescent="0.25">
      <c r="A85" s="38">
        <f>A83+1</f>
        <v>35</v>
      </c>
      <c r="B85" s="73" t="s">
        <v>550</v>
      </c>
      <c r="C85" s="38" t="s">
        <v>66</v>
      </c>
      <c r="D85" s="158">
        <v>1</v>
      </c>
      <c r="E85" s="64">
        <v>3245.25</v>
      </c>
      <c r="F85" s="35">
        <f t="shared" ref="F85" si="84">ROUND(E85*D85,2)</f>
        <v>3245.25</v>
      </c>
      <c r="G85" s="35">
        <f t="shared" ref="G85" si="85">ROUND(F85*1.2,2)</f>
        <v>3894.3</v>
      </c>
      <c r="H85" s="64"/>
      <c r="I85" s="35"/>
      <c r="J85" s="35"/>
      <c r="K85" s="64">
        <f t="shared" ref="K85:K86" si="86">F85+I85</f>
        <v>3245.25</v>
      </c>
      <c r="L85" s="42">
        <f t="shared" ref="L85:L86" si="87">G85+J85</f>
        <v>3894.3</v>
      </c>
      <c r="M85" s="71"/>
    </row>
    <row r="86" spans="1:13" ht="20.25" customHeight="1" x14ac:dyDescent="0.25">
      <c r="A86" s="46" t="s">
        <v>122</v>
      </c>
      <c r="B86" s="78" t="s">
        <v>551</v>
      </c>
      <c r="C86" s="48" t="s">
        <v>66</v>
      </c>
      <c r="D86" s="79">
        <v>1</v>
      </c>
      <c r="E86" s="70"/>
      <c r="F86" s="51"/>
      <c r="G86" s="51"/>
      <c r="H86" s="70">
        <v>731.5</v>
      </c>
      <c r="I86" s="51">
        <f>ROUND(H86*D86,2)</f>
        <v>731.5</v>
      </c>
      <c r="J86" s="51">
        <f>ROUND(I86*1.2,2)</f>
        <v>877.8</v>
      </c>
      <c r="K86" s="52">
        <f t="shared" si="86"/>
        <v>731.5</v>
      </c>
      <c r="L86" s="51">
        <f t="shared" si="87"/>
        <v>877.8</v>
      </c>
      <c r="M86" s="71"/>
    </row>
    <row r="87" spans="1:13" ht="24.75" customHeight="1" x14ac:dyDescent="0.25">
      <c r="A87" s="38"/>
      <c r="B87" s="103" t="s">
        <v>552</v>
      </c>
      <c r="C87" s="38"/>
      <c r="D87" s="57"/>
      <c r="E87" s="64"/>
      <c r="F87" s="35"/>
      <c r="G87" s="35"/>
      <c r="H87" s="64"/>
      <c r="I87" s="35"/>
      <c r="J87" s="35"/>
      <c r="K87" s="64"/>
      <c r="L87" s="42"/>
      <c r="M87" s="71"/>
    </row>
    <row r="88" spans="1:13" ht="34.5" customHeight="1" x14ac:dyDescent="0.25">
      <c r="A88" s="38">
        <f>A85+1</f>
        <v>36</v>
      </c>
      <c r="B88" s="73" t="s">
        <v>553</v>
      </c>
      <c r="C88" s="38" t="s">
        <v>66</v>
      </c>
      <c r="D88" s="150">
        <v>1</v>
      </c>
      <c r="E88" s="64">
        <v>7035.89</v>
      </c>
      <c r="F88" s="35">
        <f>ROUND(E88*D88,2)</f>
        <v>7035.89</v>
      </c>
      <c r="G88" s="35">
        <f t="shared" ref="G88" si="88">ROUND(F88*1.2,2)</f>
        <v>8443.07</v>
      </c>
      <c r="H88" s="64"/>
      <c r="I88" s="35"/>
      <c r="J88" s="35"/>
      <c r="K88" s="64">
        <f t="shared" ref="K88" si="89">F88+I88</f>
        <v>7035.89</v>
      </c>
      <c r="L88" s="42">
        <f t="shared" ref="L88" si="90">G88+J88</f>
        <v>8443.07</v>
      </c>
      <c r="M88" s="71"/>
    </row>
    <row r="89" spans="1:13" ht="18" customHeight="1" x14ac:dyDescent="0.25">
      <c r="A89" s="46" t="s">
        <v>216</v>
      </c>
      <c r="B89" s="78" t="s">
        <v>376</v>
      </c>
      <c r="C89" s="48" t="s">
        <v>66</v>
      </c>
      <c r="D89" s="72">
        <v>1</v>
      </c>
      <c r="E89" s="70"/>
      <c r="F89" s="51"/>
      <c r="G89" s="51"/>
      <c r="H89" s="104">
        <v>16406.5</v>
      </c>
      <c r="I89" s="51">
        <f t="shared" ref="I89" si="91">ROUND(H89*D89,2)</f>
        <v>16406.5</v>
      </c>
      <c r="J89" s="51">
        <f t="shared" ref="J89" si="92">ROUND(I89*1.2,2)</f>
        <v>19687.8</v>
      </c>
      <c r="K89" s="70">
        <f t="shared" si="56"/>
        <v>16406.5</v>
      </c>
      <c r="L89" s="68">
        <f t="shared" si="56"/>
        <v>19687.8</v>
      </c>
      <c r="M89" s="71"/>
    </row>
    <row r="90" spans="1:13" ht="28.5" customHeight="1" x14ac:dyDescent="0.25">
      <c r="A90" s="38">
        <f>A88+1</f>
        <v>37</v>
      </c>
      <c r="B90" s="73" t="s">
        <v>377</v>
      </c>
      <c r="C90" s="38" t="s">
        <v>66</v>
      </c>
      <c r="D90" s="158">
        <v>1</v>
      </c>
      <c r="E90" s="64">
        <v>14312.75</v>
      </c>
      <c r="F90" s="35">
        <f t="shared" ref="F90:F92" si="93">ROUND(E90*D90,2)</f>
        <v>14312.75</v>
      </c>
      <c r="G90" s="35">
        <f t="shared" ref="G90:G92" si="94">ROUND(F90*1.2,2)</f>
        <v>17175.3</v>
      </c>
      <c r="H90" s="64"/>
      <c r="I90" s="35"/>
      <c r="J90" s="35"/>
      <c r="K90" s="64">
        <f t="shared" si="56"/>
        <v>14312.75</v>
      </c>
      <c r="L90" s="42">
        <f t="shared" si="56"/>
        <v>17175.3</v>
      </c>
      <c r="M90" s="71"/>
    </row>
    <row r="91" spans="1:13" ht="18.75" customHeight="1" x14ac:dyDescent="0.25">
      <c r="A91" s="46" t="s">
        <v>125</v>
      </c>
      <c r="B91" s="78" t="s">
        <v>378</v>
      </c>
      <c r="C91" s="48" t="s">
        <v>66</v>
      </c>
      <c r="D91" s="79">
        <v>1</v>
      </c>
      <c r="E91" s="70"/>
      <c r="F91" s="51"/>
      <c r="G91" s="51"/>
      <c r="H91" s="70">
        <v>109202.5</v>
      </c>
      <c r="I91" s="51">
        <f>ROUND(H91*D91,2)</f>
        <v>109202.5</v>
      </c>
      <c r="J91" s="51">
        <f>ROUND(I91*1.2,2)</f>
        <v>131043</v>
      </c>
      <c r="K91" s="52">
        <f t="shared" si="56"/>
        <v>109202.5</v>
      </c>
      <c r="L91" s="51">
        <f t="shared" si="56"/>
        <v>131043</v>
      </c>
      <c r="M91" s="71"/>
    </row>
    <row r="92" spans="1:13" ht="31.5" customHeight="1" x14ac:dyDescent="0.25">
      <c r="A92" s="38">
        <f>A90+1</f>
        <v>38</v>
      </c>
      <c r="B92" s="73" t="s">
        <v>379</v>
      </c>
      <c r="C92" s="38" t="s">
        <v>66</v>
      </c>
      <c r="D92" s="158">
        <v>2</v>
      </c>
      <c r="E92" s="64">
        <v>5650.6</v>
      </c>
      <c r="F92" s="35">
        <f t="shared" si="93"/>
        <v>11301.2</v>
      </c>
      <c r="G92" s="35">
        <f t="shared" si="94"/>
        <v>13561.44</v>
      </c>
      <c r="H92" s="64"/>
      <c r="I92" s="35"/>
      <c r="J92" s="35"/>
      <c r="K92" s="64">
        <f t="shared" si="56"/>
        <v>11301.2</v>
      </c>
      <c r="L92" s="42">
        <f t="shared" si="56"/>
        <v>13561.44</v>
      </c>
      <c r="M92" s="71"/>
    </row>
    <row r="93" spans="1:13" ht="18" customHeight="1" x14ac:dyDescent="0.25">
      <c r="A93" s="46" t="s">
        <v>128</v>
      </c>
      <c r="B93" s="78" t="s">
        <v>380</v>
      </c>
      <c r="C93" s="48" t="s">
        <v>66</v>
      </c>
      <c r="D93" s="79">
        <v>2</v>
      </c>
      <c r="E93" s="70"/>
      <c r="F93" s="51"/>
      <c r="G93" s="51"/>
      <c r="H93" s="70">
        <v>30988.05</v>
      </c>
      <c r="I93" s="51">
        <f>ROUND(H93*D93,2)</f>
        <v>61976.1</v>
      </c>
      <c r="J93" s="51">
        <f>ROUND(I93*1.2,2)</f>
        <v>74371.320000000007</v>
      </c>
      <c r="K93" s="52">
        <f t="shared" si="56"/>
        <v>61976.1</v>
      </c>
      <c r="L93" s="51">
        <f t="shared" si="56"/>
        <v>74371.320000000007</v>
      </c>
      <c r="M93" s="71"/>
    </row>
    <row r="94" spans="1:13" ht="30" customHeight="1" x14ac:dyDescent="0.25">
      <c r="A94" s="38">
        <f>A92+1</f>
        <v>39</v>
      </c>
      <c r="B94" s="73" t="s">
        <v>387</v>
      </c>
      <c r="C94" s="38" t="s">
        <v>66</v>
      </c>
      <c r="D94" s="158">
        <v>2</v>
      </c>
      <c r="E94" s="64">
        <v>6546.68</v>
      </c>
      <c r="F94" s="35">
        <f t="shared" ref="F94" si="95">ROUND(E94*D94,2)</f>
        <v>13093.36</v>
      </c>
      <c r="G94" s="35">
        <f t="shared" ref="G94" si="96">ROUND(F94*1.2,2)</f>
        <v>15712.03</v>
      </c>
      <c r="H94" s="64"/>
      <c r="I94" s="35"/>
      <c r="J94" s="35"/>
      <c r="K94" s="64">
        <f t="shared" ref="K94:K115" si="97">F94+I94</f>
        <v>13093.36</v>
      </c>
      <c r="L94" s="42">
        <f t="shared" ref="L94:L115" si="98">G94+J94</f>
        <v>15712.03</v>
      </c>
      <c r="M94" s="71"/>
    </row>
    <row r="95" spans="1:13" ht="22.5" customHeight="1" x14ac:dyDescent="0.25">
      <c r="A95" s="46" t="s">
        <v>132</v>
      </c>
      <c r="B95" s="78" t="s">
        <v>195</v>
      </c>
      <c r="C95" s="48" t="s">
        <v>66</v>
      </c>
      <c r="D95" s="79">
        <v>2</v>
      </c>
      <c r="E95" s="70"/>
      <c r="F95" s="51"/>
      <c r="G95" s="51"/>
      <c r="H95" s="70">
        <v>5092</v>
      </c>
      <c r="I95" s="51">
        <f>ROUND(H95*D95,2)</f>
        <v>10184</v>
      </c>
      <c r="J95" s="51">
        <f>ROUND(I95*1.2,2)</f>
        <v>12220.8</v>
      </c>
      <c r="K95" s="52">
        <f t="shared" si="97"/>
        <v>10184</v>
      </c>
      <c r="L95" s="51">
        <f t="shared" si="98"/>
        <v>12220.8</v>
      </c>
      <c r="M95" s="71"/>
    </row>
    <row r="96" spans="1:13" ht="22.5" customHeight="1" x14ac:dyDescent="0.25">
      <c r="A96" s="46" t="s">
        <v>279</v>
      </c>
      <c r="B96" s="78" t="s">
        <v>391</v>
      </c>
      <c r="C96" s="48" t="s">
        <v>66</v>
      </c>
      <c r="D96" s="79">
        <v>3</v>
      </c>
      <c r="E96" s="70"/>
      <c r="F96" s="51"/>
      <c r="G96" s="51"/>
      <c r="H96" s="70">
        <v>85.5</v>
      </c>
      <c r="I96" s="51">
        <f>ROUND(H96*D96,2)</f>
        <v>256.5</v>
      </c>
      <c r="J96" s="51">
        <f>ROUND(I96*1.2,2)</f>
        <v>307.8</v>
      </c>
      <c r="K96" s="52">
        <f t="shared" si="97"/>
        <v>256.5</v>
      </c>
      <c r="L96" s="51">
        <f t="shared" si="98"/>
        <v>307.8</v>
      </c>
      <c r="M96" s="71"/>
    </row>
    <row r="97" spans="1:13" ht="29.25" customHeight="1" x14ac:dyDescent="0.25">
      <c r="A97" s="46" t="s">
        <v>471</v>
      </c>
      <c r="B97" s="78" t="s">
        <v>561</v>
      </c>
      <c r="C97" s="48" t="s">
        <v>130</v>
      </c>
      <c r="D97" s="51">
        <f>36*0.243</f>
        <v>8.7479999999999993</v>
      </c>
      <c r="E97" s="70"/>
      <c r="F97" s="51"/>
      <c r="G97" s="51"/>
      <c r="H97" s="70">
        <v>120.65</v>
      </c>
      <c r="I97" s="51">
        <f>ROUND(H97*D97,2)</f>
        <v>1055.45</v>
      </c>
      <c r="J97" s="51">
        <f>ROUND(I97*1.2,2)</f>
        <v>1266.54</v>
      </c>
      <c r="K97" s="52">
        <f t="shared" si="97"/>
        <v>1055.45</v>
      </c>
      <c r="L97" s="51">
        <f t="shared" si="98"/>
        <v>1266.54</v>
      </c>
      <c r="M97" s="71"/>
    </row>
    <row r="98" spans="1:13" ht="19.5" customHeight="1" x14ac:dyDescent="0.25">
      <c r="A98" s="46" t="s">
        <v>472</v>
      </c>
      <c r="B98" s="78" t="s">
        <v>562</v>
      </c>
      <c r="C98" s="48" t="s">
        <v>130</v>
      </c>
      <c r="D98" s="51">
        <f>36*0.071</f>
        <v>2.5559999999999996</v>
      </c>
      <c r="E98" s="70"/>
      <c r="F98" s="51"/>
      <c r="G98" s="51"/>
      <c r="H98" s="70">
        <v>139.65</v>
      </c>
      <c r="I98" s="51">
        <f>ROUND(H98*D98,2)</f>
        <v>356.95</v>
      </c>
      <c r="J98" s="51">
        <f>ROUND(I98*1.2,2)</f>
        <v>428.34</v>
      </c>
      <c r="K98" s="52">
        <f t="shared" si="97"/>
        <v>356.95</v>
      </c>
      <c r="L98" s="51">
        <f t="shared" si="98"/>
        <v>428.34</v>
      </c>
      <c r="M98" s="71"/>
    </row>
    <row r="99" spans="1:13" ht="19.5" customHeight="1" x14ac:dyDescent="0.25">
      <c r="A99" s="46" t="s">
        <v>473</v>
      </c>
      <c r="B99" s="78" t="s">
        <v>563</v>
      </c>
      <c r="C99" s="48" t="s">
        <v>130</v>
      </c>
      <c r="D99" s="51">
        <f>72*0.0172</f>
        <v>1.2383999999999999</v>
      </c>
      <c r="E99" s="70"/>
      <c r="F99" s="51"/>
      <c r="G99" s="51"/>
      <c r="H99" s="70">
        <v>188.1</v>
      </c>
      <c r="I99" s="51">
        <f>ROUND(H99*D99,2)</f>
        <v>232.94</v>
      </c>
      <c r="J99" s="51">
        <f>ROUND(I99*1.2,2)</f>
        <v>279.52999999999997</v>
      </c>
      <c r="K99" s="52">
        <f t="shared" si="97"/>
        <v>232.94</v>
      </c>
      <c r="L99" s="51">
        <f t="shared" si="98"/>
        <v>279.52999999999997</v>
      </c>
      <c r="M99" s="71"/>
    </row>
    <row r="100" spans="1:13" ht="18" customHeight="1" x14ac:dyDescent="0.25">
      <c r="A100" s="38">
        <f>A94+1</f>
        <v>40</v>
      </c>
      <c r="B100" s="73" t="s">
        <v>305</v>
      </c>
      <c r="C100" s="38" t="s">
        <v>66</v>
      </c>
      <c r="D100" s="158">
        <v>2</v>
      </c>
      <c r="E100" s="64">
        <v>6039.48</v>
      </c>
      <c r="F100" s="35">
        <f t="shared" ref="F100" si="99">ROUND(E100*D100,2)</f>
        <v>12078.96</v>
      </c>
      <c r="G100" s="35">
        <f t="shared" ref="G100" si="100">ROUND(F100*1.2,2)</f>
        <v>14494.75</v>
      </c>
      <c r="H100" s="64"/>
      <c r="I100" s="35"/>
      <c r="J100" s="35"/>
      <c r="K100" s="64">
        <f t="shared" si="97"/>
        <v>12078.96</v>
      </c>
      <c r="L100" s="42">
        <f t="shared" si="98"/>
        <v>14494.75</v>
      </c>
      <c r="M100" s="71"/>
    </row>
    <row r="101" spans="1:13" ht="18" customHeight="1" x14ac:dyDescent="0.25">
      <c r="A101" s="46" t="s">
        <v>136</v>
      </c>
      <c r="B101" s="78" t="s">
        <v>393</v>
      </c>
      <c r="C101" s="48" t="s">
        <v>66</v>
      </c>
      <c r="D101" s="79">
        <v>2</v>
      </c>
      <c r="E101" s="70"/>
      <c r="F101" s="51"/>
      <c r="G101" s="51"/>
      <c r="H101" s="51">
        <v>2638.15</v>
      </c>
      <c r="I101" s="51">
        <f>ROUND(H101*D101,2)</f>
        <v>5276.3</v>
      </c>
      <c r="J101" s="51">
        <f>ROUND(I101*1.2,2)</f>
        <v>6331.56</v>
      </c>
      <c r="K101" s="52">
        <f t="shared" si="97"/>
        <v>5276.3</v>
      </c>
      <c r="L101" s="51">
        <f t="shared" si="98"/>
        <v>6331.56</v>
      </c>
      <c r="M101" s="71"/>
    </row>
    <row r="102" spans="1:13" ht="27.75" customHeight="1" x14ac:dyDescent="0.25">
      <c r="A102" s="38">
        <f>A100+1</f>
        <v>41</v>
      </c>
      <c r="B102" s="73" t="s">
        <v>394</v>
      </c>
      <c r="C102" s="38" t="s">
        <v>66</v>
      </c>
      <c r="D102" s="158">
        <v>2</v>
      </c>
      <c r="E102" s="64">
        <v>6546.68</v>
      </c>
      <c r="F102" s="35">
        <f t="shared" ref="F102" si="101">ROUND(E102*D102,2)</f>
        <v>13093.36</v>
      </c>
      <c r="G102" s="35">
        <f t="shared" ref="G102" si="102">ROUND(F102*1.2,2)</f>
        <v>15712.03</v>
      </c>
      <c r="H102" s="64"/>
      <c r="I102" s="35"/>
      <c r="J102" s="35"/>
      <c r="K102" s="64">
        <f t="shared" si="97"/>
        <v>13093.36</v>
      </c>
      <c r="L102" s="42">
        <f t="shared" si="98"/>
        <v>15712.03</v>
      </c>
      <c r="M102" s="71"/>
    </row>
    <row r="103" spans="1:13" ht="18" customHeight="1" x14ac:dyDescent="0.25">
      <c r="A103" s="46" t="s">
        <v>138</v>
      </c>
      <c r="B103" s="78" t="s">
        <v>396</v>
      </c>
      <c r="C103" s="48" t="s">
        <v>66</v>
      </c>
      <c r="D103" s="79">
        <v>2</v>
      </c>
      <c r="E103" s="70"/>
      <c r="F103" s="51"/>
      <c r="G103" s="51"/>
      <c r="H103" s="51">
        <v>1453.5</v>
      </c>
      <c r="I103" s="51">
        <f>ROUND(H103*D103,2)</f>
        <v>2907</v>
      </c>
      <c r="J103" s="51">
        <f>ROUND(I103*1.2,2)</f>
        <v>3488.4</v>
      </c>
      <c r="K103" s="52">
        <f t="shared" si="97"/>
        <v>2907</v>
      </c>
      <c r="L103" s="51">
        <f t="shared" si="98"/>
        <v>3488.4</v>
      </c>
      <c r="M103" s="71"/>
    </row>
    <row r="104" spans="1:13" ht="19.5" customHeight="1" x14ac:dyDescent="0.25">
      <c r="A104" s="46" t="s">
        <v>554</v>
      </c>
      <c r="B104" s="78" t="s">
        <v>397</v>
      </c>
      <c r="C104" s="48" t="s">
        <v>66</v>
      </c>
      <c r="D104" s="79">
        <v>4</v>
      </c>
      <c r="E104" s="70"/>
      <c r="F104" s="51"/>
      <c r="G104" s="51"/>
      <c r="H104" s="70">
        <v>31.35</v>
      </c>
      <c r="I104" s="51">
        <f>ROUND(H104*D104,2)</f>
        <v>125.4</v>
      </c>
      <c r="J104" s="51">
        <f>ROUND(I104*1.2,2)</f>
        <v>150.47999999999999</v>
      </c>
      <c r="K104" s="52">
        <f t="shared" si="97"/>
        <v>125.4</v>
      </c>
      <c r="L104" s="51">
        <f t="shared" si="98"/>
        <v>150.47999999999999</v>
      </c>
      <c r="M104" s="71"/>
    </row>
    <row r="105" spans="1:13" ht="18.75" customHeight="1" x14ac:dyDescent="0.25">
      <c r="A105" s="46" t="s">
        <v>555</v>
      </c>
      <c r="B105" s="47" t="s">
        <v>560</v>
      </c>
      <c r="C105" s="98" t="s">
        <v>130</v>
      </c>
      <c r="D105" s="49">
        <f>ROUND(32*0.137,2)</f>
        <v>4.38</v>
      </c>
      <c r="E105" s="70"/>
      <c r="F105" s="51"/>
      <c r="G105" s="51"/>
      <c r="H105" s="51">
        <v>120.65</v>
      </c>
      <c r="I105" s="51">
        <f t="shared" ref="I105:I107" si="103">ROUND(H105*D105,2)</f>
        <v>528.45000000000005</v>
      </c>
      <c r="J105" s="51">
        <f t="shared" ref="J105:J107" si="104">ROUND(I105*1.2,2)</f>
        <v>634.14</v>
      </c>
      <c r="K105" s="52">
        <f t="shared" si="97"/>
        <v>528.45000000000005</v>
      </c>
      <c r="L105" s="51">
        <f t="shared" si="98"/>
        <v>634.14</v>
      </c>
    </row>
    <row r="106" spans="1:13" ht="18.75" customHeight="1" x14ac:dyDescent="0.25">
      <c r="A106" s="46" t="s">
        <v>556</v>
      </c>
      <c r="B106" s="47" t="s">
        <v>558</v>
      </c>
      <c r="C106" s="98" t="s">
        <v>130</v>
      </c>
      <c r="D106" s="49">
        <f>ROUND(32*0.032,2)</f>
        <v>1.02</v>
      </c>
      <c r="E106" s="70"/>
      <c r="F106" s="51"/>
      <c r="G106" s="51"/>
      <c r="H106" s="51">
        <v>139.65</v>
      </c>
      <c r="I106" s="51">
        <f t="shared" si="103"/>
        <v>142.44</v>
      </c>
      <c r="J106" s="51">
        <f t="shared" si="104"/>
        <v>170.93</v>
      </c>
      <c r="K106" s="52">
        <f t="shared" si="97"/>
        <v>142.44</v>
      </c>
      <c r="L106" s="51">
        <f t="shared" si="98"/>
        <v>170.93</v>
      </c>
    </row>
    <row r="107" spans="1:13" ht="18.75" customHeight="1" x14ac:dyDescent="0.25">
      <c r="A107" s="46" t="s">
        <v>557</v>
      </c>
      <c r="B107" s="47" t="s">
        <v>559</v>
      </c>
      <c r="C107" s="98" t="s">
        <v>130</v>
      </c>
      <c r="D107" s="49">
        <f>ROUND(64*0.013,2)</f>
        <v>0.83</v>
      </c>
      <c r="E107" s="70"/>
      <c r="F107" s="51"/>
      <c r="G107" s="51"/>
      <c r="H107" s="51">
        <v>188.1</v>
      </c>
      <c r="I107" s="51">
        <f t="shared" si="103"/>
        <v>156.12</v>
      </c>
      <c r="J107" s="51">
        <f t="shared" si="104"/>
        <v>187.34</v>
      </c>
      <c r="K107" s="52">
        <f t="shared" si="97"/>
        <v>156.12</v>
      </c>
      <c r="L107" s="51">
        <f t="shared" si="98"/>
        <v>187.34</v>
      </c>
    </row>
    <row r="108" spans="1:13" ht="18" customHeight="1" x14ac:dyDescent="0.25">
      <c r="A108" s="38">
        <f>A102+1</f>
        <v>42</v>
      </c>
      <c r="B108" s="142" t="s">
        <v>398</v>
      </c>
      <c r="C108" s="38" t="s">
        <v>66</v>
      </c>
      <c r="D108" s="158">
        <v>2</v>
      </c>
      <c r="E108" s="64">
        <v>1389.85</v>
      </c>
      <c r="F108" s="35">
        <f t="shared" ref="F108" si="105">ROUND(E108*D108,2)</f>
        <v>2779.7</v>
      </c>
      <c r="G108" s="35">
        <f t="shared" ref="G108" si="106">ROUND(F108*1.2,2)</f>
        <v>3335.64</v>
      </c>
      <c r="H108" s="64"/>
      <c r="I108" s="35"/>
      <c r="J108" s="35"/>
      <c r="K108" s="64">
        <f t="shared" si="97"/>
        <v>2779.7</v>
      </c>
      <c r="L108" s="42">
        <f t="shared" si="98"/>
        <v>3335.64</v>
      </c>
      <c r="M108" s="71" t="s">
        <v>606</v>
      </c>
    </row>
    <row r="109" spans="1:13" ht="18" customHeight="1" x14ac:dyDescent="0.25">
      <c r="A109" s="46" t="s">
        <v>141</v>
      </c>
      <c r="B109" s="78" t="s">
        <v>400</v>
      </c>
      <c r="C109" s="48" t="s">
        <v>66</v>
      </c>
      <c r="D109" s="79">
        <v>2</v>
      </c>
      <c r="E109" s="70"/>
      <c r="F109" s="51"/>
      <c r="G109" s="51"/>
      <c r="H109" s="70">
        <v>471.2</v>
      </c>
      <c r="I109" s="51">
        <f>ROUND(H109*D109,2)</f>
        <v>942.4</v>
      </c>
      <c r="J109" s="51">
        <f>ROUND(I109*1.2,2)</f>
        <v>1130.8800000000001</v>
      </c>
      <c r="K109" s="52">
        <f t="shared" si="97"/>
        <v>942.4</v>
      </c>
      <c r="L109" s="51">
        <f t="shared" si="98"/>
        <v>1130.8800000000001</v>
      </c>
      <c r="M109" s="71"/>
    </row>
    <row r="110" spans="1:13" ht="24" customHeight="1" x14ac:dyDescent="0.25">
      <c r="A110" s="38">
        <f>A108+1</f>
        <v>43</v>
      </c>
      <c r="B110" s="73" t="s">
        <v>540</v>
      </c>
      <c r="C110" s="38" t="s">
        <v>66</v>
      </c>
      <c r="D110" s="150">
        <v>1</v>
      </c>
      <c r="E110" s="64">
        <f>ROUND(1468.66*1.33,2)</f>
        <v>1953.32</v>
      </c>
      <c r="F110" s="35">
        <f>ROUND(E110*D110,2)</f>
        <v>1953.32</v>
      </c>
      <c r="G110" s="35">
        <f t="shared" ref="G110" si="107">ROUND(F110*1.2,2)</f>
        <v>2343.98</v>
      </c>
      <c r="H110" s="64"/>
      <c r="I110" s="35"/>
      <c r="J110" s="35"/>
      <c r="K110" s="64">
        <f t="shared" si="97"/>
        <v>1953.32</v>
      </c>
      <c r="L110" s="42">
        <f t="shared" si="98"/>
        <v>2343.98</v>
      </c>
      <c r="M110" s="71"/>
    </row>
    <row r="111" spans="1:13" ht="18" customHeight="1" x14ac:dyDescent="0.25">
      <c r="A111" s="46" t="s">
        <v>104</v>
      </c>
      <c r="B111" s="78" t="s">
        <v>541</v>
      </c>
      <c r="C111" s="48" t="s">
        <v>66</v>
      </c>
      <c r="D111" s="72">
        <v>1</v>
      </c>
      <c r="E111" s="70"/>
      <c r="F111" s="51"/>
      <c r="G111" s="51"/>
      <c r="H111" s="70">
        <f>ROUND(2208.64/1.2*1.15,2)</f>
        <v>2116.61</v>
      </c>
      <c r="I111" s="51">
        <f t="shared" ref="I111" si="108">ROUND(H111*D111,2)</f>
        <v>2116.61</v>
      </c>
      <c r="J111" s="51">
        <f t="shared" ref="J111" si="109">ROUND(I111*1.2,2)</f>
        <v>2539.9299999999998</v>
      </c>
      <c r="K111" s="70">
        <f t="shared" si="97"/>
        <v>2116.61</v>
      </c>
      <c r="L111" s="68">
        <f t="shared" si="98"/>
        <v>2539.9299999999998</v>
      </c>
      <c r="M111" s="71"/>
    </row>
    <row r="112" spans="1:13" ht="18" customHeight="1" x14ac:dyDescent="0.25">
      <c r="A112" s="38">
        <f>A110+1</f>
        <v>44</v>
      </c>
      <c r="B112" s="142" t="s">
        <v>458</v>
      </c>
      <c r="C112" s="38" t="s">
        <v>66</v>
      </c>
      <c r="D112" s="158">
        <v>2</v>
      </c>
      <c r="E112" s="64">
        <v>3358.25</v>
      </c>
      <c r="F112" s="35">
        <f t="shared" ref="F112" si="110">ROUND(E112*D112,2)</f>
        <v>6716.5</v>
      </c>
      <c r="G112" s="35">
        <f t="shared" ref="G112" si="111">ROUND(F112*1.2,2)</f>
        <v>8059.8</v>
      </c>
      <c r="H112" s="64"/>
      <c r="I112" s="35"/>
      <c r="J112" s="35"/>
      <c r="K112" s="64">
        <f t="shared" si="97"/>
        <v>6716.5</v>
      </c>
      <c r="L112" s="42">
        <f t="shared" si="98"/>
        <v>8059.8</v>
      </c>
      <c r="M112" s="71" t="s">
        <v>606</v>
      </c>
    </row>
    <row r="113" spans="1:13" ht="20.25" customHeight="1" x14ac:dyDescent="0.25">
      <c r="A113" s="46" t="s">
        <v>147</v>
      </c>
      <c r="B113" s="78" t="s">
        <v>459</v>
      </c>
      <c r="C113" s="48" t="s">
        <v>66</v>
      </c>
      <c r="D113" s="79">
        <v>2</v>
      </c>
      <c r="E113" s="70"/>
      <c r="F113" s="51"/>
      <c r="G113" s="51"/>
      <c r="H113" s="70">
        <v>731.5</v>
      </c>
      <c r="I113" s="51">
        <f>ROUND(H113*D113,2)</f>
        <v>1463</v>
      </c>
      <c r="J113" s="51">
        <f>ROUND(I113*1.2,2)</f>
        <v>1755.6</v>
      </c>
      <c r="K113" s="52">
        <f t="shared" si="97"/>
        <v>1463</v>
      </c>
      <c r="L113" s="51">
        <f t="shared" si="98"/>
        <v>1755.6</v>
      </c>
      <c r="M113" s="71"/>
    </row>
    <row r="114" spans="1:13" ht="18" customHeight="1" x14ac:dyDescent="0.25">
      <c r="A114" s="38">
        <f>A112+1</f>
        <v>45</v>
      </c>
      <c r="B114" s="145" t="s">
        <v>550</v>
      </c>
      <c r="C114" s="141" t="s">
        <v>66</v>
      </c>
      <c r="D114" s="144">
        <v>2</v>
      </c>
      <c r="E114" s="64">
        <v>3245.25</v>
      </c>
      <c r="F114" s="35">
        <f t="shared" ref="F114" si="112">ROUND(E114*D114,2)</f>
        <v>6490.5</v>
      </c>
      <c r="G114" s="35">
        <f t="shared" ref="G114" si="113">ROUND(F114*1.2,2)</f>
        <v>7788.6</v>
      </c>
      <c r="H114" s="64"/>
      <c r="I114" s="35"/>
      <c r="J114" s="35"/>
      <c r="K114" s="64">
        <f t="shared" si="97"/>
        <v>6490.5</v>
      </c>
      <c r="L114" s="42">
        <f t="shared" si="98"/>
        <v>7788.6</v>
      </c>
      <c r="M114" s="71" t="s">
        <v>607</v>
      </c>
    </row>
    <row r="115" spans="1:13" ht="20.25" customHeight="1" x14ac:dyDescent="0.25">
      <c r="A115" s="46" t="s">
        <v>291</v>
      </c>
      <c r="B115" s="78" t="s">
        <v>551</v>
      </c>
      <c r="C115" s="48" t="s">
        <v>66</v>
      </c>
      <c r="D115" s="79">
        <v>2</v>
      </c>
      <c r="E115" s="70"/>
      <c r="F115" s="51"/>
      <c r="G115" s="51"/>
      <c r="H115" s="70">
        <v>731.5</v>
      </c>
      <c r="I115" s="51">
        <f>ROUND(H115*D115,2)</f>
        <v>1463</v>
      </c>
      <c r="J115" s="51">
        <f>ROUND(I115*1.2,2)</f>
        <v>1755.6</v>
      </c>
      <c r="K115" s="52">
        <f t="shared" si="97"/>
        <v>1463</v>
      </c>
      <c r="L115" s="51">
        <f t="shared" si="98"/>
        <v>1755.6</v>
      </c>
      <c r="M115" s="71"/>
    </row>
    <row r="116" spans="1:13" s="95" customFormat="1" ht="24" customHeight="1" x14ac:dyDescent="0.3">
      <c r="A116" s="185" t="s">
        <v>148</v>
      </c>
      <c r="B116" s="186"/>
      <c r="C116" s="186"/>
      <c r="D116" s="186"/>
      <c r="E116" s="187"/>
      <c r="F116" s="118">
        <f>SUM(F7:F115)</f>
        <v>447202.04000000004</v>
      </c>
      <c r="G116" s="118">
        <f>ROUND(F116*1.2,2)</f>
        <v>536642.44999999995</v>
      </c>
      <c r="H116" s="122"/>
      <c r="I116" s="118">
        <f>SUM(I7:I115)</f>
        <v>493705.96999999991</v>
      </c>
      <c r="J116" s="118">
        <f>ROUND(I116*1.2,2)</f>
        <v>592447.16</v>
      </c>
      <c r="K116" s="118">
        <f>SUM(K7:K115)</f>
        <v>940908.00999999943</v>
      </c>
      <c r="L116" s="118">
        <f>ROUND(K116*1.2,2)</f>
        <v>1129089.6100000001</v>
      </c>
      <c r="M116" s="94"/>
    </row>
    <row r="118" spans="1:13" x14ac:dyDescent="0.25">
      <c r="K118" s="96"/>
    </row>
  </sheetData>
  <mergeCells count="10">
    <mergeCell ref="B6:D6"/>
    <mergeCell ref="A116:E11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Свод НВК3</vt:lpstr>
      <vt:lpstr>В1-3А, В1-4</vt:lpstr>
      <vt:lpstr>В1-4-до Уг.1</vt:lpstr>
      <vt:lpstr>Уг.1-до Уг.2</vt:lpstr>
      <vt:lpstr>Уг.2-до В1нов</vt:lpstr>
      <vt:lpstr>В1-30-В1-31</vt:lpstr>
      <vt:lpstr>В1-1-В1-1А</vt:lpstr>
      <vt:lpstr>В1-2-В1-2А</vt:lpstr>
      <vt:lpstr>В1нов1-В15</vt:lpstr>
      <vt:lpstr>В1нов1-цех121</vt:lpstr>
      <vt:lpstr>В1нов1-В17</vt:lpstr>
      <vt:lpstr>В1-7-В1-8</vt:lpstr>
      <vt:lpstr>Лист1</vt:lpstr>
      <vt:lpstr>'В1-1-В1-1А'!Область_печати</vt:lpstr>
      <vt:lpstr>'В1-2-В1-2А'!Область_печати</vt:lpstr>
      <vt:lpstr>'В1-30-В1-31'!Область_печати</vt:lpstr>
      <vt:lpstr>'В1-3А, В1-4'!Область_печати</vt:lpstr>
      <vt:lpstr>'В1-4-до Уг.1'!Область_печати</vt:lpstr>
      <vt:lpstr>'В1-7-В1-8'!Область_печати</vt:lpstr>
      <vt:lpstr>'В1нов1-В15'!Область_печати</vt:lpstr>
      <vt:lpstr>'В1нов1-В17'!Область_печати</vt:lpstr>
      <vt:lpstr>'В1нов1-цех121'!Область_печати</vt:lpstr>
      <vt:lpstr>'Свод НВК3'!Область_печати</vt:lpstr>
      <vt:lpstr>'Уг.1-до Уг.2'!Область_печати</vt:lpstr>
      <vt:lpstr>'Уг.2-до В1нов'!Область_печати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2024-06-18T14:39:50Z</dcterms:modified>
</cp:coreProperties>
</file>