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Мое\Материалы-поставка\"/>
    </mc:Choice>
  </mc:AlternateContent>
  <xr:revisionPtr revIDLastSave="0" documentId="13_ncr:1_{C23B6236-E995-4844-BFC4-09471F60CCC1}" xr6:coauthVersionLast="47" xr6:coauthVersionMax="47" xr10:uidLastSave="{00000000-0000-0000-0000-000000000000}"/>
  <bookViews>
    <workbookView xWindow="-108" yWindow="-108" windowWidth="23256" windowHeight="12576" xr2:uid="{117ECDDE-0818-48DA-BB3A-1E4B7E724FB4}"/>
  </bookViews>
  <sheets>
    <sheet name="Лист1" sheetId="1" r:id="rId1"/>
    <sheet name="Лист2" sheetId="2" r:id="rId2"/>
  </sheets>
  <definedNames>
    <definedName name="_xlnm.Print_Area" localSheetId="0">Лист1!$A$1:$K$89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1" i="1" l="1"/>
  <c r="K82" i="1"/>
  <c r="K83" i="1"/>
  <c r="K84" i="1"/>
  <c r="K85" i="1"/>
  <c r="K86" i="1"/>
  <c r="K88" i="1"/>
  <c r="J79" i="1"/>
  <c r="K79" i="1" s="1"/>
  <c r="J78" i="1"/>
  <c r="K78" i="1" s="1"/>
  <c r="J61" i="1"/>
  <c r="K61" i="1" s="1"/>
  <c r="J60" i="1"/>
  <c r="K60" i="1" s="1"/>
  <c r="J59" i="1"/>
  <c r="J58" i="1"/>
  <c r="K58" i="1" s="1"/>
  <c r="J57" i="1"/>
  <c r="K57" i="1" s="1"/>
  <c r="J56" i="1"/>
  <c r="K56" i="1" s="1"/>
  <c r="J54" i="1"/>
  <c r="K54" i="1" s="1"/>
  <c r="J49" i="1"/>
  <c r="K49" i="1" s="1"/>
  <c r="J48" i="1"/>
  <c r="K48" i="1" s="1"/>
  <c r="J47" i="1"/>
  <c r="K47" i="1" s="1"/>
  <c r="J46" i="1"/>
  <c r="J45" i="1"/>
  <c r="K45" i="1" s="1"/>
  <c r="J44" i="1"/>
  <c r="K44" i="1" s="1"/>
  <c r="J43" i="1"/>
  <c r="K43" i="1" s="1"/>
  <c r="J42" i="1"/>
  <c r="K42" i="1" s="1"/>
  <c r="J41" i="1"/>
  <c r="K41" i="1" s="1"/>
  <c r="J40" i="1"/>
  <c r="K40" i="1" s="1"/>
  <c r="K36" i="1"/>
  <c r="K37" i="1"/>
  <c r="K38" i="1"/>
  <c r="K39" i="1"/>
  <c r="K46" i="1"/>
  <c r="K50" i="1"/>
  <c r="K51" i="1"/>
  <c r="K52" i="1"/>
  <c r="K53" i="1"/>
  <c r="K55" i="1"/>
  <c r="K59" i="1"/>
  <c r="K62" i="1"/>
  <c r="K65" i="1"/>
  <c r="K66" i="1"/>
  <c r="K67" i="1"/>
  <c r="K68" i="1"/>
  <c r="K69" i="1"/>
  <c r="K71" i="1"/>
  <c r="K72" i="1"/>
  <c r="K74" i="1"/>
  <c r="K75" i="1"/>
  <c r="K76" i="1"/>
  <c r="K77" i="1"/>
  <c r="K80" i="1"/>
  <c r="J35" i="1"/>
  <c r="K35" i="1" s="1"/>
  <c r="K32" i="1"/>
  <c r="K33" i="1"/>
  <c r="K34" i="1"/>
  <c r="J31" i="1"/>
  <c r="K31" i="1" s="1"/>
  <c r="J30" i="1"/>
  <c r="K30" i="1" s="1"/>
  <c r="J29" i="1"/>
  <c r="K29" i="1" s="1"/>
  <c r="K28" i="1"/>
  <c r="J25" i="1"/>
  <c r="K25" i="1" s="1"/>
  <c r="J27" i="1"/>
  <c r="K27" i="1" s="1"/>
  <c r="J26" i="1"/>
  <c r="K26" i="1" s="1"/>
  <c r="J24" i="1"/>
  <c r="K24" i="1" s="1"/>
  <c r="J22" i="1"/>
  <c r="K22" i="1" s="1"/>
  <c r="J23" i="1"/>
  <c r="K23" i="1" s="1"/>
  <c r="K20" i="1"/>
  <c r="J21" i="1"/>
  <c r="K21" i="1" s="1"/>
  <c r="J19" i="1"/>
  <c r="K19" i="1" s="1"/>
  <c r="J18" i="1"/>
  <c r="K18" i="1" s="1"/>
  <c r="J15" i="1"/>
  <c r="K15" i="1" s="1"/>
  <c r="K14" i="1"/>
  <c r="J17" i="1"/>
  <c r="K17" i="1" s="1"/>
  <c r="J16" i="1"/>
  <c r="K16" i="1" s="1"/>
  <c r="J13" i="1"/>
  <c r="K13" i="1" s="1"/>
  <c r="J12" i="1"/>
  <c r="K12" i="1" s="1"/>
  <c r="J11" i="1"/>
  <c r="K11" i="1" s="1"/>
  <c r="J10" i="1"/>
  <c r="K10" i="1" s="1"/>
  <c r="J8" i="1"/>
  <c r="K8" i="1" s="1"/>
  <c r="J7" i="1"/>
  <c r="K7" i="1" s="1"/>
  <c r="J6" i="1"/>
  <c r="K6" i="1" s="1"/>
  <c r="J5" i="1"/>
  <c r="K5" i="1" s="1"/>
  <c r="J4" i="1"/>
  <c r="K4" i="1" s="1"/>
  <c r="J3" i="1"/>
  <c r="K3" i="1" s="1"/>
  <c r="K9" i="1"/>
  <c r="K2" i="1"/>
  <c r="K89" i="1" l="1"/>
</calcChain>
</file>

<file path=xl/sharedStrings.xml><?xml version="1.0" encoding="utf-8"?>
<sst xmlns="http://schemas.openxmlformats.org/spreadsheetml/2006/main" count="371" uniqueCount="201">
  <si>
    <t>Наименование и техническая характеристика</t>
  </si>
  <si>
    <t>Бетон класса В22,5</t>
  </si>
  <si>
    <t>Цементный раствор М100</t>
  </si>
  <si>
    <t>Цементный раствор М200</t>
  </si>
  <si>
    <t>Тип, марка. Обозначение документа, опросного листа</t>
  </si>
  <si>
    <t>ГОСТ 28013-98</t>
  </si>
  <si>
    <t>ГОСТ 8267-2014</t>
  </si>
  <si>
    <t>Единица измерения</t>
  </si>
  <si>
    <t>шт.</t>
  </si>
  <si>
    <t>м3</t>
  </si>
  <si>
    <t>Количество</t>
  </si>
  <si>
    <t>Масса единицы, кг</t>
  </si>
  <si>
    <t>Примечание</t>
  </si>
  <si>
    <t>Плиты из минеральной ваты на синтетеческом связующем</t>
  </si>
  <si>
    <t>Уголок 75х5</t>
  </si>
  <si>
    <t>Герметик для наружных работ</t>
  </si>
  <si>
    <t>Рулонный ковер Техноэласт "ЭКП" / Техноэласт "ЭПП"</t>
  </si>
  <si>
    <t>Фасадная краска "Полифан" (или аналог)</t>
  </si>
  <si>
    <t>Водоэмульсионная краска для внутренних работ</t>
  </si>
  <si>
    <t>Пароизоляция Изоспан "В" / гидроизоляция Изоспан "С"</t>
  </si>
  <si>
    <t>Праймер битумный</t>
  </si>
  <si>
    <t>Самосверлящие шурупы с ЕРОМ шайбой 4,8х28</t>
  </si>
  <si>
    <t>Монолитные железобетонные конструкции</t>
  </si>
  <si>
    <t>Фундаменты Фм1 (2 шт),</t>
  </si>
  <si>
    <t>ГОСТ 9128-2013</t>
  </si>
  <si>
    <t>ГОСТ 32310-2020</t>
  </si>
  <si>
    <t>ГОСТ 9573-2012</t>
  </si>
  <si>
    <t>ГОСТ 34028-2016</t>
  </si>
  <si>
    <t>ГОСТ 6727-80</t>
  </si>
  <si>
    <t>ГОСТ8509-93</t>
  </si>
  <si>
    <t>ГОСТ 59523-2021</t>
  </si>
  <si>
    <t>ТУ 5772-009-72746455-2007</t>
  </si>
  <si>
    <t>ГОСТ 26662-85</t>
  </si>
  <si>
    <t>ТУ 5774-003-00287852-99</t>
  </si>
  <si>
    <t>HILTI</t>
  </si>
  <si>
    <t>ГОСТ 26633-2015</t>
  </si>
  <si>
    <t>п. м</t>
  </si>
  <si>
    <t>м2</t>
  </si>
  <si>
    <t>кг</t>
  </si>
  <si>
    <t>л</t>
  </si>
  <si>
    <t>Анкерные болты 1.1М24х800</t>
  </si>
  <si>
    <t>Бетон класса В10 (подготовка)</t>
  </si>
  <si>
    <t>Монолитный бетон В15 для обетонировки колонн</t>
  </si>
  <si>
    <t>-80х80х20</t>
  </si>
  <si>
    <t>Металлоконструкции (каркас)</t>
  </si>
  <si>
    <t>Колонны:</t>
  </si>
  <si>
    <t>- двутавр 30Ш1</t>
  </si>
  <si>
    <t>-[24</t>
  </si>
  <si>
    <t>ГОСТ 8509-93</t>
  </si>
  <si>
    <t>ГОСТ 24379.1-2012</t>
  </si>
  <si>
    <t>ГОСТ 103-2006</t>
  </si>
  <si>
    <t>ГОСТ 26020-2017</t>
  </si>
  <si>
    <t>ГОСТ 8240-97</t>
  </si>
  <si>
    <t>ГОСТ 19903-15</t>
  </si>
  <si>
    <t>т</t>
  </si>
  <si>
    <t>Связи:</t>
  </si>
  <si>
    <t>-трубы квадратные 140х6</t>
  </si>
  <si>
    <t>Факверк, ригели, детали крепления:</t>
  </si>
  <si>
    <t>-трубы квадратные 120х4</t>
  </si>
  <si>
    <t>Грунтовка по металлу ГФ-021</t>
  </si>
  <si>
    <t>Эмаль по металлу ПФ 115</t>
  </si>
  <si>
    <t>Фасонные элементы</t>
  </si>
  <si>
    <t>Болты М20х100 с гайкой и шайбой</t>
  </si>
  <si>
    <t>ГОСТ 30245-2012</t>
  </si>
  <si>
    <t>ГОСТ 14918-80</t>
  </si>
  <si>
    <t>ГОСТ 7798-70</t>
  </si>
  <si>
    <t>Грунин А.В.</t>
  </si>
  <si>
    <t>52 (L)</t>
  </si>
  <si>
    <t>Коршаков А.А.</t>
  </si>
  <si>
    <t>46 (S)</t>
  </si>
  <si>
    <t>Изгачев Р.А.</t>
  </si>
  <si>
    <t>XL</t>
  </si>
  <si>
    <t>Романенко В.Е.</t>
  </si>
  <si>
    <t>104-108, рост 170-176</t>
  </si>
  <si>
    <t>88-92, рост 158-164</t>
  </si>
  <si>
    <t>Волков Р.В.</t>
  </si>
  <si>
    <t>размер 96-100, рост 170-176, (М)</t>
  </si>
  <si>
    <t>Перевизнык А.П.</t>
  </si>
  <si>
    <t>50-52, рост 180</t>
  </si>
  <si>
    <t>Юпин А.</t>
  </si>
  <si>
    <t>50-52, рост 182</t>
  </si>
  <si>
    <t>Шевчук К.А.</t>
  </si>
  <si>
    <t>52-54</t>
  </si>
  <si>
    <t>Романенко Е.</t>
  </si>
  <si>
    <t>56-58</t>
  </si>
  <si>
    <t>Шевчук Ю.А.</t>
  </si>
  <si>
    <t>Липатов В.Е.</t>
  </si>
  <si>
    <t>не требуется</t>
  </si>
  <si>
    <t>Коршунов С.С.</t>
  </si>
  <si>
    <t>L (50)</t>
  </si>
  <si>
    <t>88 – 92 </t>
  </si>
  <si>
    <t>S</t>
  </si>
  <si>
    <t>44 – 46</t>
  </si>
  <si>
    <t>от 86 до 94</t>
  </si>
  <si>
    <t>от 76 до 84 </t>
  </si>
  <si>
    <t> 96 – 100</t>
  </si>
  <si>
    <t>M</t>
  </si>
  <si>
    <t>48 – 50</t>
  </si>
  <si>
    <t>  от 94 до 102</t>
  </si>
  <si>
    <t>от 84 до 92 </t>
  </si>
  <si>
    <t>104 – 108</t>
  </si>
  <si>
    <t>L</t>
  </si>
  <si>
    <t>52 – 54</t>
  </si>
  <si>
    <t>от 102 до 110</t>
  </si>
  <si>
    <t> от 92 до 100</t>
  </si>
  <si>
    <t>112 – 116</t>
  </si>
  <si>
    <t>56 – 58</t>
  </si>
  <si>
    <t>от 110 до 118</t>
  </si>
  <si>
    <t>от 100 до 108</t>
  </si>
  <si>
    <t>120 – 124</t>
  </si>
  <si>
    <t>XXL</t>
  </si>
  <si>
    <t>60 – 62</t>
  </si>
  <si>
    <t>от 118 до 126</t>
  </si>
  <si>
    <t>от 108 до 116</t>
  </si>
  <si>
    <t>128 – 132</t>
  </si>
  <si>
    <t>XXXL</t>
  </si>
  <si>
    <t>64 – 66</t>
  </si>
  <si>
    <t>от 126 до 134</t>
  </si>
  <si>
    <t>от 116 до 124</t>
  </si>
  <si>
    <t>136 – 140</t>
  </si>
  <si>
    <t>ХХХХL</t>
  </si>
  <si>
    <t>68 – 70</t>
  </si>
  <si>
    <t>от 134 до 142</t>
  </si>
  <si>
    <t>от 124 до 132</t>
  </si>
  <si>
    <t>Ворота противопожарные металлические утепленные распашные Для проема 2610x3000h (EI-60)</t>
  </si>
  <si>
    <t>Стеновае сэндвич-панели 3890х1190х120 с минераловатным утеплителем толщиной 120 мм с комплектующими элементами</t>
  </si>
  <si>
    <t>Стеновае сэндвич-панели 1890х1190х120 с минераловатным утеплителем толщиной 120 мм с комплектующими элементами</t>
  </si>
  <si>
    <t>Стеновае сэндвич-панели 1060х1190х120 с минераловатным утеплителем толщиной 120 мм с комплектующими элементами</t>
  </si>
  <si>
    <t>Стеновае сэндвич-панели 5980х1190х120 с минераловатным утеплителем толщиной 120 мм с комплектующими элементами</t>
  </si>
  <si>
    <t>Стеновае сэндвич-панели 6220х1190х120 с минераловатным утеплителем толщиной 120 мм с комплектующими элементами</t>
  </si>
  <si>
    <t>поставщик</t>
  </si>
  <si>
    <t>Задержка в поставки</t>
  </si>
  <si>
    <t>Дата поставки на объект</t>
  </si>
  <si>
    <t>ВЗМК</t>
  </si>
  <si>
    <t>1001 крепеж</t>
  </si>
  <si>
    <t>1 очередь</t>
  </si>
  <si>
    <t>4 очередь</t>
  </si>
  <si>
    <t>5 очередь</t>
  </si>
  <si>
    <t>6 очередь</t>
  </si>
  <si>
    <t>2 очередь</t>
  </si>
  <si>
    <t>3 очередь</t>
  </si>
  <si>
    <t xml:space="preserve">цена руб. с НДС </t>
  </si>
  <si>
    <t>стоимость руб с НДС</t>
  </si>
  <si>
    <t>Теплопанель</t>
  </si>
  <si>
    <t>https://abz-betas.ru/sale-asphalt.html?ysclid=lnxiynk9g1267808151</t>
  </si>
  <si>
    <t>https://shop.tn.ru/hrs-tehnopleks-1180h580h100-l-mm-4-plity?ysclid=lnxj4dn1tl436189610</t>
  </si>
  <si>
    <t>https://moscow.petrovich.ru/catalog/12107/armatura-8-mm/?ysclid=lnxjk3gjp5736525260</t>
  </si>
  <si>
    <t>https://rt-metall.ru/setka-svarnaya-100x100x4/?ysclid=lnxjndvwx2755526419</t>
  </si>
  <si>
    <t>https://shop.tn.ru/germetik-2k-seryj</t>
  </si>
  <si>
    <t>https://striwer.ru/product/remontnaya-smes-consolit-bars-113?ysclid=lnxkbrvch8452638504</t>
  </si>
  <si>
    <t>ИТОГО руб с НДС</t>
  </si>
  <si>
    <t>Саморезы HSP-S19 5,5/6,3х160</t>
  </si>
  <si>
    <t>Фирма HARPOON</t>
  </si>
  <si>
    <t>Бетон класса В25, W6, F150</t>
  </si>
  <si>
    <t>Щебень строительный фракции 20-40 мм</t>
  </si>
  <si>
    <t>Фундаментные балки ФБ-1 (2 шт), ФБ-2 (1 шт), ФБ-3 (1 шт),</t>
  </si>
  <si>
    <t>Асфальтобетон типа Д марки III</t>
  </si>
  <si>
    <t>Плиты "Техноплекс" 35 б=100</t>
  </si>
  <si>
    <t>Арматура ø8 А500С</t>
  </si>
  <si>
    <t>Герметик ТехноНиколь ПУ Flor</t>
  </si>
  <si>
    <t>Плиты ТехноНиколь XPS б=50 мм</t>
  </si>
  <si>
    <t>Утеплитель Rockwool марки РУФБАТТСС Y=115 кг/м3 б=50 мм</t>
  </si>
  <si>
    <t>Утеплитель Rockwool марки РУФБАТТСС Y=135 кг/м3 б= 50 мм</t>
  </si>
  <si>
    <t>Саморез HSP-14R-S195,5/6,3x160</t>
  </si>
  <si>
    <t>Эмаль для металлических поверхностей ХВ 0278</t>
  </si>
  <si>
    <t>Грунтовка Consolit Bars (или аналог)</t>
  </si>
  <si>
    <t>Ремонтный состав Consolit Bars 113 (или аналог)</t>
  </si>
  <si>
    <t>Анкер HUS6x100</t>
  </si>
  <si>
    <t>Компания HILTI</t>
  </si>
  <si>
    <t>Бетон тяжелый класса В25 W6 F150</t>
  </si>
  <si>
    <t>Арматура ø6 А240, L=4660</t>
  </si>
  <si>
    <t>Арматура ø6 А240, L=780</t>
  </si>
  <si>
    <t>Арматура ø6 А240, L=1390</t>
  </si>
  <si>
    <t>Арматура ø6 А240, L=900</t>
  </si>
  <si>
    <t>Арматура ø 14 А500С, L=1950</t>
  </si>
  <si>
    <t>Арматура ø 14 А500С, L=2300</t>
  </si>
  <si>
    <t>Уголок 50х5, L=490</t>
  </si>
  <si>
    <t>Уголок 50х5, L=190</t>
  </si>
  <si>
    <t>Арматура ø6 А240, L=1360</t>
  </si>
  <si>
    <t>Арматура ø20 А500С, L=4620</t>
  </si>
  <si>
    <t>Арматура ø20 А500С, L=5440</t>
  </si>
  <si>
    <t>Арматура ø20 А500С, L=3090</t>
  </si>
  <si>
    <t>Мастика ТехноНиколь №24</t>
  </si>
  <si>
    <t>Грунтовка ТехноНиколь №01</t>
  </si>
  <si>
    <t>Химический анкер HT- RE 500 V3, анкерная шпилька HAS-U5.8 М24х500</t>
  </si>
  <si>
    <t>- L90х7</t>
  </si>
  <si>
    <t>лист б-12</t>
  </si>
  <si>
    <t>лист б-30</t>
  </si>
  <si>
    <t>лист б-8</t>
  </si>
  <si>
    <t xml:space="preserve"> L140X9</t>
  </si>
  <si>
    <t>Анкер-шурупы HUS3-H 10х150</t>
  </si>
  <si>
    <t xml:space="preserve"> Распорный анкер HSL-3M16x25</t>
  </si>
  <si>
    <t>Сталь оцинкованная t=0,6 с полимерным покрытием b=480x1000</t>
  </si>
  <si>
    <t>Сталь оцинкованная t=0,6 с полимерным покрытием b=270x1000</t>
  </si>
  <si>
    <t>Сталь оцинкованная t=0,6 с полимерным покрытием b=195x1000</t>
  </si>
  <si>
    <t>Сталь оцинкованная t=0,6 с полимерным покрытием b=820x1000</t>
  </si>
  <si>
    <t>Сталь оцинкованная t=0,6 с полимерным покрытием</t>
  </si>
  <si>
    <r>
      <t>Стеновае сэндвич-панели 5580х</t>
    </r>
    <r>
      <rPr>
        <sz val="12"/>
        <color rgb="FFFF0000"/>
        <rFont val="Times New Roman"/>
        <family val="1"/>
        <charset val="204"/>
      </rPr>
      <t xml:space="preserve">1020 ошибка в проекте </t>
    </r>
    <r>
      <rPr>
        <sz val="12"/>
        <rFont val="Times New Roman"/>
        <family val="1"/>
        <charset val="204"/>
      </rPr>
      <t>1190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х120 с минераловатным утеплителем толщиной 120 мм с комплектующими элементами</t>
    </r>
  </si>
  <si>
    <t>Арматура ø10 А500С</t>
  </si>
  <si>
    <t>Сетка из арматуры ø4 BpI 100х100</t>
  </si>
  <si>
    <t>Поз.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</si>
</sst>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theme="1"/>
      <name val="Arial"/>
      <family val="2"/>
      <charset val="204"/>
    </font>
    <font>
      <sz val="8"/>
      <color rgb="FF222222"/>
      <name val="Segoe U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0F5FA"/>
        <bgColor indexed="64"/>
      </patternFill>
    </fill>
    <fill>
      <patternFill patternType="solid">
        <fgColor rgb="FFDDE8F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 applyNumberFormat="0" applyFont="0" applyFill="0" applyBorder="0" applyAlignment="0" applyProtection="0">
      <alignment vertical="top"/>
    </xf>
    <xf numFmtId="43" fontId="4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51">
    <xf numFmtId="0" fontId="0" fillId="0" borderId="0" xfId="0"/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5" fillId="0" borderId="1" xfId="1" applyNumberFormat="1" applyFont="1" applyFill="1" applyBorder="1" applyAlignment="1" applyProtection="1">
      <alignment horizontal="center" vertical="center" wrapText="1"/>
    </xf>
    <xf numFmtId="0" fontId="5" fillId="0" borderId="1" xfId="1" applyNumberFormat="1" applyFont="1" applyFill="1" applyBorder="1" applyAlignment="1" applyProtection="1">
      <alignment horizontal="left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43" fontId="6" fillId="0" borderId="1" xfId="2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1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wrapText="1"/>
    </xf>
    <xf numFmtId="164" fontId="9" fillId="0" borderId="0" xfId="0" applyNumberFormat="1" applyFont="1" applyBorder="1" applyAlignment="1">
      <alignment wrapText="1"/>
    </xf>
    <xf numFmtId="164" fontId="10" fillId="0" borderId="0" xfId="0" applyNumberFormat="1" applyFont="1" applyAlignment="1">
      <alignment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wrapText="1"/>
    </xf>
    <xf numFmtId="0" fontId="8" fillId="5" borderId="1" xfId="1" applyNumberFormat="1" applyFont="1" applyFill="1" applyBorder="1" applyAlignment="1" applyProtection="1">
      <alignment horizontal="center" vertical="center" wrapText="1"/>
    </xf>
    <xf numFmtId="0" fontId="8" fillId="5" borderId="1" xfId="1" applyNumberFormat="1" applyFont="1" applyFill="1" applyBorder="1" applyAlignment="1" applyProtection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1" fillId="0" borderId="0" xfId="3" applyAlignment="1">
      <alignment wrapText="1"/>
    </xf>
    <xf numFmtId="0" fontId="6" fillId="0" borderId="1" xfId="0" applyFont="1" applyBorder="1" applyAlignment="1">
      <alignment horizontal="center" vertical="center" wrapText="1"/>
    </xf>
    <xf numFmtId="14" fontId="6" fillId="6" borderId="1" xfId="0" applyNumberFormat="1" applyFont="1" applyFill="1" applyBorder="1" applyAlignment="1">
      <alignment horizontal="center" vertical="center" wrapText="1"/>
    </xf>
    <xf numFmtId="0" fontId="5" fillId="2" borderId="1" xfId="1" applyNumberFormat="1" applyFont="1" applyFill="1" applyBorder="1" applyAlignment="1" applyProtection="1">
      <alignment horizontal="center" vertical="center" wrapText="1"/>
    </xf>
    <xf numFmtId="0" fontId="5" fillId="2" borderId="1" xfId="1" applyNumberFormat="1" applyFont="1" applyFill="1" applyBorder="1" applyAlignment="1" applyProtection="1">
      <alignment horizontal="left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3" fontId="6" fillId="2" borderId="1" xfId="2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9" fillId="2" borderId="0" xfId="0" applyNumberFormat="1" applyFont="1" applyFill="1" applyBorder="1" applyAlignment="1">
      <alignment wrapText="1"/>
    </xf>
    <xf numFmtId="0" fontId="9" fillId="2" borderId="0" xfId="0" applyFont="1" applyFill="1" applyAlignment="1">
      <alignment wrapText="1"/>
    </xf>
    <xf numFmtId="14" fontId="6" fillId="7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 applyProtection="1">
      <alignment horizontal="center" vertical="center" wrapText="1"/>
    </xf>
    <xf numFmtId="0" fontId="7" fillId="0" borderId="1" xfId="1" applyNumberFormat="1" applyFont="1" applyFill="1" applyBorder="1" applyAlignment="1" applyProtection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43" fontId="7" fillId="0" borderId="1" xfId="2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12" fillId="0" borderId="0" xfId="0" applyNumberFormat="1" applyFont="1" applyBorder="1" applyAlignment="1">
      <alignment wrapText="1"/>
    </xf>
    <xf numFmtId="0" fontId="12" fillId="0" borderId="0" xfId="0" applyFont="1" applyAlignment="1">
      <alignment wrapText="1"/>
    </xf>
    <xf numFmtId="0" fontId="5" fillId="7" borderId="1" xfId="1" applyNumberFormat="1" applyFont="1" applyFill="1" applyBorder="1" applyAlignment="1" applyProtection="1">
      <alignment horizontal="center" vertical="center" wrapText="1"/>
    </xf>
    <xf numFmtId="0" fontId="5" fillId="7" borderId="1" xfId="1" applyNumberFormat="1" applyFont="1" applyFill="1" applyBorder="1" applyAlignment="1" applyProtection="1">
      <alignment horizontal="left" vertical="center" wrapText="1"/>
    </xf>
    <xf numFmtId="43" fontId="6" fillId="7" borderId="1" xfId="2" applyFont="1" applyFill="1" applyBorder="1" applyAlignment="1">
      <alignment horizontal="center" vertical="center" wrapText="1"/>
    </xf>
    <xf numFmtId="164" fontId="6" fillId="7" borderId="1" xfId="0" applyNumberFormat="1" applyFont="1" applyFill="1" applyBorder="1" applyAlignment="1">
      <alignment horizontal="center" vertical="center" wrapText="1"/>
    </xf>
    <xf numFmtId="164" fontId="9" fillId="7" borderId="0" xfId="0" applyNumberFormat="1" applyFont="1" applyFill="1" applyBorder="1" applyAlignment="1">
      <alignment wrapText="1"/>
    </xf>
    <xf numFmtId="0" fontId="9" fillId="7" borderId="0" xfId="0" applyFont="1" applyFill="1" applyAlignment="1">
      <alignment wrapText="1"/>
    </xf>
  </cellXfs>
  <cellStyles count="4">
    <cellStyle name="Гиперссылка" xfId="3" builtinId="8"/>
    <cellStyle name="Обычный" xfId="0" builtinId="0"/>
    <cellStyle name="Обычный_Лист1" xfId="1" xr:uid="{1FB29B9C-AB9E-487F-96B0-BD89C59D6E81}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hop.tn.ru/hrs-tehnopleks-1180h580h100-l-mm-4-plity?ysclid=lnxj4dn1tl4361896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71DD6-43B4-4577-AE4A-116BEA9F8AC0}">
  <dimension ref="A1:M89"/>
  <sheetViews>
    <sheetView tabSelected="1" zoomScaleNormal="100" workbookViewId="0">
      <pane ySplit="1" topLeftCell="A2" activePane="bottomLeft" state="frozen"/>
      <selection pane="bottomLeft" activeCell="B4" sqref="B4"/>
    </sheetView>
  </sheetViews>
  <sheetFormatPr defaultRowHeight="15.6" x14ac:dyDescent="0.3"/>
  <cols>
    <col min="1" max="1" width="8.88671875" style="20"/>
    <col min="2" max="2" width="54.109375" style="21" customWidth="1"/>
    <col min="3" max="3" width="21" style="17" customWidth="1"/>
    <col min="4" max="4" width="10.21875" style="17" customWidth="1"/>
    <col min="5" max="5" width="9.88671875" style="17" customWidth="1"/>
    <col min="6" max="6" width="8.88671875" style="17"/>
    <col min="7" max="7" width="19.109375" style="17" customWidth="1"/>
    <col min="8" max="8" width="12.33203125" style="17" customWidth="1"/>
    <col min="9" max="9" width="18.88671875" style="17" customWidth="1"/>
    <col min="10" max="10" width="13.21875" style="17" customWidth="1"/>
    <col min="11" max="11" width="17.109375" style="17" customWidth="1"/>
    <col min="12" max="12" width="14.77734375" style="17" customWidth="1"/>
    <col min="13" max="13" width="113.5546875" style="17" customWidth="1"/>
    <col min="14" max="16384" width="8.88671875" style="17"/>
  </cols>
  <sheetData>
    <row r="1" spans="1:13" ht="62.4" x14ac:dyDescent="0.3">
      <c r="A1" s="22" t="s">
        <v>200</v>
      </c>
      <c r="B1" s="23" t="s">
        <v>0</v>
      </c>
      <c r="C1" s="22" t="s">
        <v>4</v>
      </c>
      <c r="D1" s="22" t="s">
        <v>7</v>
      </c>
      <c r="E1" s="22" t="s">
        <v>10</v>
      </c>
      <c r="F1" s="22" t="s">
        <v>11</v>
      </c>
      <c r="G1" s="22" t="s">
        <v>130</v>
      </c>
      <c r="H1" s="22" t="s">
        <v>132</v>
      </c>
      <c r="I1" s="22" t="s">
        <v>12</v>
      </c>
      <c r="J1" s="22" t="s">
        <v>141</v>
      </c>
      <c r="K1" s="22" t="s">
        <v>142</v>
      </c>
      <c r="L1" s="16"/>
    </row>
    <row r="2" spans="1:13" ht="31.2" x14ac:dyDescent="0.3">
      <c r="A2" s="10">
        <v>1</v>
      </c>
      <c r="B2" s="11" t="s">
        <v>124</v>
      </c>
      <c r="C2" s="10"/>
      <c r="D2" s="10" t="s">
        <v>8</v>
      </c>
      <c r="E2" s="10">
        <v>1</v>
      </c>
      <c r="F2" s="10"/>
      <c r="G2" s="10"/>
      <c r="H2" s="27"/>
      <c r="I2" s="15"/>
      <c r="J2" s="13">
        <v>220000</v>
      </c>
      <c r="K2" s="14">
        <f>J2*E2</f>
        <v>220000</v>
      </c>
      <c r="L2" s="18"/>
    </row>
    <row r="3" spans="1:13" ht="46.8" x14ac:dyDescent="0.3">
      <c r="A3" s="10">
        <v>2</v>
      </c>
      <c r="B3" s="11" t="s">
        <v>125</v>
      </c>
      <c r="C3" s="10"/>
      <c r="D3" s="10" t="s">
        <v>8</v>
      </c>
      <c r="E3" s="10">
        <v>11</v>
      </c>
      <c r="F3" s="10"/>
      <c r="G3" s="10" t="s">
        <v>143</v>
      </c>
      <c r="H3" s="12">
        <v>45233</v>
      </c>
      <c r="I3" s="15" t="s">
        <v>131</v>
      </c>
      <c r="J3" s="13">
        <f>3.89*1.19*4000</f>
        <v>18516.400000000001</v>
      </c>
      <c r="K3" s="14">
        <f t="shared" ref="K3:K66" si="0">J3*E3</f>
        <v>203680.40000000002</v>
      </c>
      <c r="L3" s="18"/>
    </row>
    <row r="4" spans="1:13" ht="46.8" x14ac:dyDescent="0.3">
      <c r="A4" s="10">
        <v>3</v>
      </c>
      <c r="B4" s="11" t="s">
        <v>126</v>
      </c>
      <c r="C4" s="10"/>
      <c r="D4" s="10" t="s">
        <v>8</v>
      </c>
      <c r="E4" s="10">
        <v>2</v>
      </c>
      <c r="F4" s="10"/>
      <c r="G4" s="10" t="s">
        <v>143</v>
      </c>
      <c r="H4" s="12">
        <v>45233</v>
      </c>
      <c r="I4" s="15"/>
      <c r="J4" s="13">
        <f>1.89*1.19*4000</f>
        <v>8996.4</v>
      </c>
      <c r="K4" s="14">
        <f t="shared" si="0"/>
        <v>17992.8</v>
      </c>
      <c r="L4" s="18"/>
    </row>
    <row r="5" spans="1:13" ht="46.8" x14ac:dyDescent="0.3">
      <c r="A5" s="10">
        <v>4</v>
      </c>
      <c r="B5" s="11" t="s">
        <v>127</v>
      </c>
      <c r="C5" s="10"/>
      <c r="D5" s="10" t="s">
        <v>8</v>
      </c>
      <c r="E5" s="10">
        <v>2</v>
      </c>
      <c r="F5" s="10"/>
      <c r="G5" s="10" t="s">
        <v>143</v>
      </c>
      <c r="H5" s="12">
        <v>45233</v>
      </c>
      <c r="I5" s="15"/>
      <c r="J5" s="13">
        <f>1.06*1.19*4000</f>
        <v>5045.6000000000004</v>
      </c>
      <c r="K5" s="14">
        <f t="shared" si="0"/>
        <v>10091.200000000001</v>
      </c>
      <c r="L5" s="18"/>
    </row>
    <row r="6" spans="1:13" ht="46.8" x14ac:dyDescent="0.3">
      <c r="A6" s="10">
        <v>5</v>
      </c>
      <c r="B6" s="11" t="s">
        <v>197</v>
      </c>
      <c r="C6" s="10"/>
      <c r="D6" s="10" t="s">
        <v>8</v>
      </c>
      <c r="E6" s="10">
        <v>10</v>
      </c>
      <c r="F6" s="10"/>
      <c r="G6" s="10" t="s">
        <v>143</v>
      </c>
      <c r="H6" s="12">
        <v>45233</v>
      </c>
      <c r="I6" s="15"/>
      <c r="J6" s="13">
        <f>5.58*1.19*4000</f>
        <v>26560.799999999999</v>
      </c>
      <c r="K6" s="14">
        <f t="shared" si="0"/>
        <v>265608</v>
      </c>
      <c r="L6" s="18"/>
    </row>
    <row r="7" spans="1:13" ht="46.8" x14ac:dyDescent="0.3">
      <c r="A7" s="10">
        <v>6</v>
      </c>
      <c r="B7" s="11" t="s">
        <v>128</v>
      </c>
      <c r="C7" s="10"/>
      <c r="D7" s="10" t="s">
        <v>8</v>
      </c>
      <c r="E7" s="10">
        <v>12</v>
      </c>
      <c r="F7" s="10"/>
      <c r="G7" s="10" t="s">
        <v>143</v>
      </c>
      <c r="H7" s="12">
        <v>45233</v>
      </c>
      <c r="I7" s="15"/>
      <c r="J7" s="13">
        <f>5.98*1.19*4000</f>
        <v>28464.799999999999</v>
      </c>
      <c r="K7" s="14">
        <f t="shared" si="0"/>
        <v>341577.6</v>
      </c>
      <c r="L7" s="18"/>
    </row>
    <row r="8" spans="1:13" ht="46.8" x14ac:dyDescent="0.3">
      <c r="A8" s="10">
        <v>7</v>
      </c>
      <c r="B8" s="11" t="s">
        <v>129</v>
      </c>
      <c r="C8" s="10"/>
      <c r="D8" s="10" t="s">
        <v>8</v>
      </c>
      <c r="E8" s="10">
        <v>12</v>
      </c>
      <c r="F8" s="10"/>
      <c r="G8" s="10" t="s">
        <v>143</v>
      </c>
      <c r="H8" s="12">
        <v>45233</v>
      </c>
      <c r="I8" s="15"/>
      <c r="J8" s="13">
        <f>6.22*1.19*4000</f>
        <v>29607.199999999997</v>
      </c>
      <c r="K8" s="14">
        <f t="shared" si="0"/>
        <v>355286.39999999997</v>
      </c>
      <c r="L8" s="18"/>
    </row>
    <row r="9" spans="1:13" x14ac:dyDescent="0.3">
      <c r="A9" s="10">
        <v>8</v>
      </c>
      <c r="B9" s="11" t="s">
        <v>151</v>
      </c>
      <c r="C9" s="10" t="s">
        <v>152</v>
      </c>
      <c r="D9" s="10" t="s">
        <v>8</v>
      </c>
      <c r="E9" s="10">
        <v>100</v>
      </c>
      <c r="F9" s="10"/>
      <c r="G9" s="10" t="s">
        <v>143</v>
      </c>
      <c r="H9" s="12">
        <v>45233</v>
      </c>
      <c r="I9" s="15"/>
      <c r="J9" s="13">
        <v>123</v>
      </c>
      <c r="K9" s="14">
        <f t="shared" si="0"/>
        <v>12300</v>
      </c>
      <c r="L9" s="18"/>
    </row>
    <row r="10" spans="1:13" x14ac:dyDescent="0.3">
      <c r="A10" s="10">
        <v>9</v>
      </c>
      <c r="B10" s="11" t="s">
        <v>153</v>
      </c>
      <c r="C10" s="10" t="s">
        <v>35</v>
      </c>
      <c r="D10" s="10" t="s">
        <v>9</v>
      </c>
      <c r="E10" s="10">
        <v>6.5</v>
      </c>
      <c r="F10" s="10"/>
      <c r="G10" s="10"/>
      <c r="H10" s="15"/>
      <c r="I10" s="15" t="s">
        <v>135</v>
      </c>
      <c r="J10" s="13">
        <f>5200+1000</f>
        <v>6200</v>
      </c>
      <c r="K10" s="14">
        <f t="shared" si="0"/>
        <v>40300</v>
      </c>
      <c r="L10" s="18"/>
    </row>
    <row r="11" spans="1:13" x14ac:dyDescent="0.3">
      <c r="A11" s="10">
        <v>10</v>
      </c>
      <c r="B11" s="11" t="s">
        <v>1</v>
      </c>
      <c r="C11" s="10" t="s">
        <v>35</v>
      </c>
      <c r="D11" s="10" t="s">
        <v>9</v>
      </c>
      <c r="E11" s="10">
        <v>12.4</v>
      </c>
      <c r="F11" s="10"/>
      <c r="G11" s="10"/>
      <c r="H11" s="15"/>
      <c r="I11" s="15" t="s">
        <v>135</v>
      </c>
      <c r="J11" s="13">
        <f>5100+1000</f>
        <v>6100</v>
      </c>
      <c r="K11" s="14">
        <f t="shared" si="0"/>
        <v>75640</v>
      </c>
      <c r="L11" s="18"/>
    </row>
    <row r="12" spans="1:13" x14ac:dyDescent="0.3">
      <c r="A12" s="10">
        <v>11</v>
      </c>
      <c r="B12" s="11" t="s">
        <v>2</v>
      </c>
      <c r="C12" s="10" t="s">
        <v>5</v>
      </c>
      <c r="D12" s="10" t="s">
        <v>9</v>
      </c>
      <c r="E12" s="10">
        <v>0.15</v>
      </c>
      <c r="F12" s="10"/>
      <c r="G12" s="10"/>
      <c r="H12" s="15"/>
      <c r="I12" s="15" t="s">
        <v>136</v>
      </c>
      <c r="J12" s="13">
        <f>5100+1000</f>
        <v>6100</v>
      </c>
      <c r="K12" s="14">
        <f t="shared" si="0"/>
        <v>915</v>
      </c>
      <c r="L12" s="18"/>
    </row>
    <row r="13" spans="1:13" x14ac:dyDescent="0.3">
      <c r="A13" s="10">
        <v>12</v>
      </c>
      <c r="B13" s="11" t="s">
        <v>3</v>
      </c>
      <c r="C13" s="10" t="s">
        <v>5</v>
      </c>
      <c r="D13" s="10" t="s">
        <v>9</v>
      </c>
      <c r="E13" s="10">
        <v>3</v>
      </c>
      <c r="F13" s="10"/>
      <c r="G13" s="10"/>
      <c r="H13" s="15"/>
      <c r="I13" s="15" t="s">
        <v>136</v>
      </c>
      <c r="J13" s="13">
        <f>5200+1000</f>
        <v>6200</v>
      </c>
      <c r="K13" s="14">
        <f t="shared" si="0"/>
        <v>18600</v>
      </c>
      <c r="L13" s="18"/>
    </row>
    <row r="14" spans="1:13" x14ac:dyDescent="0.3">
      <c r="A14" s="10">
        <v>13</v>
      </c>
      <c r="B14" s="11" t="s">
        <v>154</v>
      </c>
      <c r="C14" s="10" t="s">
        <v>6</v>
      </c>
      <c r="D14" s="10" t="s">
        <v>9</v>
      </c>
      <c r="E14" s="10">
        <v>28.6</v>
      </c>
      <c r="F14" s="10"/>
      <c r="G14" s="10"/>
      <c r="H14" s="15"/>
      <c r="I14" s="15" t="s">
        <v>137</v>
      </c>
      <c r="J14" s="13">
        <v>3000</v>
      </c>
      <c r="K14" s="14">
        <f t="shared" si="0"/>
        <v>85800</v>
      </c>
      <c r="L14" s="18"/>
    </row>
    <row r="15" spans="1:13" x14ac:dyDescent="0.3">
      <c r="A15" s="10">
        <v>14</v>
      </c>
      <c r="B15" s="11" t="s">
        <v>156</v>
      </c>
      <c r="C15" s="10" t="s">
        <v>24</v>
      </c>
      <c r="D15" s="10" t="s">
        <v>9</v>
      </c>
      <c r="E15" s="10">
        <v>5.71</v>
      </c>
      <c r="F15" s="10"/>
      <c r="G15" s="10"/>
      <c r="H15" s="15"/>
      <c r="I15" s="15" t="s">
        <v>137</v>
      </c>
      <c r="J15" s="13">
        <f>5000*2.5+1000</f>
        <v>13500</v>
      </c>
      <c r="K15" s="14">
        <f t="shared" si="0"/>
        <v>77085</v>
      </c>
      <c r="L15" s="18"/>
      <c r="M15" s="17" t="s">
        <v>144</v>
      </c>
    </row>
    <row r="16" spans="1:13" x14ac:dyDescent="0.3">
      <c r="A16" s="10">
        <v>15</v>
      </c>
      <c r="B16" s="11" t="s">
        <v>157</v>
      </c>
      <c r="C16" s="10" t="s">
        <v>25</v>
      </c>
      <c r="D16" s="10" t="s">
        <v>9</v>
      </c>
      <c r="E16" s="10">
        <v>1.4</v>
      </c>
      <c r="F16" s="10"/>
      <c r="G16" s="10"/>
      <c r="H16" s="15"/>
      <c r="I16" s="15" t="s">
        <v>136</v>
      </c>
      <c r="J16" s="13">
        <f>3000/0.27</f>
        <v>11111.111111111109</v>
      </c>
      <c r="K16" s="14">
        <f t="shared" si="0"/>
        <v>15555.555555555553</v>
      </c>
      <c r="L16" s="18"/>
      <c r="M16" s="25" t="s">
        <v>145</v>
      </c>
    </row>
    <row r="17" spans="1:13" ht="31.2" x14ac:dyDescent="0.3">
      <c r="A17" s="10">
        <v>16</v>
      </c>
      <c r="B17" s="11" t="s">
        <v>13</v>
      </c>
      <c r="C17" s="10" t="s">
        <v>26</v>
      </c>
      <c r="D17" s="10" t="s">
        <v>9</v>
      </c>
      <c r="E17" s="10">
        <v>0.7</v>
      </c>
      <c r="F17" s="10"/>
      <c r="G17" s="10"/>
      <c r="H17" s="15"/>
      <c r="I17" s="15" t="s">
        <v>139</v>
      </c>
      <c r="J17" s="13">
        <f>2800/0.27</f>
        <v>10370.37037037037</v>
      </c>
      <c r="K17" s="14">
        <f t="shared" si="0"/>
        <v>7259.2592592592591</v>
      </c>
      <c r="L17" s="18"/>
    </row>
    <row r="18" spans="1:13" s="44" customFormat="1" x14ac:dyDescent="0.3">
      <c r="A18" s="38">
        <v>17</v>
      </c>
      <c r="B18" s="39" t="s">
        <v>158</v>
      </c>
      <c r="C18" s="38" t="s">
        <v>27</v>
      </c>
      <c r="D18" s="38" t="s">
        <v>36</v>
      </c>
      <c r="E18" s="38">
        <v>250</v>
      </c>
      <c r="F18" s="38">
        <v>0.39500000000000002</v>
      </c>
      <c r="G18" s="38"/>
      <c r="H18" s="40"/>
      <c r="I18" s="40" t="s">
        <v>135</v>
      </c>
      <c r="J18" s="41">
        <f>140/3</f>
        <v>46.666666666666664</v>
      </c>
      <c r="K18" s="42">
        <f t="shared" si="0"/>
        <v>11666.666666666666</v>
      </c>
      <c r="L18" s="43"/>
      <c r="M18" s="44" t="s">
        <v>146</v>
      </c>
    </row>
    <row r="19" spans="1:13" s="44" customFormat="1" x14ac:dyDescent="0.3">
      <c r="A19" s="38">
        <v>18</v>
      </c>
      <c r="B19" s="39" t="s">
        <v>198</v>
      </c>
      <c r="C19" s="38" t="s">
        <v>27</v>
      </c>
      <c r="D19" s="38" t="s">
        <v>36</v>
      </c>
      <c r="E19" s="38">
        <v>1493.6</v>
      </c>
      <c r="F19" s="38">
        <v>0.61699999999999999</v>
      </c>
      <c r="G19" s="38"/>
      <c r="H19" s="40"/>
      <c r="I19" s="40" t="s">
        <v>135</v>
      </c>
      <c r="J19" s="41">
        <f>204/2.9</f>
        <v>70.344827586206904</v>
      </c>
      <c r="K19" s="42">
        <f t="shared" si="0"/>
        <v>105067.03448275862</v>
      </c>
      <c r="L19" s="43"/>
    </row>
    <row r="20" spans="1:13" s="44" customFormat="1" x14ac:dyDescent="0.3">
      <c r="A20" s="38">
        <v>19</v>
      </c>
      <c r="B20" s="39" t="s">
        <v>199</v>
      </c>
      <c r="C20" s="38" t="s">
        <v>28</v>
      </c>
      <c r="D20" s="38" t="s">
        <v>37</v>
      </c>
      <c r="E20" s="38">
        <v>57</v>
      </c>
      <c r="F20" s="38">
        <v>2</v>
      </c>
      <c r="G20" s="38"/>
      <c r="H20" s="40"/>
      <c r="I20" s="40" t="s">
        <v>137</v>
      </c>
      <c r="J20" s="41">
        <v>110</v>
      </c>
      <c r="K20" s="42">
        <f t="shared" si="0"/>
        <v>6270</v>
      </c>
      <c r="L20" s="43"/>
      <c r="M20" s="44" t="s">
        <v>147</v>
      </c>
    </row>
    <row r="21" spans="1:13" x14ac:dyDescent="0.3">
      <c r="A21" s="10">
        <v>20</v>
      </c>
      <c r="B21" s="11" t="s">
        <v>14</v>
      </c>
      <c r="C21" s="10" t="s">
        <v>29</v>
      </c>
      <c r="D21" s="10" t="s">
        <v>36</v>
      </c>
      <c r="E21" s="10">
        <v>19.2</v>
      </c>
      <c r="F21" s="10">
        <v>5.8</v>
      </c>
      <c r="G21" s="10"/>
      <c r="H21" s="15"/>
      <c r="I21" s="15" t="s">
        <v>139</v>
      </c>
      <c r="J21" s="13">
        <f>1822/3</f>
        <v>607.33333333333337</v>
      </c>
      <c r="K21" s="14">
        <f t="shared" si="0"/>
        <v>11660.800000000001</v>
      </c>
      <c r="L21" s="18"/>
    </row>
    <row r="22" spans="1:13" x14ac:dyDescent="0.3">
      <c r="A22" s="10">
        <v>21</v>
      </c>
      <c r="B22" s="11" t="s">
        <v>15</v>
      </c>
      <c r="C22" s="10" t="s">
        <v>30</v>
      </c>
      <c r="D22" s="10" t="s">
        <v>9</v>
      </c>
      <c r="E22" s="10">
        <v>0.63</v>
      </c>
      <c r="F22" s="10"/>
      <c r="G22" s="10"/>
      <c r="H22" s="15"/>
      <c r="I22" s="15" t="s">
        <v>140</v>
      </c>
      <c r="J22" s="13">
        <f>3900/0.02</f>
        <v>195000</v>
      </c>
      <c r="K22" s="14">
        <f t="shared" si="0"/>
        <v>122850</v>
      </c>
      <c r="L22" s="18"/>
      <c r="M22" s="17" t="s">
        <v>148</v>
      </c>
    </row>
    <row r="23" spans="1:13" ht="31.2" x14ac:dyDescent="0.3">
      <c r="A23" s="10">
        <v>22</v>
      </c>
      <c r="B23" s="11" t="s">
        <v>159</v>
      </c>
      <c r="C23" s="10" t="s">
        <v>31</v>
      </c>
      <c r="D23" s="10" t="s">
        <v>9</v>
      </c>
      <c r="E23" s="10">
        <v>0.04</v>
      </c>
      <c r="F23" s="10"/>
      <c r="G23" s="10"/>
      <c r="H23" s="15"/>
      <c r="I23" s="15" t="s">
        <v>140</v>
      </c>
      <c r="J23" s="13">
        <f>3900/0.2</f>
        <v>19500</v>
      </c>
      <c r="K23" s="14">
        <f t="shared" si="0"/>
        <v>780</v>
      </c>
      <c r="L23" s="18"/>
    </row>
    <row r="24" spans="1:13" x14ac:dyDescent="0.3">
      <c r="A24" s="10">
        <v>23</v>
      </c>
      <c r="B24" s="11" t="s">
        <v>160</v>
      </c>
      <c r="C24" s="10" t="s">
        <v>32</v>
      </c>
      <c r="D24" s="10" t="s">
        <v>9</v>
      </c>
      <c r="E24" s="10">
        <v>18.11</v>
      </c>
      <c r="F24" s="10"/>
      <c r="G24" s="10"/>
      <c r="H24" s="15"/>
      <c r="I24" s="15" t="s">
        <v>140</v>
      </c>
      <c r="J24" s="13">
        <f>1700/0.2</f>
        <v>8500</v>
      </c>
      <c r="K24" s="14">
        <f t="shared" si="0"/>
        <v>153935</v>
      </c>
      <c r="L24" s="18"/>
    </row>
    <row r="25" spans="1:13" ht="31.2" x14ac:dyDescent="0.3">
      <c r="A25" s="10">
        <v>24</v>
      </c>
      <c r="B25" s="11" t="s">
        <v>16</v>
      </c>
      <c r="C25" s="10" t="s">
        <v>33</v>
      </c>
      <c r="D25" s="10" t="s">
        <v>37</v>
      </c>
      <c r="E25" s="10">
        <v>68</v>
      </c>
      <c r="F25" s="10"/>
      <c r="G25" s="10"/>
      <c r="H25" s="15"/>
      <c r="I25" s="15" t="s">
        <v>140</v>
      </c>
      <c r="J25" s="13">
        <f>400/10*2</f>
        <v>80</v>
      </c>
      <c r="K25" s="14">
        <f t="shared" si="0"/>
        <v>5440</v>
      </c>
      <c r="L25" s="18"/>
    </row>
    <row r="26" spans="1:13" x14ac:dyDescent="0.3">
      <c r="A26" s="10">
        <v>25</v>
      </c>
      <c r="B26" s="11" t="s">
        <v>17</v>
      </c>
      <c r="C26" s="10"/>
      <c r="D26" s="10" t="s">
        <v>38</v>
      </c>
      <c r="E26" s="10">
        <v>6.3</v>
      </c>
      <c r="F26" s="10"/>
      <c r="G26" s="10"/>
      <c r="H26" s="15"/>
      <c r="I26" s="15" t="s">
        <v>138</v>
      </c>
      <c r="J26" s="13">
        <f>3000/16</f>
        <v>187.5</v>
      </c>
      <c r="K26" s="14">
        <f t="shared" si="0"/>
        <v>1181.25</v>
      </c>
      <c r="L26" s="18"/>
    </row>
    <row r="27" spans="1:13" x14ac:dyDescent="0.3">
      <c r="A27" s="10">
        <v>26</v>
      </c>
      <c r="B27" s="11" t="s">
        <v>18</v>
      </c>
      <c r="C27" s="10"/>
      <c r="D27" s="10" t="s">
        <v>38</v>
      </c>
      <c r="E27" s="10">
        <v>6.2</v>
      </c>
      <c r="F27" s="10"/>
      <c r="G27" s="10"/>
      <c r="H27" s="15"/>
      <c r="I27" s="15" t="s">
        <v>138</v>
      </c>
      <c r="J27" s="13">
        <f>5500/9</f>
        <v>611.11111111111109</v>
      </c>
      <c r="K27" s="14">
        <f t="shared" si="0"/>
        <v>3788.8888888888887</v>
      </c>
      <c r="L27" s="18"/>
    </row>
    <row r="28" spans="1:13" ht="31.2" x14ac:dyDescent="0.3">
      <c r="A28" s="10">
        <v>27</v>
      </c>
      <c r="B28" s="11" t="s">
        <v>19</v>
      </c>
      <c r="C28" s="10"/>
      <c r="D28" s="10" t="s">
        <v>37</v>
      </c>
      <c r="E28" s="10">
        <v>64.2</v>
      </c>
      <c r="F28" s="10"/>
      <c r="G28" s="10"/>
      <c r="H28" s="15"/>
      <c r="I28" s="15" t="s">
        <v>138</v>
      </c>
      <c r="J28" s="13">
        <v>40</v>
      </c>
      <c r="K28" s="14">
        <f t="shared" si="0"/>
        <v>2568</v>
      </c>
      <c r="L28" s="18"/>
    </row>
    <row r="29" spans="1:13" ht="31.2" x14ac:dyDescent="0.3">
      <c r="A29" s="10">
        <v>28</v>
      </c>
      <c r="B29" s="11" t="s">
        <v>161</v>
      </c>
      <c r="C29" s="10"/>
      <c r="D29" s="10" t="s">
        <v>9</v>
      </c>
      <c r="E29" s="10">
        <v>3</v>
      </c>
      <c r="F29" s="10"/>
      <c r="G29" s="10"/>
      <c r="H29" s="15"/>
      <c r="I29" s="15" t="s">
        <v>140</v>
      </c>
      <c r="J29" s="13">
        <f>1100/0.288</f>
        <v>3819.4444444444448</v>
      </c>
      <c r="K29" s="14">
        <f t="shared" si="0"/>
        <v>11458.333333333334</v>
      </c>
      <c r="L29" s="18"/>
    </row>
    <row r="30" spans="1:13" ht="31.2" x14ac:dyDescent="0.3">
      <c r="A30" s="10">
        <v>29</v>
      </c>
      <c r="B30" s="11" t="s">
        <v>162</v>
      </c>
      <c r="C30" s="10"/>
      <c r="D30" s="10" t="s">
        <v>9</v>
      </c>
      <c r="E30" s="10">
        <v>3</v>
      </c>
      <c r="F30" s="10"/>
      <c r="G30" s="10"/>
      <c r="H30" s="15"/>
      <c r="I30" s="15" t="s">
        <v>140</v>
      </c>
      <c r="J30" s="13">
        <f>1100/0.288</f>
        <v>3819.4444444444448</v>
      </c>
      <c r="K30" s="14">
        <f t="shared" si="0"/>
        <v>11458.333333333334</v>
      </c>
      <c r="L30" s="18"/>
    </row>
    <row r="31" spans="1:13" x14ac:dyDescent="0.3">
      <c r="A31" s="10">
        <v>30</v>
      </c>
      <c r="B31" s="11" t="s">
        <v>20</v>
      </c>
      <c r="C31" s="10"/>
      <c r="D31" s="10" t="s">
        <v>39</v>
      </c>
      <c r="E31" s="10">
        <v>20</v>
      </c>
      <c r="F31" s="10"/>
      <c r="G31" s="10"/>
      <c r="H31" s="15"/>
      <c r="I31" s="15" t="s">
        <v>135</v>
      </c>
      <c r="J31" s="13">
        <f>4000/20</f>
        <v>200</v>
      </c>
      <c r="K31" s="14">
        <f t="shared" si="0"/>
        <v>4000</v>
      </c>
      <c r="L31" s="18"/>
    </row>
    <row r="32" spans="1:13" x14ac:dyDescent="0.3">
      <c r="A32" s="10">
        <v>31</v>
      </c>
      <c r="B32" s="11" t="s">
        <v>163</v>
      </c>
      <c r="C32" s="10" t="s">
        <v>34</v>
      </c>
      <c r="D32" s="10" t="s">
        <v>8</v>
      </c>
      <c r="E32" s="10">
        <v>100</v>
      </c>
      <c r="F32" s="10"/>
      <c r="G32" s="10"/>
      <c r="H32" s="15"/>
      <c r="I32" s="15" t="s">
        <v>135</v>
      </c>
      <c r="J32" s="13">
        <v>123</v>
      </c>
      <c r="K32" s="14">
        <f t="shared" si="0"/>
        <v>12300</v>
      </c>
      <c r="L32" s="18"/>
    </row>
    <row r="33" spans="1:13" x14ac:dyDescent="0.3">
      <c r="A33" s="10">
        <v>32</v>
      </c>
      <c r="B33" s="11" t="s">
        <v>164</v>
      </c>
      <c r="C33" s="10"/>
      <c r="D33" s="10" t="s">
        <v>38</v>
      </c>
      <c r="E33" s="10">
        <v>40</v>
      </c>
      <c r="F33" s="10"/>
      <c r="G33" s="10"/>
      <c r="H33" s="15"/>
      <c r="I33" s="15" t="s">
        <v>139</v>
      </c>
      <c r="J33" s="13">
        <v>220</v>
      </c>
      <c r="K33" s="14">
        <f t="shared" si="0"/>
        <v>8800</v>
      </c>
      <c r="L33" s="18"/>
    </row>
    <row r="34" spans="1:13" x14ac:dyDescent="0.3">
      <c r="A34" s="10">
        <v>33</v>
      </c>
      <c r="B34" s="11" t="s">
        <v>165</v>
      </c>
      <c r="C34" s="10"/>
      <c r="D34" s="10" t="s">
        <v>38</v>
      </c>
      <c r="E34" s="10">
        <v>5.3</v>
      </c>
      <c r="F34" s="10"/>
      <c r="G34" s="10"/>
      <c r="H34" s="15"/>
      <c r="I34" s="15" t="s">
        <v>139</v>
      </c>
      <c r="J34" s="13">
        <v>910</v>
      </c>
      <c r="K34" s="14">
        <f t="shared" si="0"/>
        <v>4823</v>
      </c>
      <c r="L34" s="18"/>
    </row>
    <row r="35" spans="1:13" x14ac:dyDescent="0.3">
      <c r="A35" s="10">
        <v>34</v>
      </c>
      <c r="B35" s="11" t="s">
        <v>166</v>
      </c>
      <c r="C35" s="10"/>
      <c r="D35" s="10" t="s">
        <v>38</v>
      </c>
      <c r="E35" s="10">
        <v>792</v>
      </c>
      <c r="F35" s="10"/>
      <c r="G35" s="10"/>
      <c r="H35" s="15"/>
      <c r="I35" s="15" t="s">
        <v>139</v>
      </c>
      <c r="J35" s="13">
        <f>1100/30</f>
        <v>36.666666666666664</v>
      </c>
      <c r="K35" s="14">
        <f t="shared" si="0"/>
        <v>29039.999999999996</v>
      </c>
      <c r="L35" s="18"/>
      <c r="M35" s="17" t="s">
        <v>149</v>
      </c>
    </row>
    <row r="36" spans="1:13" x14ac:dyDescent="0.3">
      <c r="A36" s="10">
        <v>35</v>
      </c>
      <c r="B36" s="11" t="s">
        <v>167</v>
      </c>
      <c r="C36" s="10" t="s">
        <v>168</v>
      </c>
      <c r="D36" s="10" t="s">
        <v>8</v>
      </c>
      <c r="E36" s="10">
        <v>185</v>
      </c>
      <c r="F36" s="10"/>
      <c r="G36" s="10"/>
      <c r="H36" s="15"/>
      <c r="I36" s="15" t="s">
        <v>139</v>
      </c>
      <c r="J36" s="13">
        <v>100</v>
      </c>
      <c r="K36" s="14">
        <f t="shared" si="0"/>
        <v>18500</v>
      </c>
      <c r="L36" s="18"/>
    </row>
    <row r="37" spans="1:13" x14ac:dyDescent="0.3">
      <c r="A37" s="10">
        <v>36</v>
      </c>
      <c r="B37" s="11" t="s">
        <v>21</v>
      </c>
      <c r="C37" s="10" t="s">
        <v>168</v>
      </c>
      <c r="D37" s="10" t="s">
        <v>8</v>
      </c>
      <c r="E37" s="10">
        <v>563</v>
      </c>
      <c r="F37" s="10"/>
      <c r="G37" s="10"/>
      <c r="H37" s="15"/>
      <c r="I37" s="15" t="s">
        <v>135</v>
      </c>
      <c r="J37" s="13">
        <v>7</v>
      </c>
      <c r="K37" s="14">
        <f t="shared" si="0"/>
        <v>3941</v>
      </c>
      <c r="L37" s="18"/>
    </row>
    <row r="38" spans="1:13" x14ac:dyDescent="0.3">
      <c r="A38" s="10">
        <v>37</v>
      </c>
      <c r="B38" s="11" t="s">
        <v>22</v>
      </c>
      <c r="C38" s="10"/>
      <c r="D38" s="10"/>
      <c r="E38" s="10"/>
      <c r="F38" s="10"/>
      <c r="G38" s="10"/>
      <c r="H38" s="15"/>
      <c r="I38" s="15"/>
      <c r="J38" s="13"/>
      <c r="K38" s="14">
        <f t="shared" si="0"/>
        <v>0</v>
      </c>
      <c r="L38" s="18"/>
    </row>
    <row r="39" spans="1:13" x14ac:dyDescent="0.3">
      <c r="A39" s="10">
        <v>38</v>
      </c>
      <c r="B39" s="11" t="s">
        <v>23</v>
      </c>
      <c r="C39" s="10"/>
      <c r="D39" s="10"/>
      <c r="E39" s="10"/>
      <c r="F39" s="10"/>
      <c r="G39" s="10"/>
      <c r="H39" s="15"/>
      <c r="I39" s="15"/>
      <c r="J39" s="13"/>
      <c r="K39" s="14">
        <f t="shared" si="0"/>
        <v>0</v>
      </c>
      <c r="L39" s="18"/>
    </row>
    <row r="40" spans="1:13" x14ac:dyDescent="0.3">
      <c r="A40" s="10">
        <v>39</v>
      </c>
      <c r="B40" s="11" t="s">
        <v>169</v>
      </c>
      <c r="C40" s="10" t="s">
        <v>35</v>
      </c>
      <c r="D40" s="10" t="s">
        <v>9</v>
      </c>
      <c r="E40" s="10">
        <v>5.18</v>
      </c>
      <c r="F40" s="10"/>
      <c r="G40" s="10"/>
      <c r="H40" s="15"/>
      <c r="I40" s="26" t="s">
        <v>135</v>
      </c>
      <c r="J40" s="13">
        <f>5200+1000</f>
        <v>6200</v>
      </c>
      <c r="K40" s="14">
        <f t="shared" si="0"/>
        <v>32116</v>
      </c>
      <c r="L40" s="18"/>
    </row>
    <row r="41" spans="1:13" s="44" customFormat="1" x14ac:dyDescent="0.3">
      <c r="A41" s="38">
        <v>40</v>
      </c>
      <c r="B41" s="39" t="s">
        <v>170</v>
      </c>
      <c r="C41" s="38" t="s">
        <v>27</v>
      </c>
      <c r="D41" s="38" t="s">
        <v>8</v>
      </c>
      <c r="E41" s="38">
        <v>14</v>
      </c>
      <c r="F41" s="38">
        <v>1.03</v>
      </c>
      <c r="G41" s="38"/>
      <c r="H41" s="40"/>
      <c r="I41" s="26"/>
      <c r="J41" s="41">
        <f>200/2.9*4.66</f>
        <v>321.37931034482762</v>
      </c>
      <c r="K41" s="42">
        <f t="shared" si="0"/>
        <v>4499.310344827587</v>
      </c>
      <c r="L41" s="43"/>
    </row>
    <row r="42" spans="1:13" s="44" customFormat="1" x14ac:dyDescent="0.3">
      <c r="A42" s="38">
        <v>41</v>
      </c>
      <c r="B42" s="39" t="s">
        <v>171</v>
      </c>
      <c r="C42" s="38" t="s">
        <v>27</v>
      </c>
      <c r="D42" s="38" t="s">
        <v>8</v>
      </c>
      <c r="E42" s="38">
        <v>28</v>
      </c>
      <c r="F42" s="38">
        <v>0.17</v>
      </c>
      <c r="G42" s="38"/>
      <c r="H42" s="40"/>
      <c r="I42" s="26"/>
      <c r="J42" s="41">
        <f>200/2.9*0.78</f>
        <v>53.793103448275872</v>
      </c>
      <c r="K42" s="42">
        <f t="shared" si="0"/>
        <v>1506.2068965517244</v>
      </c>
      <c r="L42" s="43"/>
    </row>
    <row r="43" spans="1:13" s="44" customFormat="1" x14ac:dyDescent="0.3">
      <c r="A43" s="38">
        <v>42</v>
      </c>
      <c r="B43" s="39" t="s">
        <v>172</v>
      </c>
      <c r="C43" s="38" t="s">
        <v>27</v>
      </c>
      <c r="D43" s="38" t="s">
        <v>8</v>
      </c>
      <c r="E43" s="38">
        <v>24</v>
      </c>
      <c r="F43" s="38">
        <v>0.31</v>
      </c>
      <c r="G43" s="38"/>
      <c r="H43" s="40"/>
      <c r="I43" s="26"/>
      <c r="J43" s="41">
        <f>200/2.9*1.39</f>
        <v>95.862068965517238</v>
      </c>
      <c r="K43" s="42">
        <f t="shared" si="0"/>
        <v>2300.6896551724139</v>
      </c>
      <c r="L43" s="43"/>
    </row>
    <row r="44" spans="1:13" s="44" customFormat="1" x14ac:dyDescent="0.3">
      <c r="A44" s="38">
        <v>43</v>
      </c>
      <c r="B44" s="39" t="s">
        <v>173</v>
      </c>
      <c r="C44" s="38" t="s">
        <v>27</v>
      </c>
      <c r="D44" s="38" t="s">
        <v>8</v>
      </c>
      <c r="E44" s="38">
        <v>80</v>
      </c>
      <c r="F44" s="38">
        <v>0.2</v>
      </c>
      <c r="G44" s="38"/>
      <c r="H44" s="40"/>
      <c r="I44" s="26"/>
      <c r="J44" s="41">
        <f>200/2.9*0.9</f>
        <v>62.068965517241388</v>
      </c>
      <c r="K44" s="42">
        <f t="shared" si="0"/>
        <v>4965.5172413793107</v>
      </c>
      <c r="L44" s="43"/>
    </row>
    <row r="45" spans="1:13" s="44" customFormat="1" x14ac:dyDescent="0.3">
      <c r="A45" s="38">
        <v>44</v>
      </c>
      <c r="B45" s="39" t="s">
        <v>174</v>
      </c>
      <c r="C45" s="38" t="s">
        <v>27</v>
      </c>
      <c r="D45" s="38" t="s">
        <v>8</v>
      </c>
      <c r="E45" s="38">
        <v>80</v>
      </c>
      <c r="F45" s="38">
        <v>2.4</v>
      </c>
      <c r="G45" s="38"/>
      <c r="H45" s="40"/>
      <c r="I45" s="26"/>
      <c r="J45" s="41">
        <f>200/2.9*1.95</f>
        <v>134.48275862068965</v>
      </c>
      <c r="K45" s="42">
        <f t="shared" si="0"/>
        <v>10758.620689655172</v>
      </c>
      <c r="L45" s="43"/>
    </row>
    <row r="46" spans="1:13" s="44" customFormat="1" x14ac:dyDescent="0.3">
      <c r="A46" s="38">
        <v>45</v>
      </c>
      <c r="B46" s="39" t="s">
        <v>175</v>
      </c>
      <c r="C46" s="38" t="s">
        <v>27</v>
      </c>
      <c r="D46" s="38" t="s">
        <v>8</v>
      </c>
      <c r="E46" s="38">
        <v>28</v>
      </c>
      <c r="F46" s="38">
        <v>2.78</v>
      </c>
      <c r="G46" s="38"/>
      <c r="H46" s="40"/>
      <c r="I46" s="26"/>
      <c r="J46" s="41">
        <f>200/2.9*2.3</f>
        <v>158.62068965517241</v>
      </c>
      <c r="K46" s="42">
        <f t="shared" si="0"/>
        <v>4441.3793103448279</v>
      </c>
      <c r="L46" s="43"/>
    </row>
    <row r="47" spans="1:13" s="50" customFormat="1" x14ac:dyDescent="0.3">
      <c r="A47" s="45">
        <v>48</v>
      </c>
      <c r="B47" s="46" t="s">
        <v>176</v>
      </c>
      <c r="C47" s="45" t="s">
        <v>48</v>
      </c>
      <c r="D47" s="45" t="s">
        <v>8</v>
      </c>
      <c r="E47" s="45">
        <v>8</v>
      </c>
      <c r="F47" s="45">
        <v>1.85</v>
      </c>
      <c r="G47" s="45"/>
      <c r="H47" s="36">
        <v>45223</v>
      </c>
      <c r="I47" s="26"/>
      <c r="J47" s="47">
        <f>1120/3*0.49</f>
        <v>182.93333333333331</v>
      </c>
      <c r="K47" s="48">
        <f t="shared" si="0"/>
        <v>1463.4666666666665</v>
      </c>
      <c r="L47" s="49"/>
    </row>
    <row r="48" spans="1:13" s="50" customFormat="1" x14ac:dyDescent="0.3">
      <c r="A48" s="45">
        <v>47</v>
      </c>
      <c r="B48" s="46" t="s">
        <v>177</v>
      </c>
      <c r="C48" s="45" t="s">
        <v>48</v>
      </c>
      <c r="D48" s="45" t="s">
        <v>8</v>
      </c>
      <c r="E48" s="45">
        <v>8</v>
      </c>
      <c r="F48" s="45">
        <v>0.72</v>
      </c>
      <c r="G48" s="45"/>
      <c r="H48" s="36">
        <v>45223</v>
      </c>
      <c r="I48" s="26"/>
      <c r="J48" s="47">
        <f>1120/3*0.19</f>
        <v>70.933333333333337</v>
      </c>
      <c r="K48" s="48">
        <f t="shared" si="0"/>
        <v>567.4666666666667</v>
      </c>
      <c r="L48" s="49"/>
    </row>
    <row r="49" spans="1:12" x14ac:dyDescent="0.3">
      <c r="A49" s="10">
        <v>48</v>
      </c>
      <c r="B49" s="11" t="s">
        <v>40</v>
      </c>
      <c r="C49" s="10" t="s">
        <v>49</v>
      </c>
      <c r="D49" s="10" t="s">
        <v>8</v>
      </c>
      <c r="E49" s="10">
        <v>8</v>
      </c>
      <c r="F49" s="10">
        <v>3.42</v>
      </c>
      <c r="G49" s="10" t="s">
        <v>134</v>
      </c>
      <c r="H49" s="12">
        <v>45212</v>
      </c>
      <c r="I49" s="26"/>
      <c r="J49" s="13">
        <f>670+50</f>
        <v>720</v>
      </c>
      <c r="K49" s="14">
        <f t="shared" si="0"/>
        <v>5760</v>
      </c>
      <c r="L49" s="18"/>
    </row>
    <row r="50" spans="1:12" x14ac:dyDescent="0.3">
      <c r="A50" s="10">
        <v>49</v>
      </c>
      <c r="B50" s="11" t="s">
        <v>41</v>
      </c>
      <c r="C50" s="10" t="s">
        <v>35</v>
      </c>
      <c r="D50" s="10" t="s">
        <v>9</v>
      </c>
      <c r="E50" s="10">
        <v>1</v>
      </c>
      <c r="F50" s="10"/>
      <c r="G50" s="10"/>
      <c r="H50" s="15"/>
      <c r="I50" s="26"/>
      <c r="J50" s="13">
        <v>6000</v>
      </c>
      <c r="K50" s="14">
        <f t="shared" si="0"/>
        <v>6000</v>
      </c>
      <c r="L50" s="18"/>
    </row>
    <row r="51" spans="1:12" x14ac:dyDescent="0.3">
      <c r="A51" s="10">
        <v>50</v>
      </c>
      <c r="B51" s="11" t="s">
        <v>42</v>
      </c>
      <c r="C51" s="10" t="s">
        <v>35</v>
      </c>
      <c r="D51" s="10" t="s">
        <v>9</v>
      </c>
      <c r="E51" s="10">
        <v>0.5</v>
      </c>
      <c r="F51" s="10"/>
      <c r="G51" s="10"/>
      <c r="H51" s="15"/>
      <c r="I51" s="26"/>
      <c r="J51" s="13">
        <v>6100</v>
      </c>
      <c r="K51" s="14">
        <f t="shared" si="0"/>
        <v>3050</v>
      </c>
      <c r="L51" s="18"/>
    </row>
    <row r="52" spans="1:12" x14ac:dyDescent="0.3">
      <c r="A52" s="10">
        <v>51</v>
      </c>
      <c r="B52" s="11" t="s">
        <v>43</v>
      </c>
      <c r="C52" s="10" t="s">
        <v>50</v>
      </c>
      <c r="D52" s="10" t="s">
        <v>8</v>
      </c>
      <c r="E52" s="10">
        <v>8</v>
      </c>
      <c r="F52" s="10">
        <v>0.14000000000000001</v>
      </c>
      <c r="G52" s="10"/>
      <c r="H52" s="15"/>
      <c r="I52" s="26"/>
      <c r="J52" s="13"/>
      <c r="K52" s="14">
        <f t="shared" si="0"/>
        <v>0</v>
      </c>
      <c r="L52" s="18"/>
    </row>
    <row r="53" spans="1:12" ht="31.2" x14ac:dyDescent="0.3">
      <c r="A53" s="10">
        <v>52</v>
      </c>
      <c r="B53" s="11" t="s">
        <v>155</v>
      </c>
      <c r="C53" s="10"/>
      <c r="D53" s="10"/>
      <c r="E53" s="10"/>
      <c r="F53" s="10"/>
      <c r="G53" s="10"/>
      <c r="H53" s="15"/>
      <c r="I53" s="26" t="s">
        <v>135</v>
      </c>
      <c r="J53" s="13"/>
      <c r="K53" s="14">
        <f t="shared" si="0"/>
        <v>0</v>
      </c>
      <c r="L53" s="18"/>
    </row>
    <row r="54" spans="1:12" x14ac:dyDescent="0.3">
      <c r="A54" s="10">
        <v>53</v>
      </c>
      <c r="B54" s="11" t="s">
        <v>169</v>
      </c>
      <c r="C54" s="10" t="s">
        <v>35</v>
      </c>
      <c r="D54" s="10" t="s">
        <v>9</v>
      </c>
      <c r="E54" s="10">
        <v>2.7</v>
      </c>
      <c r="F54" s="10"/>
      <c r="G54" s="10"/>
      <c r="H54" s="15"/>
      <c r="I54" s="26"/>
      <c r="J54" s="13">
        <f>5200+1000</f>
        <v>6200</v>
      </c>
      <c r="K54" s="14">
        <f t="shared" si="0"/>
        <v>16740</v>
      </c>
      <c r="L54" s="18"/>
    </row>
    <row r="55" spans="1:12" x14ac:dyDescent="0.3">
      <c r="A55" s="10">
        <v>54</v>
      </c>
      <c r="B55" s="11" t="s">
        <v>41</v>
      </c>
      <c r="C55" s="10" t="s">
        <v>35</v>
      </c>
      <c r="D55" s="10" t="s">
        <v>9</v>
      </c>
      <c r="E55" s="10">
        <v>1.87</v>
      </c>
      <c r="F55" s="10"/>
      <c r="G55" s="10"/>
      <c r="H55" s="15"/>
      <c r="I55" s="26"/>
      <c r="J55" s="13">
        <v>6100</v>
      </c>
      <c r="K55" s="14">
        <f t="shared" si="0"/>
        <v>11407</v>
      </c>
      <c r="L55" s="18"/>
    </row>
    <row r="56" spans="1:12" s="44" customFormat="1" x14ac:dyDescent="0.3">
      <c r="A56" s="38">
        <v>55</v>
      </c>
      <c r="B56" s="39" t="s">
        <v>178</v>
      </c>
      <c r="C56" s="38" t="s">
        <v>27</v>
      </c>
      <c r="D56" s="38" t="s">
        <v>8</v>
      </c>
      <c r="E56" s="38">
        <v>62</v>
      </c>
      <c r="F56" s="38">
        <v>0.3</v>
      </c>
      <c r="G56" s="38"/>
      <c r="H56" s="40"/>
      <c r="I56" s="26"/>
      <c r="J56" s="41">
        <f>200/2.9*1.36</f>
        <v>93.793103448275872</v>
      </c>
      <c r="K56" s="42">
        <f t="shared" si="0"/>
        <v>5815.1724137931042</v>
      </c>
      <c r="L56" s="43"/>
    </row>
    <row r="57" spans="1:12" s="44" customFormat="1" x14ac:dyDescent="0.3">
      <c r="A57" s="38">
        <v>56</v>
      </c>
      <c r="B57" s="39" t="s">
        <v>179</v>
      </c>
      <c r="C57" s="38" t="s">
        <v>27</v>
      </c>
      <c r="D57" s="38" t="s">
        <v>8</v>
      </c>
      <c r="E57" s="38">
        <v>10</v>
      </c>
      <c r="F57" s="38">
        <v>11.41</v>
      </c>
      <c r="G57" s="38"/>
      <c r="H57" s="40"/>
      <c r="I57" s="26"/>
      <c r="J57" s="41">
        <f>760/2.9*4.62</f>
        <v>1210.7586206896553</v>
      </c>
      <c r="K57" s="42">
        <f t="shared" si="0"/>
        <v>12107.586206896554</v>
      </c>
      <c r="L57" s="43"/>
    </row>
    <row r="58" spans="1:12" s="44" customFormat="1" x14ac:dyDescent="0.3">
      <c r="A58" s="38">
        <v>57</v>
      </c>
      <c r="B58" s="39" t="s">
        <v>180</v>
      </c>
      <c r="C58" s="38" t="s">
        <v>27</v>
      </c>
      <c r="D58" s="38" t="s">
        <v>8</v>
      </c>
      <c r="E58" s="38">
        <v>5</v>
      </c>
      <c r="F58" s="38">
        <v>13.44</v>
      </c>
      <c r="G58" s="38"/>
      <c r="H58" s="40"/>
      <c r="I58" s="26"/>
      <c r="J58" s="41">
        <f>760/2.9*5.44</f>
        <v>1425.6551724137933</v>
      </c>
      <c r="K58" s="42">
        <f t="shared" si="0"/>
        <v>7128.2758620689665</v>
      </c>
      <c r="L58" s="43"/>
    </row>
    <row r="59" spans="1:12" s="44" customFormat="1" x14ac:dyDescent="0.3">
      <c r="A59" s="38">
        <v>58</v>
      </c>
      <c r="B59" s="39" t="s">
        <v>181</v>
      </c>
      <c r="C59" s="38" t="s">
        <v>27</v>
      </c>
      <c r="D59" s="38" t="s">
        <v>8</v>
      </c>
      <c r="E59" s="38">
        <v>5</v>
      </c>
      <c r="F59" s="38">
        <v>7.63</v>
      </c>
      <c r="G59" s="38"/>
      <c r="H59" s="40"/>
      <c r="I59" s="26"/>
      <c r="J59" s="41">
        <f>760/2.9*3.09</f>
        <v>809.79310344827593</v>
      </c>
      <c r="K59" s="42">
        <f t="shared" si="0"/>
        <v>4048.9655172413795</v>
      </c>
      <c r="L59" s="43"/>
    </row>
    <row r="60" spans="1:12" x14ac:dyDescent="0.3">
      <c r="A60" s="10">
        <v>59</v>
      </c>
      <c r="B60" s="11" t="s">
        <v>182</v>
      </c>
      <c r="C60" s="10"/>
      <c r="D60" s="10" t="s">
        <v>38</v>
      </c>
      <c r="E60" s="10">
        <v>71.75</v>
      </c>
      <c r="F60" s="10"/>
      <c r="G60" s="10"/>
      <c r="H60" s="15"/>
      <c r="I60" s="15" t="s">
        <v>139</v>
      </c>
      <c r="J60" s="13">
        <f>4300/20</f>
        <v>215</v>
      </c>
      <c r="K60" s="14">
        <f t="shared" si="0"/>
        <v>15426.25</v>
      </c>
      <c r="L60" s="18"/>
    </row>
    <row r="61" spans="1:12" x14ac:dyDescent="0.3">
      <c r="A61" s="10">
        <v>70</v>
      </c>
      <c r="B61" s="11" t="s">
        <v>183</v>
      </c>
      <c r="C61" s="10"/>
      <c r="D61" s="10" t="s">
        <v>38</v>
      </c>
      <c r="E61" s="10">
        <v>15.4</v>
      </c>
      <c r="F61" s="10"/>
      <c r="G61" s="10"/>
      <c r="H61" s="15"/>
      <c r="I61" s="15" t="s">
        <v>139</v>
      </c>
      <c r="J61" s="13">
        <f>4300/20</f>
        <v>215</v>
      </c>
      <c r="K61" s="14">
        <f t="shared" si="0"/>
        <v>3311</v>
      </c>
      <c r="L61" s="18"/>
    </row>
    <row r="62" spans="1:12" s="35" customFormat="1" ht="31.2" x14ac:dyDescent="0.3">
      <c r="A62" s="28">
        <v>71</v>
      </c>
      <c r="B62" s="29" t="s">
        <v>184</v>
      </c>
      <c r="C62" s="28" t="s">
        <v>168</v>
      </c>
      <c r="D62" s="28" t="s">
        <v>8</v>
      </c>
      <c r="E62" s="28">
        <v>8</v>
      </c>
      <c r="F62" s="28"/>
      <c r="G62" s="28"/>
      <c r="H62" s="30">
        <v>45212</v>
      </c>
      <c r="I62" s="31" t="s">
        <v>135</v>
      </c>
      <c r="J62" s="32">
        <v>1407</v>
      </c>
      <c r="K62" s="33">
        <f t="shared" si="0"/>
        <v>11256</v>
      </c>
      <c r="L62" s="34"/>
    </row>
    <row r="63" spans="1:12" s="35" customFormat="1" x14ac:dyDescent="0.3">
      <c r="A63" s="28">
        <v>72</v>
      </c>
      <c r="B63" s="29" t="s">
        <v>44</v>
      </c>
      <c r="C63" s="28"/>
      <c r="D63" s="28"/>
      <c r="E63" s="28"/>
      <c r="F63" s="28"/>
      <c r="G63" s="28" t="s">
        <v>133</v>
      </c>
      <c r="H63" s="30">
        <v>45187</v>
      </c>
      <c r="I63" s="31"/>
      <c r="J63" s="32"/>
      <c r="K63" s="33"/>
      <c r="L63" s="34"/>
    </row>
    <row r="64" spans="1:12" s="35" customFormat="1" x14ac:dyDescent="0.3">
      <c r="A64" s="28">
        <v>73</v>
      </c>
      <c r="B64" s="29" t="s">
        <v>45</v>
      </c>
      <c r="C64" s="28"/>
      <c r="D64" s="28"/>
      <c r="E64" s="28"/>
      <c r="F64" s="28"/>
      <c r="G64" s="28"/>
      <c r="H64" s="31"/>
      <c r="I64" s="31"/>
      <c r="J64" s="32"/>
      <c r="K64" s="33"/>
      <c r="L64" s="34"/>
    </row>
    <row r="65" spans="1:12" s="35" customFormat="1" x14ac:dyDescent="0.3">
      <c r="A65" s="28">
        <v>74</v>
      </c>
      <c r="B65" s="29" t="s">
        <v>46</v>
      </c>
      <c r="C65" s="28" t="s">
        <v>51</v>
      </c>
      <c r="D65" s="28" t="s">
        <v>54</v>
      </c>
      <c r="E65" s="28">
        <v>2.7</v>
      </c>
      <c r="F65" s="28"/>
      <c r="G65" s="28" t="s">
        <v>133</v>
      </c>
      <c r="H65" s="30">
        <v>45187</v>
      </c>
      <c r="I65" s="31"/>
      <c r="J65" s="32">
        <v>175097</v>
      </c>
      <c r="K65" s="33">
        <f t="shared" si="0"/>
        <v>472761.9</v>
      </c>
      <c r="L65" s="34"/>
    </row>
    <row r="66" spans="1:12" s="35" customFormat="1" x14ac:dyDescent="0.3">
      <c r="A66" s="28">
        <v>75</v>
      </c>
      <c r="B66" s="29" t="s">
        <v>47</v>
      </c>
      <c r="C66" s="28" t="s">
        <v>52</v>
      </c>
      <c r="D66" s="28" t="s">
        <v>54</v>
      </c>
      <c r="E66" s="28">
        <v>7.0000000000000007E-2</v>
      </c>
      <c r="F66" s="28"/>
      <c r="G66" s="28" t="s">
        <v>133</v>
      </c>
      <c r="H66" s="30">
        <v>45187</v>
      </c>
      <c r="I66" s="31"/>
      <c r="J66" s="32">
        <v>175097</v>
      </c>
      <c r="K66" s="33">
        <f t="shared" si="0"/>
        <v>12256.79</v>
      </c>
      <c r="L66" s="34"/>
    </row>
    <row r="67" spans="1:12" s="35" customFormat="1" x14ac:dyDescent="0.3">
      <c r="A67" s="28">
        <v>76</v>
      </c>
      <c r="B67" s="29" t="s">
        <v>185</v>
      </c>
      <c r="C67" s="28" t="s">
        <v>48</v>
      </c>
      <c r="D67" s="28" t="s">
        <v>54</v>
      </c>
      <c r="E67" s="28">
        <v>0.2</v>
      </c>
      <c r="F67" s="28"/>
      <c r="G67" s="28" t="s">
        <v>133</v>
      </c>
      <c r="H67" s="30">
        <v>45187</v>
      </c>
      <c r="I67" s="31"/>
      <c r="J67" s="32">
        <v>175097</v>
      </c>
      <c r="K67" s="33">
        <f t="shared" ref="K67:K88" si="1">J67*E67</f>
        <v>35019.4</v>
      </c>
      <c r="L67" s="34"/>
    </row>
    <row r="68" spans="1:12" s="35" customFormat="1" x14ac:dyDescent="0.3">
      <c r="A68" s="28">
        <v>77</v>
      </c>
      <c r="B68" s="29" t="s">
        <v>186</v>
      </c>
      <c r="C68" s="28" t="s">
        <v>53</v>
      </c>
      <c r="D68" s="28" t="s">
        <v>54</v>
      </c>
      <c r="E68" s="28">
        <v>0.06</v>
      </c>
      <c r="F68" s="28"/>
      <c r="G68" s="28" t="s">
        <v>133</v>
      </c>
      <c r="H68" s="30">
        <v>45187</v>
      </c>
      <c r="I68" s="31"/>
      <c r="J68" s="32">
        <v>175097</v>
      </c>
      <c r="K68" s="33">
        <f t="shared" si="1"/>
        <v>10505.82</v>
      </c>
      <c r="L68" s="34"/>
    </row>
    <row r="69" spans="1:12" s="35" customFormat="1" x14ac:dyDescent="0.3">
      <c r="A69" s="28">
        <v>78</v>
      </c>
      <c r="B69" s="29" t="s">
        <v>187</v>
      </c>
      <c r="C69" s="28" t="s">
        <v>53</v>
      </c>
      <c r="D69" s="28" t="s">
        <v>54</v>
      </c>
      <c r="E69" s="28">
        <v>0.18</v>
      </c>
      <c r="F69" s="28"/>
      <c r="G69" s="28" t="s">
        <v>133</v>
      </c>
      <c r="H69" s="30">
        <v>45187</v>
      </c>
      <c r="I69" s="31"/>
      <c r="J69" s="32">
        <v>175097</v>
      </c>
      <c r="K69" s="33">
        <f t="shared" si="1"/>
        <v>31517.46</v>
      </c>
      <c r="L69" s="34"/>
    </row>
    <row r="70" spans="1:12" s="35" customFormat="1" x14ac:dyDescent="0.3">
      <c r="A70" s="28">
        <v>79</v>
      </c>
      <c r="B70" s="29" t="s">
        <v>55</v>
      </c>
      <c r="C70" s="28"/>
      <c r="D70" s="28"/>
      <c r="E70" s="28"/>
      <c r="F70" s="28"/>
      <c r="G70" s="28" t="s">
        <v>133</v>
      </c>
      <c r="H70" s="30">
        <v>45187</v>
      </c>
      <c r="I70" s="31"/>
      <c r="J70" s="32"/>
      <c r="K70" s="33"/>
      <c r="L70" s="34"/>
    </row>
    <row r="71" spans="1:12" s="35" customFormat="1" x14ac:dyDescent="0.3">
      <c r="A71" s="28">
        <v>80</v>
      </c>
      <c r="B71" s="29" t="s">
        <v>56</v>
      </c>
      <c r="C71" s="28" t="s">
        <v>63</v>
      </c>
      <c r="D71" s="28" t="s">
        <v>54</v>
      </c>
      <c r="E71" s="28">
        <v>1.2</v>
      </c>
      <c r="F71" s="28"/>
      <c r="G71" s="28" t="s">
        <v>133</v>
      </c>
      <c r="H71" s="30">
        <v>45187</v>
      </c>
      <c r="I71" s="31"/>
      <c r="J71" s="32">
        <v>175097</v>
      </c>
      <c r="K71" s="33">
        <f t="shared" si="1"/>
        <v>210116.4</v>
      </c>
      <c r="L71" s="34"/>
    </row>
    <row r="72" spans="1:12" s="35" customFormat="1" x14ac:dyDescent="0.3">
      <c r="A72" s="28">
        <v>81</v>
      </c>
      <c r="B72" s="29" t="s">
        <v>188</v>
      </c>
      <c r="C72" s="28" t="s">
        <v>53</v>
      </c>
      <c r="D72" s="28" t="s">
        <v>54</v>
      </c>
      <c r="E72" s="28">
        <v>0.3</v>
      </c>
      <c r="F72" s="28"/>
      <c r="G72" s="28" t="s">
        <v>133</v>
      </c>
      <c r="H72" s="30">
        <v>45187</v>
      </c>
      <c r="I72" s="31"/>
      <c r="J72" s="32">
        <v>175097</v>
      </c>
      <c r="K72" s="33">
        <f t="shared" si="1"/>
        <v>52529.1</v>
      </c>
      <c r="L72" s="34"/>
    </row>
    <row r="73" spans="1:12" s="35" customFormat="1" x14ac:dyDescent="0.3">
      <c r="A73" s="28">
        <v>82</v>
      </c>
      <c r="B73" s="29" t="s">
        <v>57</v>
      </c>
      <c r="C73" s="28"/>
      <c r="D73" s="28"/>
      <c r="E73" s="28"/>
      <c r="F73" s="28"/>
      <c r="G73" s="28" t="s">
        <v>133</v>
      </c>
      <c r="H73" s="30">
        <v>45187</v>
      </c>
      <c r="I73" s="31"/>
      <c r="J73" s="32"/>
      <c r="K73" s="33"/>
      <c r="L73" s="34"/>
    </row>
    <row r="74" spans="1:12" s="35" customFormat="1" x14ac:dyDescent="0.3">
      <c r="A74" s="28">
        <v>83</v>
      </c>
      <c r="B74" s="29" t="s">
        <v>58</v>
      </c>
      <c r="C74" s="28" t="s">
        <v>63</v>
      </c>
      <c r="D74" s="28" t="s">
        <v>54</v>
      </c>
      <c r="E74" s="28">
        <v>0.7</v>
      </c>
      <c r="F74" s="28"/>
      <c r="G74" s="28" t="s">
        <v>133</v>
      </c>
      <c r="H74" s="30">
        <v>45187</v>
      </c>
      <c r="I74" s="31"/>
      <c r="J74" s="32">
        <v>175097</v>
      </c>
      <c r="K74" s="33">
        <f t="shared" si="1"/>
        <v>122567.9</v>
      </c>
      <c r="L74" s="34"/>
    </row>
    <row r="75" spans="1:12" s="35" customFormat="1" x14ac:dyDescent="0.3">
      <c r="A75" s="28">
        <v>84</v>
      </c>
      <c r="B75" s="29" t="s">
        <v>186</v>
      </c>
      <c r="C75" s="28" t="s">
        <v>53</v>
      </c>
      <c r="D75" s="28">
        <v>0</v>
      </c>
      <c r="E75" s="28">
        <v>2.4E-2</v>
      </c>
      <c r="F75" s="28"/>
      <c r="G75" s="28" t="s">
        <v>133</v>
      </c>
      <c r="H75" s="30">
        <v>45187</v>
      </c>
      <c r="I75" s="31"/>
      <c r="J75" s="32">
        <v>175097</v>
      </c>
      <c r="K75" s="33">
        <f t="shared" si="1"/>
        <v>4202.3280000000004</v>
      </c>
      <c r="L75" s="34"/>
    </row>
    <row r="76" spans="1:12" s="35" customFormat="1" x14ac:dyDescent="0.3">
      <c r="A76" s="28">
        <v>85</v>
      </c>
      <c r="B76" s="29" t="s">
        <v>189</v>
      </c>
      <c r="C76" s="28" t="s">
        <v>48</v>
      </c>
      <c r="D76" s="28" t="s">
        <v>54</v>
      </c>
      <c r="E76" s="28">
        <v>0.254</v>
      </c>
      <c r="F76" s="28"/>
      <c r="G76" s="28" t="s">
        <v>133</v>
      </c>
      <c r="H76" s="30">
        <v>45187</v>
      </c>
      <c r="I76" s="31"/>
      <c r="J76" s="32">
        <v>175097</v>
      </c>
      <c r="K76" s="33">
        <f t="shared" si="1"/>
        <v>44474.637999999999</v>
      </c>
      <c r="L76" s="34"/>
    </row>
    <row r="77" spans="1:12" x14ac:dyDescent="0.3">
      <c r="A77" s="10"/>
      <c r="B77" s="11" t="s">
        <v>190</v>
      </c>
      <c r="C77" s="10" t="s">
        <v>34</v>
      </c>
      <c r="D77" s="10" t="s">
        <v>8</v>
      </c>
      <c r="E77" s="10">
        <v>25</v>
      </c>
      <c r="F77" s="10"/>
      <c r="G77" s="10"/>
      <c r="H77" s="36">
        <v>45229</v>
      </c>
      <c r="I77" s="15" t="s">
        <v>140</v>
      </c>
      <c r="J77" s="13">
        <v>800</v>
      </c>
      <c r="K77" s="14">
        <f t="shared" si="1"/>
        <v>20000</v>
      </c>
      <c r="L77" s="18"/>
    </row>
    <row r="78" spans="1:12" x14ac:dyDescent="0.3">
      <c r="A78" s="10">
        <v>86</v>
      </c>
      <c r="B78" s="11" t="s">
        <v>59</v>
      </c>
      <c r="C78" s="10"/>
      <c r="D78" s="10" t="s">
        <v>38</v>
      </c>
      <c r="E78" s="10">
        <v>12.3</v>
      </c>
      <c r="F78" s="10"/>
      <c r="G78" s="10"/>
      <c r="H78" s="36">
        <v>45229</v>
      </c>
      <c r="I78" s="15" t="s">
        <v>139</v>
      </c>
      <c r="J78" s="13">
        <f>2100/12</f>
        <v>175</v>
      </c>
      <c r="K78" s="14">
        <f t="shared" si="1"/>
        <v>2152.5</v>
      </c>
      <c r="L78" s="18"/>
    </row>
    <row r="79" spans="1:12" x14ac:dyDescent="0.3">
      <c r="A79" s="10">
        <v>87</v>
      </c>
      <c r="B79" s="11" t="s">
        <v>60</v>
      </c>
      <c r="C79" s="10"/>
      <c r="D79" s="10" t="s">
        <v>38</v>
      </c>
      <c r="E79" s="10">
        <v>70.7</v>
      </c>
      <c r="F79" s="10"/>
      <c r="G79" s="10"/>
      <c r="H79" s="36">
        <v>45229</v>
      </c>
      <c r="I79" s="15" t="s">
        <v>139</v>
      </c>
      <c r="J79" s="13">
        <f>750/1.9</f>
        <v>394.73684210526318</v>
      </c>
      <c r="K79" s="14">
        <f t="shared" si="1"/>
        <v>27907.894736842107</v>
      </c>
      <c r="L79" s="18"/>
    </row>
    <row r="80" spans="1:12" x14ac:dyDescent="0.3">
      <c r="A80" s="15">
        <v>88</v>
      </c>
      <c r="B80" s="11" t="s">
        <v>191</v>
      </c>
      <c r="C80" s="10" t="s">
        <v>34</v>
      </c>
      <c r="D80" s="10" t="s">
        <v>8</v>
      </c>
      <c r="E80" s="10">
        <v>8</v>
      </c>
      <c r="F80" s="10"/>
      <c r="G80" s="10" t="s">
        <v>134</v>
      </c>
      <c r="H80" s="36">
        <v>45212</v>
      </c>
      <c r="I80" s="15" t="s">
        <v>139</v>
      </c>
      <c r="J80" s="13">
        <v>286</v>
      </c>
      <c r="K80" s="14">
        <f t="shared" si="1"/>
        <v>2288</v>
      </c>
      <c r="L80" s="18"/>
    </row>
    <row r="81" spans="1:12" x14ac:dyDescent="0.3">
      <c r="A81" s="10">
        <v>89</v>
      </c>
      <c r="B81" s="11" t="s">
        <v>61</v>
      </c>
      <c r="C81" s="10"/>
      <c r="D81" s="10"/>
      <c r="E81" s="10"/>
      <c r="F81" s="10"/>
      <c r="G81" s="10"/>
      <c r="H81" s="37"/>
      <c r="I81" s="15"/>
      <c r="J81" s="13"/>
      <c r="K81" s="14">
        <f t="shared" si="1"/>
        <v>0</v>
      </c>
      <c r="L81" s="18"/>
    </row>
    <row r="82" spans="1:12" ht="31.2" x14ac:dyDescent="0.3">
      <c r="A82" s="10">
        <v>90</v>
      </c>
      <c r="B82" s="11" t="s">
        <v>192</v>
      </c>
      <c r="C82" s="10" t="s">
        <v>64</v>
      </c>
      <c r="D82" s="10" t="s">
        <v>37</v>
      </c>
      <c r="E82" s="10">
        <v>23.18</v>
      </c>
      <c r="F82" s="10">
        <v>2.31</v>
      </c>
      <c r="G82" s="10"/>
      <c r="H82" s="36">
        <v>45240</v>
      </c>
      <c r="I82" s="26" t="s">
        <v>137</v>
      </c>
      <c r="J82" s="13">
        <v>1700</v>
      </c>
      <c r="K82" s="14">
        <f t="shared" si="1"/>
        <v>39406</v>
      </c>
      <c r="L82" s="18"/>
    </row>
    <row r="83" spans="1:12" ht="31.2" x14ac:dyDescent="0.3">
      <c r="A83" s="10">
        <v>91</v>
      </c>
      <c r="B83" s="11" t="s">
        <v>193</v>
      </c>
      <c r="C83" s="10" t="s">
        <v>64</v>
      </c>
      <c r="D83" s="10" t="s">
        <v>37</v>
      </c>
      <c r="E83" s="10">
        <v>0.27</v>
      </c>
      <c r="F83" s="10">
        <v>1.3</v>
      </c>
      <c r="G83" s="10"/>
      <c r="H83" s="36">
        <v>45240</v>
      </c>
      <c r="I83" s="26"/>
      <c r="J83" s="13">
        <v>1700</v>
      </c>
      <c r="K83" s="14">
        <f t="shared" si="1"/>
        <v>459.00000000000006</v>
      </c>
      <c r="L83" s="18"/>
    </row>
    <row r="84" spans="1:12" ht="31.2" x14ac:dyDescent="0.3">
      <c r="A84" s="10">
        <v>92</v>
      </c>
      <c r="B84" s="11" t="s">
        <v>194</v>
      </c>
      <c r="C84" s="10" t="s">
        <v>64</v>
      </c>
      <c r="D84" s="10" t="s">
        <v>37</v>
      </c>
      <c r="E84" s="10">
        <v>0.19500000000000001</v>
      </c>
      <c r="F84" s="10">
        <v>0.95</v>
      </c>
      <c r="G84" s="10"/>
      <c r="H84" s="36">
        <v>45240</v>
      </c>
      <c r="I84" s="26"/>
      <c r="J84" s="13">
        <v>1700</v>
      </c>
      <c r="K84" s="14">
        <f t="shared" si="1"/>
        <v>331.5</v>
      </c>
      <c r="L84" s="18"/>
    </row>
    <row r="85" spans="1:12" ht="31.2" x14ac:dyDescent="0.3">
      <c r="A85" s="10">
        <v>93</v>
      </c>
      <c r="B85" s="11" t="s">
        <v>195</v>
      </c>
      <c r="C85" s="10" t="s">
        <v>64</v>
      </c>
      <c r="D85" s="10" t="s">
        <v>37</v>
      </c>
      <c r="E85" s="10">
        <v>22.57</v>
      </c>
      <c r="F85" s="10">
        <v>3.98</v>
      </c>
      <c r="G85" s="10"/>
      <c r="H85" s="36">
        <v>45240</v>
      </c>
      <c r="I85" s="26"/>
      <c r="J85" s="13">
        <v>1700</v>
      </c>
      <c r="K85" s="14">
        <f t="shared" si="1"/>
        <v>38369</v>
      </c>
      <c r="L85" s="18"/>
    </row>
    <row r="86" spans="1:12" x14ac:dyDescent="0.3">
      <c r="A86" s="10">
        <v>94</v>
      </c>
      <c r="B86" s="11" t="s">
        <v>196</v>
      </c>
      <c r="C86" s="10" t="s">
        <v>64</v>
      </c>
      <c r="D86" s="10" t="s">
        <v>37</v>
      </c>
      <c r="E86" s="10">
        <v>12.6</v>
      </c>
      <c r="F86" s="10">
        <v>4.8</v>
      </c>
      <c r="G86" s="10"/>
      <c r="H86" s="36">
        <v>45240</v>
      </c>
      <c r="I86" s="26"/>
      <c r="J86" s="13">
        <v>1700</v>
      </c>
      <c r="K86" s="14">
        <f t="shared" si="1"/>
        <v>21420</v>
      </c>
      <c r="L86" s="18"/>
    </row>
    <row r="87" spans="1:12" x14ac:dyDescent="0.3">
      <c r="A87" s="10">
        <v>95</v>
      </c>
      <c r="B87" s="11"/>
      <c r="C87" s="10"/>
      <c r="D87" s="10"/>
      <c r="E87" s="10"/>
      <c r="F87" s="10"/>
      <c r="G87" s="10"/>
      <c r="H87" s="37"/>
      <c r="I87" s="15"/>
      <c r="J87" s="13"/>
      <c r="K87" s="14"/>
      <c r="L87" s="18"/>
    </row>
    <row r="88" spans="1:12" x14ac:dyDescent="0.3">
      <c r="A88" s="10">
        <v>96</v>
      </c>
      <c r="B88" s="11" t="s">
        <v>62</v>
      </c>
      <c r="C88" s="10" t="s">
        <v>65</v>
      </c>
      <c r="D88" s="10" t="s">
        <v>8</v>
      </c>
      <c r="E88" s="10">
        <v>4</v>
      </c>
      <c r="F88" s="10"/>
      <c r="G88" s="10" t="s">
        <v>134</v>
      </c>
      <c r="H88" s="36">
        <v>45212</v>
      </c>
      <c r="I88" s="15" t="s">
        <v>135</v>
      </c>
      <c r="J88" s="13">
        <v>62</v>
      </c>
      <c r="K88" s="14">
        <f t="shared" si="1"/>
        <v>248</v>
      </c>
      <c r="L88" s="18"/>
    </row>
    <row r="89" spans="1:12" x14ac:dyDescent="0.3">
      <c r="A89" s="15"/>
      <c r="B89" s="24" t="s">
        <v>150</v>
      </c>
      <c r="C89" s="15"/>
      <c r="D89" s="15"/>
      <c r="E89" s="15"/>
      <c r="F89" s="15"/>
      <c r="G89" s="15"/>
      <c r="H89" s="15"/>
      <c r="I89" s="15"/>
      <c r="J89" s="15"/>
      <c r="K89" s="14">
        <f>SUM(K2:K88)</f>
        <v>3590422.0597279025</v>
      </c>
      <c r="L89" s="19"/>
    </row>
  </sheetData>
  <mergeCells count="3">
    <mergeCell ref="I40:I52"/>
    <mergeCell ref="I53:I59"/>
    <mergeCell ref="I82:I86"/>
  </mergeCells>
  <hyperlinks>
    <hyperlink ref="M16" r:id="rId1" xr:uid="{52EE66A9-4A8C-4D65-9619-92C0E874CD21}"/>
  </hyperlinks>
  <printOptions horizontalCentered="1"/>
  <pageMargins left="0.19685039370078741" right="0.19685039370078741" top="0.19685039370078741" bottom="0.19685039370078741" header="0" footer="0"/>
  <pageSetup paperSize="9" scale="69" orientation="landscape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71822-59B6-4946-A83F-A04A90F7EB10}">
  <dimension ref="A1:L13"/>
  <sheetViews>
    <sheetView workbookViewId="0">
      <selection activeCell="G6" sqref="G6"/>
    </sheetView>
  </sheetViews>
  <sheetFormatPr defaultRowHeight="14.4" x14ac:dyDescent="0.3"/>
  <cols>
    <col min="2" max="2" width="15.88671875" customWidth="1"/>
    <col min="3" max="3" width="17.33203125" customWidth="1"/>
    <col min="4" max="4" width="12.6640625" customWidth="1"/>
  </cols>
  <sheetData>
    <row r="1" spans="1:12" ht="15" thickBot="1" x14ac:dyDescent="0.35"/>
    <row r="2" spans="1:12" ht="15" thickBot="1" x14ac:dyDescent="0.35">
      <c r="A2" s="9">
        <v>1</v>
      </c>
      <c r="B2" s="1" t="s">
        <v>66</v>
      </c>
      <c r="C2" s="2" t="s">
        <v>67</v>
      </c>
      <c r="D2" s="2" t="s">
        <v>67</v>
      </c>
    </row>
    <row r="3" spans="1:12" ht="15" thickBot="1" x14ac:dyDescent="0.35">
      <c r="A3" s="6">
        <v>2</v>
      </c>
      <c r="B3" s="4" t="s">
        <v>68</v>
      </c>
      <c r="C3" s="5" t="s">
        <v>69</v>
      </c>
      <c r="D3" s="5" t="s">
        <v>69</v>
      </c>
      <c r="H3" s="7" t="s">
        <v>90</v>
      </c>
      <c r="I3" s="7" t="s">
        <v>91</v>
      </c>
      <c r="J3" s="7" t="s">
        <v>92</v>
      </c>
      <c r="K3" s="7" t="s">
        <v>93</v>
      </c>
      <c r="L3" s="7" t="s">
        <v>94</v>
      </c>
    </row>
    <row r="4" spans="1:12" ht="23.4" thickBot="1" x14ac:dyDescent="0.35">
      <c r="A4" s="6">
        <v>3</v>
      </c>
      <c r="B4" s="4" t="s">
        <v>70</v>
      </c>
      <c r="C4" s="5" t="s">
        <v>71</v>
      </c>
      <c r="D4" s="5" t="s">
        <v>71</v>
      </c>
      <c r="H4" s="8" t="s">
        <v>95</v>
      </c>
      <c r="I4" s="8" t="s">
        <v>96</v>
      </c>
      <c r="J4" s="8" t="s">
        <v>97</v>
      </c>
      <c r="K4" s="8" t="s">
        <v>98</v>
      </c>
      <c r="L4" s="8" t="s">
        <v>99</v>
      </c>
    </row>
    <row r="5" spans="1:12" ht="27.6" thickBot="1" x14ac:dyDescent="0.35">
      <c r="A5" s="6">
        <v>4</v>
      </c>
      <c r="B5" s="4" t="s">
        <v>72</v>
      </c>
      <c r="C5" s="5" t="s">
        <v>73</v>
      </c>
      <c r="D5" s="5" t="s">
        <v>74</v>
      </c>
      <c r="H5" s="7" t="s">
        <v>100</v>
      </c>
      <c r="I5" s="7" t="s">
        <v>101</v>
      </c>
      <c r="J5" s="7" t="s">
        <v>102</v>
      </c>
      <c r="K5" s="7" t="s">
        <v>103</v>
      </c>
      <c r="L5" s="7" t="s">
        <v>104</v>
      </c>
    </row>
    <row r="6" spans="1:12" ht="40.799999999999997" thickBot="1" x14ac:dyDescent="0.35">
      <c r="A6" s="6">
        <v>5</v>
      </c>
      <c r="B6" s="4" t="s">
        <v>75</v>
      </c>
      <c r="C6" s="5" t="s">
        <v>76</v>
      </c>
      <c r="D6" s="5" t="s">
        <v>76</v>
      </c>
      <c r="H6" s="8" t="s">
        <v>105</v>
      </c>
      <c r="I6" s="8" t="s">
        <v>71</v>
      </c>
      <c r="J6" s="8" t="s">
        <v>106</v>
      </c>
      <c r="K6" s="8" t="s">
        <v>107</v>
      </c>
      <c r="L6" s="8" t="s">
        <v>108</v>
      </c>
    </row>
    <row r="7" spans="1:12" ht="27.6" thickBot="1" x14ac:dyDescent="0.35">
      <c r="A7" s="6">
        <v>6</v>
      </c>
      <c r="B7" s="4" t="s">
        <v>77</v>
      </c>
      <c r="C7" s="5" t="s">
        <v>78</v>
      </c>
      <c r="D7" s="5" t="s">
        <v>78</v>
      </c>
      <c r="H7" s="7" t="s">
        <v>109</v>
      </c>
      <c r="I7" s="7" t="s">
        <v>110</v>
      </c>
      <c r="J7" s="7" t="s">
        <v>111</v>
      </c>
      <c r="K7" s="7" t="s">
        <v>112</v>
      </c>
      <c r="L7" s="7" t="s">
        <v>113</v>
      </c>
    </row>
    <row r="8" spans="1:12" ht="27.6" thickBot="1" x14ac:dyDescent="0.35">
      <c r="A8" s="6">
        <v>7</v>
      </c>
      <c r="B8" s="4" t="s">
        <v>79</v>
      </c>
      <c r="C8" s="5" t="s">
        <v>80</v>
      </c>
      <c r="D8" s="5" t="s">
        <v>80</v>
      </c>
      <c r="H8" s="8" t="s">
        <v>114</v>
      </c>
      <c r="I8" s="8" t="s">
        <v>115</v>
      </c>
      <c r="J8" s="8" t="s">
        <v>116</v>
      </c>
      <c r="K8" s="8" t="s">
        <v>117</v>
      </c>
      <c r="L8" s="8" t="s">
        <v>118</v>
      </c>
    </row>
    <row r="9" spans="1:12" ht="23.4" thickBot="1" x14ac:dyDescent="0.35">
      <c r="A9" s="6">
        <v>8</v>
      </c>
      <c r="B9" s="4" t="s">
        <v>81</v>
      </c>
      <c r="C9" s="5" t="s">
        <v>82</v>
      </c>
      <c r="D9" s="5" t="s">
        <v>82</v>
      </c>
      <c r="H9" s="7" t="s">
        <v>119</v>
      </c>
      <c r="I9" s="7" t="s">
        <v>120</v>
      </c>
      <c r="J9" s="7" t="s">
        <v>121</v>
      </c>
      <c r="K9" s="7" t="s">
        <v>122</v>
      </c>
      <c r="L9" s="7" t="s">
        <v>123</v>
      </c>
    </row>
    <row r="10" spans="1:12" ht="15" thickBot="1" x14ac:dyDescent="0.35">
      <c r="A10" s="6">
        <v>9</v>
      </c>
      <c r="B10" s="4" t="s">
        <v>83</v>
      </c>
      <c r="C10" s="5" t="s">
        <v>84</v>
      </c>
      <c r="D10" s="5" t="s">
        <v>84</v>
      </c>
    </row>
    <row r="11" spans="1:12" ht="15" thickBot="1" x14ac:dyDescent="0.35">
      <c r="A11" s="6">
        <v>10</v>
      </c>
      <c r="B11" s="4" t="s">
        <v>85</v>
      </c>
      <c r="C11" s="5">
        <v>56</v>
      </c>
      <c r="D11" s="5">
        <v>56</v>
      </c>
    </row>
    <row r="12" spans="1:12" ht="15" thickBot="1" x14ac:dyDescent="0.35">
      <c r="A12" s="3">
        <v>11</v>
      </c>
      <c r="B12" s="4" t="s">
        <v>86</v>
      </c>
      <c r="C12" s="5" t="s">
        <v>87</v>
      </c>
      <c r="D12" s="5" t="s">
        <v>87</v>
      </c>
    </row>
    <row r="13" spans="1:12" ht="15" thickBot="1" x14ac:dyDescent="0.35">
      <c r="A13" s="6">
        <v>12</v>
      </c>
      <c r="B13" s="4" t="s">
        <v>88</v>
      </c>
      <c r="C13" s="5" t="s">
        <v>89</v>
      </c>
      <c r="D13" s="5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Григорий Королев</dc:creator>
  <cp:lastModifiedBy>Admin</cp:lastModifiedBy>
  <cp:lastPrinted>2023-10-20T06:59:57Z</cp:lastPrinted>
  <dcterms:created xsi:type="dcterms:W3CDTF">2023-10-09T07:01:10Z</dcterms:created>
  <dcterms:modified xsi:type="dcterms:W3CDTF">2023-10-20T16:36:34Z</dcterms:modified>
</cp:coreProperties>
</file>