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Отрисовка технических решений\Временная теплосеть\"/>
    </mc:Choice>
  </mc:AlternateContent>
  <xr:revisionPtr revIDLastSave="0" documentId="13_ncr:1_{D74E939C-B272-47E0-8AB0-9B09B4592E35}" xr6:coauthVersionLast="47" xr6:coauthVersionMax="47" xr10:uidLastSave="{00000000-0000-0000-0000-000000000000}"/>
  <bookViews>
    <workbookView minimized="1" xWindow="36030" yWindow="6300" windowWidth="17280" windowHeight="8970" tabRatio="914" firstSheet="6" activeTab="11" xr2:uid="{00000000-000D-0000-FFFF-FFFF00000000}"/>
  </bookViews>
  <sheets>
    <sheet name="Лист1" sheetId="1" state="hidden" r:id="rId1"/>
    <sheet name="Лист2" sheetId="2" state="hidden" r:id="rId2"/>
    <sheet name="Свод" sheetId="13" state="hidden" r:id="rId3"/>
    <sheet name="СМР врем. ТС (сталь)" sheetId="8" state="hidden" r:id="rId4"/>
    <sheet name="мат врем.ТС (сталь)" sheetId="3" state="hidden" r:id="rId5"/>
    <sheet name="Свод коммерция" sheetId="18" state="hidden" r:id="rId6"/>
    <sheet name="СМР врем. ТС (сталь) коммерция" sheetId="16" r:id="rId7"/>
    <sheet name="мат врем.ТС (сталь) коммерция" sheetId="17" r:id="rId8"/>
    <sheet name="КП СМР+Мат" sheetId="19" state="hidden" r:id="rId9"/>
    <sheet name="КП+вопросы" sheetId="20" r:id="rId10"/>
    <sheet name="не учтено" sheetId="23" r:id="rId11"/>
    <sheet name="Смета Насти от 04.10.23" sheetId="24" r:id="rId12"/>
    <sheet name="ТС - ЛСР" sheetId="22" r:id="rId13"/>
    <sheet name="СМР 217 путь" sheetId="9" state="hidden" r:id="rId14"/>
    <sheet name="мат 217 путь" sheetId="4" state="hidden" r:id="rId15"/>
    <sheet name="СМР комм-ции 217 " sheetId="14" state="hidden" r:id="rId16"/>
    <sheet name="мат комм-ции 217" sheetId="15" state="hidden" r:id="rId17"/>
    <sheet name="СМР жд 8 цех" sheetId="10" state="hidden" r:id="rId18"/>
    <sheet name="мат 8 цех" sheetId="5" state="hidden" r:id="rId19"/>
  </sheets>
  <definedNames>
    <definedName name="_xlnm.Print_Titles" localSheetId="11">'Смета Насти от 04.10.23'!$38:$38</definedName>
    <definedName name="_xlnm.Print_Titles" localSheetId="12">'ТС - ЛСР'!$38:$38</definedName>
    <definedName name="_xlnm.Print_Area" localSheetId="8">'КП СМР+Мат'!$A$1:$G$15</definedName>
    <definedName name="_xlnm.Print_Area" localSheetId="4">'мат врем.ТС (сталь)'!$A$1:$G$17</definedName>
    <definedName name="_xlnm.Print_Area" localSheetId="7">'мат врем.ТС (сталь) коммерция'!$A$1:$G$18</definedName>
    <definedName name="_xlnm.Print_Area" localSheetId="16">'мат комм-ции 217'!$A$1:$G$109</definedName>
    <definedName name="_xlnm.Print_Area" localSheetId="2">Свод!$A$1:$H$4</definedName>
    <definedName name="_xlnm.Print_Area" localSheetId="5">'Свод коммерция'!$A$1:$H$4</definedName>
    <definedName name="_xlnm.Print_Area" localSheetId="3">'СМР врем. ТС (сталь)'!$A$1:$G$17</definedName>
    <definedName name="_xlnm.Print_Area" localSheetId="6">'СМР врем. ТС (сталь) коммерция'!$A$1:$G$15</definedName>
    <definedName name="_xlnm.Print_Area" localSheetId="15">'СМР комм-ции 217 '!$A$1:$G$253</definedName>
    <definedName name="_xlnm.Print_Area" localSheetId="12">'ТС - ЛСР'!$A$1:$N$243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91" i="24" l="1"/>
  <c r="R55" i="24"/>
  <c r="E28" i="20"/>
  <c r="E26" i="20"/>
  <c r="E27" i="20"/>
  <c r="E25" i="20"/>
  <c r="E24" i="20"/>
  <c r="E23" i="20"/>
  <c r="J23" i="23"/>
  <c r="J22" i="23"/>
  <c r="H12" i="17"/>
  <c r="I5" i="17"/>
  <c r="I6" i="17"/>
  <c r="I7" i="17"/>
  <c r="I8" i="17"/>
  <c r="I9" i="17"/>
  <c r="I10" i="17"/>
  <c r="I11" i="17"/>
  <c r="I12" i="17"/>
  <c r="I13" i="17"/>
  <c r="I14" i="17"/>
  <c r="I15" i="17"/>
  <c r="I16" i="17"/>
  <c r="H10" i="17"/>
  <c r="H8" i="17"/>
  <c r="H7" i="17"/>
  <c r="H6" i="17"/>
  <c r="H5" i="17"/>
  <c r="H4" i="17"/>
  <c r="I4" i="17" s="1"/>
  <c r="S76" i="22" l="1"/>
  <c r="K15" i="20"/>
  <c r="J20" i="20" l="1"/>
  <c r="J13" i="17"/>
  <c r="D6" i="20"/>
  <c r="D7" i="20"/>
  <c r="D8" i="20"/>
  <c r="D9" i="20"/>
  <c r="D10" i="20"/>
  <c r="D11" i="20"/>
  <c r="D12" i="20"/>
  <c r="D13" i="20"/>
  <c r="D14" i="20"/>
  <c r="D5" i="20"/>
  <c r="J14" i="19"/>
  <c r="H14" i="20" s="1"/>
  <c r="I14" i="20" s="1"/>
  <c r="C14" i="19" l="1"/>
  <c r="D6" i="19"/>
  <c r="E6" i="20" s="1"/>
  <c r="D7" i="19"/>
  <c r="E7" i="20" s="1"/>
  <c r="E33" i="20" s="1"/>
  <c r="D8" i="19"/>
  <c r="E8" i="20" s="1"/>
  <c r="E8" i="19"/>
  <c r="F8" i="20" s="1"/>
  <c r="D9" i="19"/>
  <c r="D10" i="19"/>
  <c r="E10" i="20" s="1"/>
  <c r="D11" i="19"/>
  <c r="E11" i="20" s="1"/>
  <c r="E11" i="19"/>
  <c r="F11" i="20" s="1"/>
  <c r="D12" i="19"/>
  <c r="E12" i="20" s="1"/>
  <c r="F12" i="19"/>
  <c r="D13" i="19"/>
  <c r="E13" i="19"/>
  <c r="F13" i="20" s="1"/>
  <c r="D14" i="19"/>
  <c r="E14" i="20" s="1"/>
  <c r="E14" i="19"/>
  <c r="F14" i="20" s="1"/>
  <c r="G14" i="20" s="1"/>
  <c r="J14" i="20" s="1"/>
  <c r="F14" i="19"/>
  <c r="D5" i="19"/>
  <c r="E5" i="20" s="1"/>
  <c r="E5" i="19"/>
  <c r="F5" i="20" s="1"/>
  <c r="G5" i="20" s="1"/>
  <c r="C6" i="19"/>
  <c r="C7" i="19"/>
  <c r="C8" i="19"/>
  <c r="C9" i="19"/>
  <c r="C10" i="19"/>
  <c r="C11" i="19"/>
  <c r="C12" i="19"/>
  <c r="C13" i="19"/>
  <c r="C5" i="19"/>
  <c r="D36" i="19"/>
  <c r="D25" i="19"/>
  <c r="E25" i="19"/>
  <c r="D26" i="19"/>
  <c r="D27" i="19"/>
  <c r="D28" i="19"/>
  <c r="D29" i="19"/>
  <c r="D30" i="19"/>
  <c r="D31" i="19"/>
  <c r="D32" i="19"/>
  <c r="D33" i="19"/>
  <c r="D34" i="19"/>
  <c r="D35" i="19"/>
  <c r="D24" i="19"/>
  <c r="E16" i="17"/>
  <c r="E36" i="19" s="1"/>
  <c r="E15" i="17"/>
  <c r="E35" i="19" s="1"/>
  <c r="E14" i="17"/>
  <c r="E34" i="19" s="1"/>
  <c r="E13" i="17"/>
  <c r="E33" i="19" s="1"/>
  <c r="E12" i="17"/>
  <c r="E32" i="19" s="1"/>
  <c r="E11" i="17"/>
  <c r="E31" i="19" s="1"/>
  <c r="E10" i="17"/>
  <c r="E30" i="19" s="1"/>
  <c r="E9" i="17"/>
  <c r="E29" i="19" s="1"/>
  <c r="E8" i="17"/>
  <c r="E28" i="19" s="1"/>
  <c r="E7" i="17"/>
  <c r="E27" i="19" s="1"/>
  <c r="E6" i="17"/>
  <c r="E26" i="19" s="1"/>
  <c r="E5" i="17"/>
  <c r="E4" i="17"/>
  <c r="E24" i="19" s="1"/>
  <c r="A5" i="17"/>
  <c r="A6" i="17" s="1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G12" i="16"/>
  <c r="G12" i="19" s="1"/>
  <c r="G13" i="16"/>
  <c r="G13" i="19" s="1"/>
  <c r="G14" i="16"/>
  <c r="G14" i="19" s="1"/>
  <c r="F14" i="16"/>
  <c r="F12" i="16"/>
  <c r="F13" i="16"/>
  <c r="F13" i="19" s="1"/>
  <c r="E14" i="16"/>
  <c r="E13" i="16"/>
  <c r="E12" i="16"/>
  <c r="E12" i="19" s="1"/>
  <c r="F12" i="20" s="1"/>
  <c r="E11" i="16"/>
  <c r="E10" i="16"/>
  <c r="F10" i="16" s="1"/>
  <c r="F10" i="19" s="1"/>
  <c r="E9" i="16"/>
  <c r="F9" i="16" s="1"/>
  <c r="F9" i="19" s="1"/>
  <c r="E8" i="16"/>
  <c r="E7" i="16"/>
  <c r="E7" i="19" s="1"/>
  <c r="F7" i="20" s="1"/>
  <c r="E6" i="16"/>
  <c r="E6" i="19" s="1"/>
  <c r="F6" i="20" s="1"/>
  <c r="E5" i="16"/>
  <c r="A6" i="16"/>
  <c r="A7" i="16" s="1"/>
  <c r="A8" i="16" s="1"/>
  <c r="A9" i="16" s="1"/>
  <c r="A10" i="16" s="1"/>
  <c r="A11" i="16" s="1"/>
  <c r="A12" i="16" s="1"/>
  <c r="A13" i="16" s="1"/>
  <c r="A14" i="16" s="1"/>
  <c r="F16" i="3"/>
  <c r="G16" i="3" s="1"/>
  <c r="F15" i="3"/>
  <c r="G15" i="3" s="1"/>
  <c r="F14" i="3"/>
  <c r="G14" i="3" s="1"/>
  <c r="F13" i="3"/>
  <c r="G13" i="3" s="1"/>
  <c r="F12" i="3"/>
  <c r="G12" i="3" s="1"/>
  <c r="F11" i="3"/>
  <c r="G11" i="3" s="1"/>
  <c r="F10" i="3"/>
  <c r="G10" i="3" s="1"/>
  <c r="F9" i="3"/>
  <c r="G9" i="3" s="1"/>
  <c r="F8" i="3"/>
  <c r="G8" i="3" s="1"/>
  <c r="F7" i="3"/>
  <c r="G7" i="3" s="1"/>
  <c r="F6" i="3"/>
  <c r="G6" i="3" s="1"/>
  <c r="F5" i="3"/>
  <c r="G5" i="3" s="1"/>
  <c r="A5" i="3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F4" i="3"/>
  <c r="G4" i="3" s="1"/>
  <c r="F14" i="8"/>
  <c r="G14" i="8" s="1"/>
  <c r="F13" i="8"/>
  <c r="G13" i="8" s="1"/>
  <c r="F12" i="8"/>
  <c r="G12" i="8" s="1"/>
  <c r="F11" i="8"/>
  <c r="G11" i="8" s="1"/>
  <c r="F10" i="8"/>
  <c r="G10" i="8" s="1"/>
  <c r="F9" i="8"/>
  <c r="G9" i="8" s="1"/>
  <c r="F8" i="8"/>
  <c r="G8" i="8" s="1"/>
  <c r="F7" i="8"/>
  <c r="G7" i="8" s="1"/>
  <c r="F6" i="8"/>
  <c r="G6" i="8" s="1"/>
  <c r="A6" i="8"/>
  <c r="A7" i="8" s="1"/>
  <c r="A8" i="8" s="1"/>
  <c r="A9" i="8" s="1"/>
  <c r="A10" i="8" s="1"/>
  <c r="A11" i="8" s="1"/>
  <c r="A12" i="8" s="1"/>
  <c r="A13" i="8" s="1"/>
  <c r="A14" i="8" s="1"/>
  <c r="F5" i="8"/>
  <c r="G5" i="8" s="1"/>
  <c r="E10" i="19" l="1"/>
  <c r="F10" i="20" s="1"/>
  <c r="G10" i="20" s="1"/>
  <c r="E13" i="20"/>
  <c r="J13" i="19"/>
  <c r="H13" i="20" s="1"/>
  <c r="G7" i="20"/>
  <c r="F15" i="8"/>
  <c r="G11" i="20"/>
  <c r="E9" i="20"/>
  <c r="J9" i="19"/>
  <c r="H9" i="20" s="1"/>
  <c r="G6" i="20"/>
  <c r="G8" i="20"/>
  <c r="F15" i="17"/>
  <c r="E9" i="19"/>
  <c r="F9" i="20" s="1"/>
  <c r="G12" i="20"/>
  <c r="F16" i="17"/>
  <c r="F14" i="17"/>
  <c r="F13" i="17"/>
  <c r="F12" i="17"/>
  <c r="F11" i="17"/>
  <c r="F10" i="17"/>
  <c r="F9" i="17"/>
  <c r="F8" i="17"/>
  <c r="F7" i="17"/>
  <c r="F6" i="17"/>
  <c r="F5" i="17"/>
  <c r="F4" i="17"/>
  <c r="F11" i="16"/>
  <c r="G10" i="16"/>
  <c r="G10" i="19" s="1"/>
  <c r="G9" i="16"/>
  <c r="G9" i="19" s="1"/>
  <c r="F8" i="16"/>
  <c r="F7" i="16"/>
  <c r="F6" i="16"/>
  <c r="F5" i="16"/>
  <c r="G9" i="20" l="1"/>
  <c r="I9" i="20"/>
  <c r="G11" i="16"/>
  <c r="G11" i="19" s="1"/>
  <c r="F11" i="19"/>
  <c r="G10" i="17"/>
  <c r="G30" i="19" s="1"/>
  <c r="F30" i="19"/>
  <c r="G8" i="16"/>
  <c r="G8" i="19" s="1"/>
  <c r="F8" i="19"/>
  <c r="G4" i="17"/>
  <c r="G24" i="19" s="1"/>
  <c r="F24" i="19"/>
  <c r="G5" i="17"/>
  <c r="G25" i="19" s="1"/>
  <c r="F25" i="19"/>
  <c r="G6" i="16"/>
  <c r="G6" i="19" s="1"/>
  <c r="F6" i="19"/>
  <c r="G11" i="17"/>
  <c r="G31" i="19" s="1"/>
  <c r="F31" i="19"/>
  <c r="G13" i="17"/>
  <c r="G33" i="19" s="1"/>
  <c r="F33" i="19"/>
  <c r="G14" i="17"/>
  <c r="G34" i="19" s="1"/>
  <c r="F34" i="19"/>
  <c r="G16" i="17"/>
  <c r="G36" i="19" s="1"/>
  <c r="F36" i="19"/>
  <c r="G6" i="17"/>
  <c r="G26" i="19" s="1"/>
  <c r="F26" i="19"/>
  <c r="G7" i="16"/>
  <c r="G7" i="19" s="1"/>
  <c r="F7" i="19"/>
  <c r="G12" i="17"/>
  <c r="G32" i="19" s="1"/>
  <c r="F32" i="19"/>
  <c r="G7" i="17"/>
  <c r="G27" i="19" s="1"/>
  <c r="I10" i="19" s="1"/>
  <c r="J10" i="19" s="1"/>
  <c r="H10" i="20" s="1"/>
  <c r="I10" i="20" s="1"/>
  <c r="J10" i="20" s="1"/>
  <c r="F27" i="19"/>
  <c r="G13" i="20"/>
  <c r="I13" i="20"/>
  <c r="G8" i="17"/>
  <c r="G28" i="19" s="1"/>
  <c r="F28" i="19"/>
  <c r="F5" i="19"/>
  <c r="F15" i="16"/>
  <c r="G9" i="17"/>
  <c r="G29" i="19" s="1"/>
  <c r="F29" i="19"/>
  <c r="F35" i="19"/>
  <c r="G15" i="17"/>
  <c r="G35" i="19" s="1"/>
  <c r="I7" i="19" s="1"/>
  <c r="J7" i="19" s="1"/>
  <c r="H7" i="20" s="1"/>
  <c r="I7" i="20" s="1"/>
  <c r="J7" i="20" s="1"/>
  <c r="F18" i="17"/>
  <c r="D3" i="18" s="1"/>
  <c r="D4" i="18" s="1"/>
  <c r="C3" i="18"/>
  <c r="C4" i="18" s="1"/>
  <c r="G5" i="16"/>
  <c r="J13" i="20" l="1"/>
  <c r="J9" i="20"/>
  <c r="I12" i="19"/>
  <c r="J12" i="19" s="1"/>
  <c r="H12" i="20" s="1"/>
  <c r="I12" i="20" s="1"/>
  <c r="J12" i="20" s="1"/>
  <c r="I8" i="19"/>
  <c r="J8" i="19" s="1"/>
  <c r="H8" i="20" s="1"/>
  <c r="I8" i="20" s="1"/>
  <c r="J8" i="20" s="1"/>
  <c r="G18" i="17"/>
  <c r="G37" i="19"/>
  <c r="I5" i="19"/>
  <c r="J5" i="19" s="1"/>
  <c r="H5" i="20" s="1"/>
  <c r="I5" i="20" s="1"/>
  <c r="J5" i="20" s="1"/>
  <c r="I6" i="19"/>
  <c r="J6" i="19" s="1"/>
  <c r="H6" i="20" s="1"/>
  <c r="I6" i="20" s="1"/>
  <c r="J6" i="20" s="1"/>
  <c r="F15" i="19"/>
  <c r="F37" i="19"/>
  <c r="G15" i="16"/>
  <c r="F3" i="18" s="1"/>
  <c r="F4" i="18" s="1"/>
  <c r="G5" i="19"/>
  <c r="G15" i="19" s="1"/>
  <c r="I11" i="19"/>
  <c r="J11" i="19" s="1"/>
  <c r="H11" i="20" s="1"/>
  <c r="I11" i="20" s="1"/>
  <c r="J11" i="20" s="1"/>
  <c r="E3" i="18"/>
  <c r="E4" i="18" s="1"/>
  <c r="F250" i="14"/>
  <c r="F249" i="14"/>
  <c r="F248" i="14"/>
  <c r="F247" i="14"/>
  <c r="F245" i="14"/>
  <c r="F244" i="14"/>
  <c r="F243" i="14"/>
  <c r="F242" i="14"/>
  <c r="F240" i="14"/>
  <c r="F239" i="14"/>
  <c r="F237" i="14"/>
  <c r="F236" i="14"/>
  <c r="F235" i="14"/>
  <c r="F234" i="14"/>
  <c r="F231" i="14"/>
  <c r="F230" i="14"/>
  <c r="F229" i="14"/>
  <c r="F227" i="14"/>
  <c r="F226" i="14"/>
  <c r="F225" i="14"/>
  <c r="F224" i="14"/>
  <c r="F223" i="14"/>
  <c r="F222" i="14"/>
  <c r="F220" i="14"/>
  <c r="F219" i="14"/>
  <c r="F218" i="14"/>
  <c r="F217" i="14"/>
  <c r="F216" i="14"/>
  <c r="F215" i="14"/>
  <c r="F214" i="14"/>
  <c r="F213" i="14"/>
  <c r="F212" i="14"/>
  <c r="F211" i="14"/>
  <c r="F208" i="14"/>
  <c r="F207" i="14"/>
  <c r="F206" i="14"/>
  <c r="F204" i="14"/>
  <c r="F203" i="14"/>
  <c r="F202" i="14"/>
  <c r="F201" i="14"/>
  <c r="F200" i="14"/>
  <c r="F199" i="14"/>
  <c r="F197" i="14"/>
  <c r="F196" i="14"/>
  <c r="F195" i="14"/>
  <c r="F194" i="14"/>
  <c r="F193" i="14"/>
  <c r="F192" i="14"/>
  <c r="F191" i="14"/>
  <c r="F190" i="14"/>
  <c r="F189" i="14"/>
  <c r="F188" i="14"/>
  <c r="F185" i="14"/>
  <c r="F184" i="14"/>
  <c r="F183" i="14"/>
  <c r="F181" i="14"/>
  <c r="F180" i="14"/>
  <c r="F179" i="14"/>
  <c r="F178" i="14"/>
  <c r="F177" i="14"/>
  <c r="F176" i="14"/>
  <c r="F174" i="14"/>
  <c r="F173" i="14"/>
  <c r="F172" i="14"/>
  <c r="F171" i="14"/>
  <c r="F170" i="14"/>
  <c r="F169" i="14"/>
  <c r="F168" i="14"/>
  <c r="F167" i="14"/>
  <c r="F166" i="14"/>
  <c r="F165" i="14"/>
  <c r="F162" i="14"/>
  <c r="F161" i="14"/>
  <c r="F160" i="14"/>
  <c r="F158" i="14"/>
  <c r="F157" i="14"/>
  <c r="F156" i="14"/>
  <c r="F155" i="14"/>
  <c r="F154" i="14"/>
  <c r="F153" i="14"/>
  <c r="F151" i="14"/>
  <c r="F150" i="14"/>
  <c r="F149" i="14"/>
  <c r="F148" i="14"/>
  <c r="F147" i="14"/>
  <c r="F146" i="14"/>
  <c r="F145" i="14"/>
  <c r="F144" i="14"/>
  <c r="F143" i="14"/>
  <c r="F142" i="14"/>
  <c r="F139" i="14"/>
  <c r="F138" i="14"/>
  <c r="F137" i="14"/>
  <c r="F136" i="14"/>
  <c r="F135" i="14"/>
  <c r="F134" i="14"/>
  <c r="F132" i="14"/>
  <c r="F131" i="14"/>
  <c r="F130" i="14"/>
  <c r="F129" i="14"/>
  <c r="F128" i="14"/>
  <c r="F127" i="14"/>
  <c r="F126" i="14"/>
  <c r="F125" i="14"/>
  <c r="F124" i="14"/>
  <c r="F123" i="14"/>
  <c r="F120" i="14"/>
  <c r="F119" i="14"/>
  <c r="F118" i="14"/>
  <c r="F116" i="14"/>
  <c r="F115" i="14"/>
  <c r="F114" i="14"/>
  <c r="F113" i="14"/>
  <c r="F112" i="14"/>
  <c r="F111" i="14"/>
  <c r="F109" i="14"/>
  <c r="F108" i="14"/>
  <c r="F107" i="14"/>
  <c r="F106" i="14"/>
  <c r="F105" i="14"/>
  <c r="F104" i="14"/>
  <c r="F103" i="14"/>
  <c r="F102" i="14"/>
  <c r="F101" i="14"/>
  <c r="F100" i="14"/>
  <c r="F99" i="14"/>
  <c r="F96" i="14"/>
  <c r="F95" i="14"/>
  <c r="F94" i="14"/>
  <c r="F92" i="14"/>
  <c r="F91" i="14"/>
  <c r="F90" i="14"/>
  <c r="F89" i="14"/>
  <c r="F88" i="14"/>
  <c r="F87" i="14"/>
  <c r="F86" i="14"/>
  <c r="F85" i="14"/>
  <c r="F84" i="14"/>
  <c r="F83" i="14"/>
  <c r="F82" i="14"/>
  <c r="F80" i="14"/>
  <c r="F79" i="14"/>
  <c r="F78" i="14"/>
  <c r="F77" i="14"/>
  <c r="F76" i="14"/>
  <c r="F75" i="14"/>
  <c r="F74" i="14"/>
  <c r="F73" i="14"/>
  <c r="F72" i="14"/>
  <c r="F71" i="14"/>
  <c r="F68" i="14"/>
  <c r="F67" i="14"/>
  <c r="F66" i="14"/>
  <c r="F64" i="14"/>
  <c r="F63" i="14"/>
  <c r="F62" i="14"/>
  <c r="F61" i="14"/>
  <c r="F60" i="14"/>
  <c r="F59" i="14"/>
  <c r="F58" i="14"/>
  <c r="F57" i="14"/>
  <c r="F56" i="14"/>
  <c r="F55" i="14"/>
  <c r="F54" i="14"/>
  <c r="F52" i="14"/>
  <c r="F51" i="14"/>
  <c r="F50" i="14"/>
  <c r="F49" i="14"/>
  <c r="F48" i="14"/>
  <c r="F47" i="14"/>
  <c r="F46" i="14"/>
  <c r="F45" i="14"/>
  <c r="F44" i="14"/>
  <c r="F43" i="14"/>
  <c r="F40" i="14"/>
  <c r="F39" i="14"/>
  <c r="F38" i="14"/>
  <c r="F36" i="14"/>
  <c r="F35" i="14"/>
  <c r="F34" i="14"/>
  <c r="F32" i="14"/>
  <c r="F31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5" i="14"/>
  <c r="F14" i="14"/>
  <c r="F13" i="14"/>
  <c r="F12" i="14"/>
  <c r="F11" i="14"/>
  <c r="F10" i="14"/>
  <c r="F9" i="14"/>
  <c r="F8" i="14"/>
  <c r="F7" i="14"/>
  <c r="F6" i="14"/>
  <c r="G3" i="18" l="1"/>
  <c r="J26" i="17"/>
  <c r="J4" i="20"/>
  <c r="J15" i="20" s="1"/>
  <c r="F31" i="15"/>
  <c r="F30" i="15"/>
  <c r="F29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F13" i="15"/>
  <c r="F12" i="15"/>
  <c r="F11" i="15"/>
  <c r="F10" i="15"/>
  <c r="F9" i="15"/>
  <c r="F8" i="15"/>
  <c r="F7" i="15"/>
  <c r="F6" i="15"/>
  <c r="G35" i="14"/>
  <c r="G31" i="14"/>
  <c r="G4" i="18" l="1"/>
  <c r="H3" i="18"/>
  <c r="H4" i="18" s="1"/>
  <c r="G248" i="14"/>
  <c r="G245" i="14"/>
  <c r="D241" i="14"/>
  <c r="F241" i="14" s="1"/>
  <c r="G241" i="14" s="1"/>
  <c r="G231" i="14" l="1"/>
  <c r="G230" i="14"/>
  <c r="G229" i="14"/>
  <c r="G227" i="14"/>
  <c r="G226" i="14"/>
  <c r="G225" i="14"/>
  <c r="G224" i="14"/>
  <c r="G223" i="14"/>
  <c r="G222" i="14"/>
  <c r="G219" i="14"/>
  <c r="G215" i="14"/>
  <c r="G208" i="14"/>
  <c r="G207" i="14"/>
  <c r="G206" i="14"/>
  <c r="G204" i="14"/>
  <c r="G203" i="14"/>
  <c r="G202" i="14"/>
  <c r="G201" i="14"/>
  <c r="G200" i="14"/>
  <c r="G199" i="14"/>
  <c r="G197" i="14"/>
  <c r="G196" i="14"/>
  <c r="G195" i="14"/>
  <c r="G194" i="14"/>
  <c r="G193" i="14"/>
  <c r="G192" i="14"/>
  <c r="G191" i="14"/>
  <c r="G190" i="14"/>
  <c r="G189" i="14"/>
  <c r="G177" i="14"/>
  <c r="G131" i="14"/>
  <c r="G119" i="14"/>
  <c r="G109" i="14"/>
  <c r="G67" i="14"/>
  <c r="G66" i="14"/>
  <c r="G96" i="14"/>
  <c r="G95" i="14"/>
  <c r="G94" i="14"/>
  <c r="G92" i="14"/>
  <c r="G91" i="14"/>
  <c r="G90" i="14"/>
  <c r="G89" i="14"/>
  <c r="G64" i="14"/>
  <c r="G63" i="14"/>
  <c r="G62" i="14"/>
  <c r="G61" i="14"/>
  <c r="G60" i="14"/>
  <c r="G40" i="14"/>
  <c r="G39" i="14"/>
  <c r="G38" i="14"/>
  <c r="G36" i="14"/>
  <c r="G34" i="14"/>
  <c r="F45" i="15" l="1"/>
  <c r="G45" i="15" s="1"/>
  <c r="F44" i="15"/>
  <c r="G44" i="15" s="1"/>
  <c r="F43" i="15"/>
  <c r="G43" i="15" s="1"/>
  <c r="F96" i="15"/>
  <c r="G96" i="15" s="1"/>
  <c r="F89" i="15"/>
  <c r="G89" i="15" s="1"/>
  <c r="F93" i="15"/>
  <c r="F103" i="15"/>
  <c r="G103" i="15" s="1"/>
  <c r="F107" i="15"/>
  <c r="G107" i="15" s="1"/>
  <c r="F100" i="15"/>
  <c r="G100" i="15" s="1"/>
  <c r="F59" i="15"/>
  <c r="G59" i="15" s="1"/>
  <c r="F58" i="15"/>
  <c r="G58" i="15" s="1"/>
  <c r="G93" i="15" l="1"/>
  <c r="D57" i="15"/>
  <c r="F57" i="15" s="1"/>
  <c r="G57" i="15" s="1"/>
  <c r="D56" i="15"/>
  <c r="F56" i="15" s="1"/>
  <c r="G56" i="15" s="1"/>
  <c r="D55" i="15"/>
  <c r="F55" i="15" s="1"/>
  <c r="G55" i="15" s="1"/>
  <c r="D42" i="15"/>
  <c r="F42" i="15" s="1"/>
  <c r="G42" i="15" s="1"/>
  <c r="D41" i="15"/>
  <c r="F41" i="15" s="1"/>
  <c r="G41" i="15" s="1"/>
  <c r="D40" i="15"/>
  <c r="F40" i="15" s="1"/>
  <c r="G40" i="15" s="1"/>
  <c r="G31" i="15"/>
  <c r="G30" i="15"/>
  <c r="G29" i="15"/>
  <c r="G26" i="15"/>
  <c r="D28" i="15"/>
  <c r="D27" i="15"/>
  <c r="G20" i="15"/>
  <c r="G21" i="15"/>
  <c r="G22" i="15"/>
  <c r="G23" i="15"/>
  <c r="G24" i="15"/>
  <c r="G25" i="15"/>
  <c r="F108" i="15"/>
  <c r="G108" i="15" s="1"/>
  <c r="F106" i="15"/>
  <c r="G106" i="15" s="1"/>
  <c r="F105" i="15"/>
  <c r="G105" i="15" s="1"/>
  <c r="F104" i="15"/>
  <c r="G104" i="15" s="1"/>
  <c r="F101" i="15"/>
  <c r="G101" i="15" s="1"/>
  <c r="F99" i="15"/>
  <c r="G99" i="15" s="1"/>
  <c r="F98" i="15"/>
  <c r="G98" i="15" s="1"/>
  <c r="F97" i="15"/>
  <c r="G97" i="15" s="1"/>
  <c r="F94" i="15"/>
  <c r="G94" i="15" s="1"/>
  <c r="F92" i="15"/>
  <c r="G92" i="15" s="1"/>
  <c r="F91" i="15"/>
  <c r="G91" i="15" s="1"/>
  <c r="F90" i="15"/>
  <c r="G90" i="15" s="1"/>
  <c r="F87" i="15"/>
  <c r="G87" i="15" s="1"/>
  <c r="F86" i="15"/>
  <c r="G86" i="15" s="1"/>
  <c r="F85" i="15"/>
  <c r="G85" i="15" s="1"/>
  <c r="F84" i="15"/>
  <c r="G84" i="15" s="1"/>
  <c r="F83" i="15"/>
  <c r="G83" i="15" s="1"/>
  <c r="F82" i="15"/>
  <c r="G82" i="15" s="1"/>
  <c r="F80" i="15"/>
  <c r="G80" i="15" s="1"/>
  <c r="F79" i="15"/>
  <c r="G79" i="15" s="1"/>
  <c r="F78" i="15"/>
  <c r="G78" i="15" s="1"/>
  <c r="F77" i="15"/>
  <c r="G77" i="15" s="1"/>
  <c r="F76" i="15"/>
  <c r="G76" i="15" s="1"/>
  <c r="F75" i="15"/>
  <c r="G75" i="15" s="1"/>
  <c r="F73" i="15"/>
  <c r="G73" i="15" s="1"/>
  <c r="F72" i="15"/>
  <c r="G72" i="15" s="1"/>
  <c r="F71" i="15"/>
  <c r="G71" i="15" s="1"/>
  <c r="F70" i="15"/>
  <c r="G70" i="15" s="1"/>
  <c r="F69" i="15"/>
  <c r="G69" i="15" s="1"/>
  <c r="F68" i="15"/>
  <c r="G68" i="15" s="1"/>
  <c r="F66" i="15"/>
  <c r="G66" i="15" s="1"/>
  <c r="F65" i="15"/>
  <c r="G65" i="15" s="1"/>
  <c r="F64" i="15"/>
  <c r="G64" i="15" s="1"/>
  <c r="F63" i="15"/>
  <c r="G63" i="15" s="1"/>
  <c r="F62" i="15"/>
  <c r="G62" i="15" s="1"/>
  <c r="F61" i="15"/>
  <c r="G61" i="15" s="1"/>
  <c r="F54" i="15"/>
  <c r="G54" i="15" s="1"/>
  <c r="F53" i="15"/>
  <c r="G53" i="15" s="1"/>
  <c r="F52" i="15"/>
  <c r="G52" i="15" s="1"/>
  <c r="F51" i="15"/>
  <c r="G51" i="15" s="1"/>
  <c r="F50" i="15"/>
  <c r="G50" i="15" s="1"/>
  <c r="F49" i="15"/>
  <c r="G49" i="15" s="1"/>
  <c r="F48" i="15"/>
  <c r="G48" i="15" s="1"/>
  <c r="F47" i="15"/>
  <c r="G47" i="15" s="1"/>
  <c r="F39" i="15"/>
  <c r="G39" i="15" s="1"/>
  <c r="F38" i="15"/>
  <c r="G38" i="15" s="1"/>
  <c r="F37" i="15"/>
  <c r="G37" i="15" s="1"/>
  <c r="F36" i="15"/>
  <c r="G36" i="15" s="1"/>
  <c r="F35" i="15"/>
  <c r="G35" i="15" s="1"/>
  <c r="F34" i="15"/>
  <c r="G34" i="15" s="1"/>
  <c r="F33" i="15"/>
  <c r="G33" i="15" s="1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A6" i="15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F5" i="15"/>
  <c r="F28" i="15" l="1"/>
  <c r="G28" i="15" s="1"/>
  <c r="F27" i="15"/>
  <c r="G5" i="15"/>
  <c r="A20" i="15"/>
  <c r="A21" i="15" s="1"/>
  <c r="A22" i="15" s="1"/>
  <c r="A23" i="15" s="1"/>
  <c r="A24" i="15" s="1"/>
  <c r="A25" i="15" s="1"/>
  <c r="F109" i="15" l="1"/>
  <c r="G27" i="15"/>
  <c r="G109" i="15" s="1"/>
  <c r="A26" i="15"/>
  <c r="A27" i="15" s="1"/>
  <c r="A28" i="15" s="1"/>
  <c r="A29" i="15" s="1"/>
  <c r="A30" i="15" s="1"/>
  <c r="A31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l="1"/>
  <c r="A43" i="15" s="1"/>
  <c r="A44" i="15" s="1"/>
  <c r="A45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l="1"/>
  <c r="A57" i="15" s="1"/>
  <c r="A58" i="15" s="1"/>
  <c r="A59" i="15" s="1"/>
  <c r="A61" i="15" s="1"/>
  <c r="A62" i="15" s="1"/>
  <c r="A63" i="15" s="1"/>
  <c r="A64" i="15" s="1"/>
  <c r="A65" i="15" s="1"/>
  <c r="A66" i="15" s="1"/>
  <c r="A68" i="15" l="1"/>
  <c r="A69" i="15" s="1"/>
  <c r="A70" i="15" s="1"/>
  <c r="A71" i="15" s="1"/>
  <c r="A72" i="15" s="1"/>
  <c r="A73" i="15" s="1"/>
  <c r="A75" i="15" l="1"/>
  <c r="A76" i="15" s="1"/>
  <c r="A77" i="15" s="1"/>
  <c r="A78" i="15" s="1"/>
  <c r="A79" i="15" s="1"/>
  <c r="A80" i="15" s="1"/>
  <c r="A82" i="15" l="1"/>
  <c r="A83" i="15" s="1"/>
  <c r="A84" i="15" s="1"/>
  <c r="A85" i="15" s="1"/>
  <c r="A86" i="15" s="1"/>
  <c r="A87" i="15" s="1"/>
  <c r="A89" i="15" l="1"/>
  <c r="A90" i="15" s="1"/>
  <c r="A91" i="15" s="1"/>
  <c r="A92" i="15" s="1"/>
  <c r="A93" i="15" l="1"/>
  <c r="A94" i="15" s="1"/>
  <c r="A96" i="15" s="1"/>
  <c r="A97" i="15" s="1"/>
  <c r="A98" i="15" s="1"/>
  <c r="A99" i="15" s="1"/>
  <c r="A100" i="15" l="1"/>
  <c r="A101" i="15" s="1"/>
  <c r="A103" i="15" s="1"/>
  <c r="A104" i="15" s="1"/>
  <c r="A105" i="15" s="1"/>
  <c r="A106" i="15" s="1"/>
  <c r="A107" i="15" s="1"/>
  <c r="A108" i="15" s="1"/>
  <c r="G250" i="14"/>
  <c r="G249" i="14"/>
  <c r="G247" i="14"/>
  <c r="G244" i="14"/>
  <c r="G243" i="14"/>
  <c r="G242" i="14"/>
  <c r="G240" i="14"/>
  <c r="G239" i="14"/>
  <c r="G237" i="14"/>
  <c r="G236" i="14"/>
  <c r="G235" i="14"/>
  <c r="G234" i="14"/>
  <c r="G220" i="14"/>
  <c r="G218" i="14"/>
  <c r="G217" i="14"/>
  <c r="G216" i="14"/>
  <c r="G214" i="14"/>
  <c r="G213" i="14"/>
  <c r="G212" i="14"/>
  <c r="G211" i="14"/>
  <c r="G188" i="14"/>
  <c r="G185" i="14"/>
  <c r="G184" i="14"/>
  <c r="G183" i="14"/>
  <c r="G181" i="14"/>
  <c r="G180" i="14"/>
  <c r="G179" i="14"/>
  <c r="G178" i="14"/>
  <c r="G176" i="14"/>
  <c r="G174" i="14"/>
  <c r="G173" i="14"/>
  <c r="G172" i="14"/>
  <c r="G171" i="14"/>
  <c r="G170" i="14"/>
  <c r="G169" i="14"/>
  <c r="G168" i="14"/>
  <c r="G167" i="14"/>
  <c r="G166" i="14"/>
  <c r="G165" i="14"/>
  <c r="G162" i="14"/>
  <c r="G161" i="14"/>
  <c r="G160" i="14"/>
  <c r="G158" i="14"/>
  <c r="G157" i="14"/>
  <c r="G156" i="14"/>
  <c r="G155" i="14"/>
  <c r="G154" i="14"/>
  <c r="G153" i="14"/>
  <c r="G151" i="14"/>
  <c r="G150" i="14"/>
  <c r="G149" i="14"/>
  <c r="G148" i="14"/>
  <c r="G147" i="14"/>
  <c r="G146" i="14"/>
  <c r="G145" i="14"/>
  <c r="G144" i="14"/>
  <c r="G143" i="14"/>
  <c r="G142" i="14"/>
  <c r="G139" i="14"/>
  <c r="G138" i="14"/>
  <c r="G137" i="14"/>
  <c r="G136" i="14"/>
  <c r="G135" i="14"/>
  <c r="G134" i="14"/>
  <c r="G132" i="14"/>
  <c r="G130" i="14"/>
  <c r="G129" i="14"/>
  <c r="G128" i="14"/>
  <c r="G127" i="14"/>
  <c r="G126" i="14"/>
  <c r="G125" i="14"/>
  <c r="G124" i="14"/>
  <c r="G123" i="14"/>
  <c r="G120" i="14"/>
  <c r="G118" i="14"/>
  <c r="G116" i="14"/>
  <c r="G115" i="14"/>
  <c r="G114" i="14"/>
  <c r="G113" i="14"/>
  <c r="G112" i="14"/>
  <c r="G111" i="14"/>
  <c r="G108" i="14"/>
  <c r="G107" i="14"/>
  <c r="G106" i="14"/>
  <c r="G105" i="14"/>
  <c r="G104" i="14"/>
  <c r="G103" i="14"/>
  <c r="G102" i="14"/>
  <c r="G101" i="14"/>
  <c r="G100" i="14"/>
  <c r="G99" i="14"/>
  <c r="G88" i="14"/>
  <c r="G87" i="14"/>
  <c r="G86" i="14"/>
  <c r="G85" i="14"/>
  <c r="G84" i="14"/>
  <c r="G83" i="14"/>
  <c r="G82" i="14"/>
  <c r="G80" i="14"/>
  <c r="G79" i="14"/>
  <c r="G78" i="14"/>
  <c r="G77" i="14"/>
  <c r="G76" i="14"/>
  <c r="G75" i="14"/>
  <c r="G74" i="14"/>
  <c r="G73" i="14"/>
  <c r="G72" i="14"/>
  <c r="G71" i="14"/>
  <c r="G68" i="14"/>
  <c r="G59" i="14"/>
  <c r="G58" i="14"/>
  <c r="G57" i="14"/>
  <c r="G56" i="14"/>
  <c r="G55" i="14"/>
  <c r="G54" i="14"/>
  <c r="G52" i="14"/>
  <c r="G51" i="14"/>
  <c r="G50" i="14"/>
  <c r="G49" i="14"/>
  <c r="G48" i="14"/>
  <c r="G47" i="14"/>
  <c r="G46" i="14"/>
  <c r="G45" i="14"/>
  <c r="G44" i="14"/>
  <c r="G43" i="14"/>
  <c r="G32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5" i="14"/>
  <c r="G14" i="14"/>
  <c r="G13" i="14"/>
  <c r="G12" i="14"/>
  <c r="G11" i="14"/>
  <c r="G10" i="14"/>
  <c r="G9" i="14"/>
  <c r="G8" i="14"/>
  <c r="G7" i="14"/>
  <c r="A7" i="14"/>
  <c r="A8" i="14" s="1"/>
  <c r="A9" i="14" s="1"/>
  <c r="A10" i="14" s="1"/>
  <c r="A11" i="14" s="1"/>
  <c r="A12" i="14" s="1"/>
  <c r="A13" i="14" s="1"/>
  <c r="A14" i="14" s="1"/>
  <c r="A15" i="14" s="1"/>
  <c r="F251" i="14" l="1"/>
  <c r="F252" i="14" s="1"/>
  <c r="F253" i="14" s="1"/>
  <c r="A17" i="14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1" i="14" s="1"/>
  <c r="A32" i="14" s="1"/>
  <c r="G6" i="14"/>
  <c r="G251" i="14" s="1"/>
  <c r="G252" i="14" s="1"/>
  <c r="G253" i="14" s="1"/>
  <c r="F11" i="4"/>
  <c r="G11" i="4" s="1"/>
  <c r="A34" i="14" l="1"/>
  <c r="A36" i="14" s="1"/>
  <c r="A38" i="14" s="1"/>
  <c r="A39" i="14" s="1"/>
  <c r="A40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4" i="14" s="1"/>
  <c r="A55" i="14" s="1"/>
  <c r="A56" i="14" s="1"/>
  <c r="A57" i="14" s="1"/>
  <c r="A58" i="14" s="1"/>
  <c r="A59" i="14" s="1"/>
  <c r="A60" i="14" l="1"/>
  <c r="A61" i="14" s="1"/>
  <c r="A62" i="14" s="1"/>
  <c r="A63" i="14" s="1"/>
  <c r="A64" i="14" s="1"/>
  <c r="A66" i="14" s="1"/>
  <c r="A67" i="14" s="1"/>
  <c r="A68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2" i="14" s="1"/>
  <c r="A83" i="14" s="1"/>
  <c r="A84" i="14" s="1"/>
  <c r="A85" i="14" s="1"/>
  <c r="A86" i="14" s="1"/>
  <c r="A87" i="14" s="1"/>
  <c r="A88" i="14" s="1"/>
  <c r="A89" i="14" l="1"/>
  <c r="A90" i="14" s="1"/>
  <c r="A91" i="14" s="1"/>
  <c r="A92" i="14" s="1"/>
  <c r="A94" i="14" s="1"/>
  <c r="A95" i="14" s="1"/>
  <c r="A96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1" i="14" s="1"/>
  <c r="A112" i="14" s="1"/>
  <c r="A113" i="14" s="1"/>
  <c r="A114" i="14" s="1"/>
  <c r="A115" i="14" s="1"/>
  <c r="A116" i="14" s="1"/>
  <c r="A118" i="14" s="1"/>
  <c r="A119" i="14" l="1"/>
  <c r="A120" i="14" s="1"/>
  <c r="A123" i="14" s="1"/>
  <c r="A124" i="14" s="1"/>
  <c r="A125" i="14" s="1"/>
  <c r="A126" i="14" s="1"/>
  <c r="A127" i="14" s="1"/>
  <c r="A128" i="14" s="1"/>
  <c r="A129" i="14" s="1"/>
  <c r="A130" i="14" s="1"/>
  <c r="A131" i="14" l="1"/>
  <c r="A132" i="14" s="1"/>
  <c r="A134" i="14" s="1"/>
  <c r="A135" i="14" s="1"/>
  <c r="A136" i="14" s="1"/>
  <c r="A137" i="14" s="1"/>
  <c r="A138" i="14" s="1"/>
  <c r="A139" i="14" s="1"/>
  <c r="A142" i="14" l="1"/>
  <c r="A143" i="14" s="1"/>
  <c r="A144" i="14" s="1"/>
  <c r="A145" i="14" s="1"/>
  <c r="A146" i="14" s="1"/>
  <c r="A147" i="14" s="1"/>
  <c r="A148" i="14" s="1"/>
  <c r="A149" i="14" s="1"/>
  <c r="A150" i="14" s="1"/>
  <c r="A151" i="14" s="1"/>
  <c r="A153" i="14" s="1"/>
  <c r="A154" i="14" s="1"/>
  <c r="A155" i="14" s="1"/>
  <c r="A156" i="14" s="1"/>
  <c r="A157" i="14" s="1"/>
  <c r="A158" i="14" s="1"/>
  <c r="A160" i="14" l="1"/>
  <c r="A161" i="14" s="1"/>
  <c r="A162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6" i="14" s="1"/>
  <c r="A177" i="14" s="1"/>
  <c r="A178" i="14" s="1"/>
  <c r="A179" i="14" s="1"/>
  <c r="A180" i="14" s="1"/>
  <c r="A181" i="14" s="1"/>
  <c r="A183" i="14" s="1"/>
  <c r="A184" i="14" s="1"/>
  <c r="A185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9" i="14" s="1"/>
  <c r="A200" i="14" s="1"/>
  <c r="A201" i="14" s="1"/>
  <c r="A202" i="14" s="1"/>
  <c r="A203" i="14" s="1"/>
  <c r="A204" i="14" s="1"/>
  <c r="A206" i="14" s="1"/>
  <c r="A207" i="14" s="1"/>
  <c r="A208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2" i="14" s="1"/>
  <c r="A223" i="14" s="1"/>
  <c r="A224" i="14" s="1"/>
  <c r="A225" i="14" s="1"/>
  <c r="A226" i="14" s="1"/>
  <c r="A227" i="14" s="1"/>
  <c r="A229" i="14" s="1"/>
  <c r="A230" i="14" s="1"/>
  <c r="A231" i="14" s="1"/>
  <c r="A234" i="14" s="1"/>
  <c r="A235" i="14" s="1"/>
  <c r="A236" i="14" s="1"/>
  <c r="A237" i="14" s="1"/>
  <c r="A239" i="14" s="1"/>
  <c r="A240" i="14" s="1"/>
  <c r="A241" i="14" s="1"/>
  <c r="A242" i="14" s="1"/>
  <c r="A243" i="14" s="1"/>
  <c r="A244" i="14" s="1"/>
  <c r="A245" i="14" s="1"/>
  <c r="A247" i="14" s="1"/>
  <c r="A248" i="14" s="1"/>
  <c r="A249" i="14" s="1"/>
  <c r="A250" i="14" s="1"/>
  <c r="F56" i="10" l="1"/>
  <c r="G56" i="10" s="1"/>
  <c r="F55" i="10"/>
  <c r="G55" i="10" s="1"/>
  <c r="F54" i="10"/>
  <c r="G54" i="10" s="1"/>
  <c r="F52" i="10"/>
  <c r="G52" i="10" s="1"/>
  <c r="F51" i="10"/>
  <c r="G51" i="10" s="1"/>
  <c r="F50" i="10"/>
  <c r="G50" i="10" s="1"/>
  <c r="F47" i="10"/>
  <c r="G47" i="10" s="1"/>
  <c r="F46" i="10"/>
  <c r="G46" i="10" s="1"/>
  <c r="F43" i="10"/>
  <c r="G43" i="10" s="1"/>
  <c r="F42" i="10"/>
  <c r="G42" i="10" s="1"/>
  <c r="F41" i="10"/>
  <c r="G41" i="10" s="1"/>
  <c r="F39" i="10"/>
  <c r="G39" i="10" s="1"/>
  <c r="F38" i="10"/>
  <c r="G38" i="10" s="1"/>
  <c r="F37" i="10"/>
  <c r="G37" i="10" s="1"/>
  <c r="F34" i="10"/>
  <c r="G34" i="10" s="1"/>
  <c r="F33" i="10"/>
  <c r="G33" i="10" s="1"/>
  <c r="F30" i="10"/>
  <c r="G30" i="10" s="1"/>
  <c r="F29" i="10"/>
  <c r="G29" i="10" s="1"/>
  <c r="F28" i="10"/>
  <c r="G28" i="10" s="1"/>
  <c r="F26" i="10"/>
  <c r="G26" i="10" s="1"/>
  <c r="F25" i="10"/>
  <c r="G25" i="10" s="1"/>
  <c r="F24" i="10"/>
  <c r="G24" i="10" s="1"/>
  <c r="F21" i="10"/>
  <c r="G21" i="10" s="1"/>
  <c r="F17" i="10"/>
  <c r="G17" i="10" s="1"/>
  <c r="F16" i="10"/>
  <c r="G16" i="10" s="1"/>
  <c r="F15" i="10"/>
  <c r="G15" i="10" s="1"/>
  <c r="F13" i="10"/>
  <c r="G13" i="10" s="1"/>
  <c r="F12" i="10"/>
  <c r="G12" i="10" s="1"/>
  <c r="F11" i="10"/>
  <c r="G11" i="10" s="1"/>
  <c r="F8" i="10"/>
  <c r="G8" i="10" s="1"/>
  <c r="F35" i="5"/>
  <c r="G35" i="5" s="1"/>
  <c r="F34" i="5"/>
  <c r="G34" i="5" s="1"/>
  <c r="F33" i="5"/>
  <c r="G33" i="5" s="1"/>
  <c r="E40" i="5"/>
  <c r="F40" i="5" s="1"/>
  <c r="G40" i="5" s="1"/>
  <c r="F39" i="5"/>
  <c r="G39" i="5" s="1"/>
  <c r="E38" i="5"/>
  <c r="F38" i="5" s="1"/>
  <c r="G38" i="5" s="1"/>
  <c r="E37" i="5"/>
  <c r="F37" i="5" s="1"/>
  <c r="G37" i="5" s="1"/>
  <c r="E36" i="5"/>
  <c r="F36" i="5" s="1"/>
  <c r="G36" i="5" s="1"/>
  <c r="E31" i="5"/>
  <c r="F31" i="5" s="1"/>
  <c r="G31" i="5" s="1"/>
  <c r="F30" i="5"/>
  <c r="G30" i="5" s="1"/>
  <c r="E29" i="5"/>
  <c r="F29" i="5" s="1"/>
  <c r="G29" i="5" s="1"/>
  <c r="E28" i="5"/>
  <c r="F28" i="5" s="1"/>
  <c r="G28" i="5" s="1"/>
  <c r="E27" i="5"/>
  <c r="F27" i="5" s="1"/>
  <c r="G27" i="5" s="1"/>
  <c r="F26" i="5"/>
  <c r="G26" i="5" s="1"/>
  <c r="F25" i="5"/>
  <c r="G25" i="5" s="1"/>
  <c r="F24" i="5"/>
  <c r="G24" i="5" s="1"/>
  <c r="E22" i="5"/>
  <c r="F22" i="5" s="1"/>
  <c r="G22" i="5" s="1"/>
  <c r="F21" i="5"/>
  <c r="G21" i="5" s="1"/>
  <c r="E20" i="5"/>
  <c r="F20" i="5" s="1"/>
  <c r="G20" i="5" s="1"/>
  <c r="E19" i="5"/>
  <c r="F19" i="5" s="1"/>
  <c r="G19" i="5" s="1"/>
  <c r="E18" i="5"/>
  <c r="F18" i="5" s="1"/>
  <c r="G18" i="5" s="1"/>
  <c r="F17" i="5"/>
  <c r="G17" i="5" s="1"/>
  <c r="F16" i="5"/>
  <c r="G16" i="5" s="1"/>
  <c r="F15" i="5"/>
  <c r="G15" i="5" s="1"/>
  <c r="E11" i="5"/>
  <c r="F11" i="5" s="1"/>
  <c r="G11" i="5" s="1"/>
  <c r="E10" i="5"/>
  <c r="F10" i="5" s="1"/>
  <c r="G10" i="5" s="1"/>
  <c r="E13" i="5"/>
  <c r="F13" i="5" s="1"/>
  <c r="G13" i="5" s="1"/>
  <c r="F12" i="5"/>
  <c r="G12" i="5" s="1"/>
  <c r="E9" i="5"/>
  <c r="F9" i="5" s="1"/>
  <c r="G9" i="5" s="1"/>
  <c r="F8" i="5"/>
  <c r="G8" i="5" s="1"/>
  <c r="F7" i="5"/>
  <c r="G7" i="5" s="1"/>
  <c r="F6" i="5"/>
  <c r="G6" i="5" s="1"/>
  <c r="F41" i="5" l="1"/>
  <c r="G41" i="5" l="1"/>
  <c r="A7" i="5"/>
  <c r="A8" i="5" s="1"/>
  <c r="A9" i="5" s="1"/>
  <c r="A10" i="5" s="1"/>
  <c r="A11" i="5" s="1"/>
  <c r="A12" i="5" s="1"/>
  <c r="A13" i="5" s="1"/>
  <c r="A15" i="5" s="1"/>
  <c r="A16" i="5" s="1"/>
  <c r="A17" i="5" s="1"/>
  <c r="A18" i="5" s="1"/>
  <c r="A19" i="5" s="1"/>
  <c r="A20" i="5" s="1"/>
  <c r="A21" i="5" s="1"/>
  <c r="A22" i="5" s="1"/>
  <c r="A24" i="5" s="1"/>
  <c r="A25" i="5" s="1"/>
  <c r="A26" i="5" s="1"/>
  <c r="A27" i="5" s="1"/>
  <c r="A28" i="5" s="1"/>
  <c r="A29" i="5" s="1"/>
  <c r="A30" i="5" s="1"/>
  <c r="A31" i="5" s="1"/>
  <c r="A33" i="5" s="1"/>
  <c r="A34" i="5" s="1"/>
  <c r="A35" i="5" s="1"/>
  <c r="A36" i="5" s="1"/>
  <c r="A37" i="5" s="1"/>
  <c r="A38" i="5" s="1"/>
  <c r="A39" i="5" s="1"/>
  <c r="A40" i="5" s="1"/>
  <c r="E16" i="9" l="1"/>
  <c r="F16" i="9" s="1"/>
  <c r="G16" i="9" s="1"/>
  <c r="E10" i="9"/>
  <c r="F10" i="9" s="1"/>
  <c r="G10" i="9" s="1"/>
  <c r="E14" i="9"/>
  <c r="E13" i="9"/>
  <c r="F13" i="9" s="1"/>
  <c r="G13" i="9" s="1"/>
  <c r="E12" i="9"/>
  <c r="F12" i="9" s="1"/>
  <c r="G12" i="9" s="1"/>
  <c r="E11" i="9"/>
  <c r="F11" i="9" s="1"/>
  <c r="G11" i="9" s="1"/>
  <c r="E9" i="9"/>
  <c r="F9" i="9" s="1"/>
  <c r="G9" i="9" s="1"/>
  <c r="F18" i="9"/>
  <c r="G18" i="9" s="1"/>
  <c r="F17" i="9"/>
  <c r="G17" i="9" s="1"/>
  <c r="F14" i="9"/>
  <c r="G14" i="9" s="1"/>
  <c r="F6" i="9"/>
  <c r="G6" i="9" s="1"/>
  <c r="F5" i="9"/>
  <c r="G5" i="9" s="1"/>
  <c r="E7" i="9"/>
  <c r="F7" i="9" s="1"/>
  <c r="G7" i="9" s="1"/>
  <c r="A6" i="9"/>
  <c r="A7" i="9" s="1"/>
  <c r="A9" i="9" s="1"/>
  <c r="A10" i="9" s="1"/>
  <c r="A11" i="9" s="1"/>
  <c r="A12" i="9" s="1"/>
  <c r="A13" i="9" s="1"/>
  <c r="A14" i="9" s="1"/>
  <c r="A16" i="9" s="1"/>
  <c r="A17" i="9" s="1"/>
  <c r="A5" i="4"/>
  <c r="A6" i="4" s="1"/>
  <c r="A7" i="4" s="1"/>
  <c r="A8" i="4" s="1"/>
  <c r="A9" i="4" s="1"/>
  <c r="A10" i="4" s="1"/>
  <c r="A11" i="4" s="1"/>
  <c r="E10" i="4"/>
  <c r="F10" i="4" s="1"/>
  <c r="G10" i="4" s="1"/>
  <c r="E9" i="4"/>
  <c r="F9" i="4" s="1"/>
  <c r="E8" i="4"/>
  <c r="F8" i="4" s="1"/>
  <c r="G8" i="4" s="1"/>
  <c r="E7" i="4"/>
  <c r="F7" i="4" s="1"/>
  <c r="G7" i="4" s="1"/>
  <c r="D6" i="4"/>
  <c r="E6" i="4"/>
  <c r="E5" i="4"/>
  <c r="F5" i="4" s="1"/>
  <c r="G5" i="4" s="1"/>
  <c r="E4" i="4"/>
  <c r="F4" i="4" s="1"/>
  <c r="G4" i="4" l="1"/>
  <c r="A18" i="9"/>
  <c r="G19" i="9"/>
  <c r="G20" i="9" s="1"/>
  <c r="G21" i="9" s="1"/>
  <c r="F19" i="9"/>
  <c r="F20" i="9" s="1"/>
  <c r="F21" i="9" s="1"/>
  <c r="G9" i="4"/>
  <c r="F6" i="4"/>
  <c r="G6" i="4" s="1"/>
  <c r="F12" i="4" l="1"/>
  <c r="G12" i="4"/>
  <c r="G15" i="8" l="1"/>
  <c r="G17" i="8" s="1"/>
  <c r="F3" i="13" s="1"/>
  <c r="F17" i="8"/>
  <c r="C3" i="13" s="1"/>
  <c r="F17" i="3" l="1"/>
  <c r="D3" i="13" s="1"/>
  <c r="E3" i="13" s="1"/>
  <c r="G17" i="3" l="1"/>
  <c r="G3" i="13" s="1"/>
  <c r="H3" i="13" s="1"/>
  <c r="E4" i="13"/>
  <c r="D48" i="10" l="1"/>
  <c r="F48" i="10" s="1"/>
  <c r="G48" i="10" s="1"/>
  <c r="D35" i="10"/>
  <c r="F35" i="10" s="1"/>
  <c r="G35" i="10" s="1"/>
  <c r="D22" i="10"/>
  <c r="F22" i="10" s="1"/>
  <c r="G22" i="10" s="1"/>
  <c r="D20" i="10"/>
  <c r="F20" i="10" s="1"/>
  <c r="G20" i="10" s="1"/>
  <c r="D9" i="10"/>
  <c r="F9" i="10" s="1"/>
  <c r="G9" i="10" s="1"/>
  <c r="D7" i="10"/>
  <c r="F7" i="10" s="1"/>
  <c r="A8" i="10"/>
  <c r="A9" i="10" s="1"/>
  <c r="A10" i="10" s="1"/>
  <c r="A15" i="10" s="1"/>
  <c r="A16" i="10" s="1"/>
  <c r="A17" i="10" s="1"/>
  <c r="A20" i="10" s="1"/>
  <c r="A21" i="10" s="1"/>
  <c r="A22" i="10" s="1"/>
  <c r="A23" i="10" s="1"/>
  <c r="A28" i="10" s="1"/>
  <c r="A29" i="10" s="1"/>
  <c r="A30" i="10" s="1"/>
  <c r="A33" i="10" s="1"/>
  <c r="A34" i="10" s="1"/>
  <c r="A35" i="10" s="1"/>
  <c r="A36" i="10" s="1"/>
  <c r="A41" i="10" s="1"/>
  <c r="A42" i="10" s="1"/>
  <c r="A43" i="10" s="1"/>
  <c r="A46" i="10" s="1"/>
  <c r="A47" i="10" s="1"/>
  <c r="A48" i="10" s="1"/>
  <c r="A49" i="10" s="1"/>
  <c r="A54" i="10" s="1"/>
  <c r="A55" i="10" s="1"/>
  <c r="A56" i="10" s="1"/>
  <c r="G7" i="10" l="1"/>
  <c r="F57" i="10"/>
  <c r="G57" i="10"/>
  <c r="G58" i="10" s="1"/>
  <c r="G59" i="10" s="1"/>
  <c r="F58" i="10" l="1"/>
  <c r="F59" i="10" s="1"/>
  <c r="D4" i="13" l="1"/>
  <c r="G4" i="13" l="1"/>
  <c r="G62" i="2" l="1"/>
  <c r="G61" i="2"/>
  <c r="D61" i="2"/>
  <c r="G82" i="2" l="1"/>
  <c r="H82" i="2" s="1"/>
  <c r="H81" i="2"/>
  <c r="H80" i="2"/>
  <c r="G79" i="2"/>
  <c r="H79" i="2" s="1"/>
  <c r="G78" i="2"/>
  <c r="H78" i="2" s="1"/>
  <c r="G77" i="2"/>
  <c r="H77" i="2" s="1"/>
  <c r="H76" i="2"/>
  <c r="H33" i="2"/>
  <c r="G33" i="2" s="1"/>
  <c r="H17" i="2"/>
  <c r="G17" i="2" s="1"/>
  <c r="H68" i="1"/>
  <c r="H72" i="1"/>
  <c r="H73" i="1"/>
  <c r="H33" i="1"/>
  <c r="G33" i="1" s="1"/>
  <c r="H17" i="1"/>
  <c r="G17" i="1" s="1"/>
  <c r="G86" i="2" l="1"/>
  <c r="H86" i="2"/>
  <c r="G74" i="1"/>
  <c r="H74" i="1" s="1"/>
  <c r="G70" i="1"/>
  <c r="H70" i="1" s="1"/>
  <c r="G71" i="1"/>
  <c r="H71" i="1" s="1"/>
  <c r="G69" i="1"/>
  <c r="H69" i="1" s="1"/>
  <c r="G67" i="1"/>
  <c r="H67" i="1" s="1"/>
  <c r="G66" i="1"/>
  <c r="H66" i="1" s="1"/>
  <c r="G65" i="1"/>
  <c r="H65" i="1" s="1"/>
  <c r="G63" i="1"/>
  <c r="H63" i="1" s="1"/>
  <c r="G64" i="1"/>
  <c r="H64" i="1" s="1"/>
  <c r="G61" i="1"/>
  <c r="H61" i="1" s="1"/>
  <c r="G62" i="1"/>
  <c r="H62" i="1" s="1"/>
  <c r="H78" i="1" l="1"/>
  <c r="G78" i="1"/>
  <c r="H79" i="1" s="1"/>
  <c r="H87" i="2"/>
  <c r="F4" i="13" l="1"/>
  <c r="C4" i="13"/>
  <c r="H4" i="13" l="1"/>
</calcChain>
</file>

<file path=xl/sharedStrings.xml><?xml version="1.0" encoding="utf-8"?>
<sst xmlns="http://schemas.openxmlformats.org/spreadsheetml/2006/main" count="3477" uniqueCount="862">
  <si>
    <t>№ПП</t>
  </si>
  <si>
    <t>Производитель</t>
  </si>
  <si>
    <t>Технические требования</t>
  </si>
  <si>
    <t>Наименование</t>
  </si>
  <si>
    <t>Примечания</t>
  </si>
  <si>
    <t>Цех 8</t>
  </si>
  <si>
    <t>1.</t>
  </si>
  <si>
    <t>Строительные материалы и оборудование цеха</t>
  </si>
  <si>
    <t>1.1.</t>
  </si>
  <si>
    <t xml:space="preserve"> 8 м</t>
  </si>
  <si>
    <t>1.2.</t>
  </si>
  <si>
    <t>Двери АБК</t>
  </si>
  <si>
    <t>Сантехника АБК</t>
  </si>
  <si>
    <t>Потолки АБК</t>
  </si>
  <si>
    <t>Огнестойкие полы цеха</t>
  </si>
  <si>
    <t>до 800 градусов</t>
  </si>
  <si>
    <t>ЖД пути внутрицеховые рельсы</t>
  </si>
  <si>
    <t>Р-65</t>
  </si>
  <si>
    <t xml:space="preserve">Шпалы в комплекте с креплениями </t>
  </si>
  <si>
    <t>Ворота автоматические вьздные</t>
  </si>
  <si>
    <t>Количество</t>
  </si>
  <si>
    <t>8 шт.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</si>
  <si>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</si>
  <si>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</si>
  <si>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</si>
  <si>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</si>
  <si>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</si>
  <si>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</si>
  <si>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</si>
  <si>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</si>
  <si>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</si>
  <si>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2.</t>
  </si>
  <si>
    <t>Электроснабжение</t>
  </si>
  <si>
    <t>кабель  от шинопровода до сварочной розетки 380В в щитке на 31 сварочный пост</t>
  </si>
  <si>
    <t>4х10мм</t>
  </si>
  <si>
    <t>2.1.</t>
  </si>
  <si>
    <t>2.2.</t>
  </si>
  <si>
    <t>кабели освещения и питания по АБК</t>
  </si>
  <si>
    <t>кабели питания кранов мостовых 3 шт.</t>
  </si>
  <si>
    <t>распред шкафы (сборные)</t>
  </si>
  <si>
    <t>внутреннее освещение общее+аварийное – светильники диодные без замены питающей сети</t>
  </si>
  <si>
    <t>Светильники АБК</t>
  </si>
  <si>
    <t>Светильники уличные наружного освещения</t>
  </si>
  <si>
    <t>2.3.</t>
  </si>
  <si>
    <t>2.4.</t>
  </si>
  <si>
    <t>2.5.</t>
  </si>
  <si>
    <t>2.6.</t>
  </si>
  <si>
    <t>2.7.</t>
  </si>
  <si>
    <t>2.8.</t>
  </si>
  <si>
    <t>Шинопровод</t>
  </si>
  <si>
    <t>При необходимости замены</t>
  </si>
  <si>
    <t>Отопление и вентиляция</t>
  </si>
  <si>
    <t>3.</t>
  </si>
  <si>
    <t>- водяные тепловые завесы над воротами</t>
  </si>
  <si>
    <t>- кондиционеры для АБК</t>
  </si>
  <si>
    <t>- оборудование системы автоматического регулирования и управления</t>
  </si>
  <si>
    <t xml:space="preserve"> приточно-вытяжное оборудование отопления и вентиляции цеха и АБК</t>
  </si>
  <si>
    <t>3.1.</t>
  </si>
  <si>
    <t>3.2.</t>
  </si>
  <si>
    <t>3.3.</t>
  </si>
  <si>
    <t>3.4.</t>
  </si>
  <si>
    <t>- Система управления компрессорами</t>
  </si>
  <si>
    <t>- АРМ</t>
  </si>
  <si>
    <t>- дополнительные трубопроводы для подачи воздуха</t>
  </si>
  <si>
    <t>Система подачи сжатого воздуха</t>
  </si>
  <si>
    <t>4.</t>
  </si>
  <si>
    <t>4.1.</t>
  </si>
  <si>
    <t>4.2.</t>
  </si>
  <si>
    <t>4.3.</t>
  </si>
  <si>
    <t>4.4.</t>
  </si>
  <si>
    <t>10м3/мин</t>
  </si>
  <si>
    <t>Компрессоры комплектно с осушителями и воздухосборниками</t>
  </si>
  <si>
    <t>2 шт.</t>
  </si>
  <si>
    <t>ООО "ЧКЗ МСК"</t>
  </si>
  <si>
    <t>- пульт АПС С200-М</t>
  </si>
  <si>
    <t>- извещатели пожарные автоматические и ручные</t>
  </si>
  <si>
    <t>- ИБП</t>
  </si>
  <si>
    <t>АПС пожарная сигнализация</t>
  </si>
  <si>
    <t>5.</t>
  </si>
  <si>
    <t>5.1.</t>
  </si>
  <si>
    <t>5.2.</t>
  </si>
  <si>
    <t>5.3.</t>
  </si>
  <si>
    <t>- звуковые оповещатели</t>
  </si>
  <si>
    <t>- световые оповещатели</t>
  </si>
  <si>
    <t>- ВОЛС кабель</t>
  </si>
  <si>
    <t>- медный кабель (витая пара)</t>
  </si>
  <si>
    <t>- патч корды</t>
  </si>
  <si>
    <t>- оптические кроссы</t>
  </si>
  <si>
    <t>- патч панели</t>
  </si>
  <si>
    <t>- Ethernet коммутаторы</t>
  </si>
  <si>
    <t>- кабельные органайзеры</t>
  </si>
  <si>
    <t>- универсальные розетки типа RJ45</t>
  </si>
  <si>
    <t>- кабельные лотки</t>
  </si>
  <si>
    <t>- IP-камеры Hikvision с поддержкой РоЕ</t>
  </si>
  <si>
    <t>- розетки, репитеры, кабель</t>
  </si>
  <si>
    <t>- коммутаторы</t>
  </si>
  <si>
    <t xml:space="preserve">СОУЭ (оповещение и эвакуация) </t>
  </si>
  <si>
    <t>СКС</t>
  </si>
  <si>
    <t>СОТ (охранное телевидение)</t>
  </si>
  <si>
    <t>6.</t>
  </si>
  <si>
    <t>7.</t>
  </si>
  <si>
    <t>8.</t>
  </si>
  <si>
    <t>6.1.</t>
  </si>
  <si>
    <t>6.2.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</si>
  <si>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</si>
  <si>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</si>
  <si>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</si>
  <si>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</si>
  <si>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</si>
  <si>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</si>
  <si>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</si>
  <si>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</si>
  <si>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</si>
  <si>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</si>
  <si>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8.1.</t>
  </si>
  <si>
    <t>8.2.</t>
  </si>
  <si>
    <t>8.3.</t>
  </si>
  <si>
    <t>ЖД пути от 417, 217 цехов</t>
  </si>
  <si>
    <t xml:space="preserve">Укладка звеньевого пути в прямых и кривых новыми рельсами типа Р-65 при 1840 шт. деревянных шпал на 1 км пути, тип скреплений – костыльное, км, в том числе: </t>
  </si>
  <si>
    <t>Стрелочный перевод правый  для установки по основному пути в кривую Р-600 с комплектом деревянных брусьев и костылей, комплект</t>
  </si>
  <si>
    <t>ТИП Р65 МАРКА 1/9 ПРОЕКТ 2766.00.000</t>
  </si>
  <si>
    <t>Стрелочный перевод левый  с комплектом деревянных брусьев и костылей, комплект</t>
  </si>
  <si>
    <t>Стрелочный перевод правый  с комплектом деревянных брусьев и костылей, комплект</t>
  </si>
  <si>
    <t>ТИП Р65 МАРКА 1/6 ПРОЕКТ 2307.00.000</t>
  </si>
  <si>
    <t xml:space="preserve">Установка тупиковых упоров </t>
  </si>
  <si>
    <t>(ТУ 5264-001-83875090-2016)</t>
  </si>
  <si>
    <t>типа Р65 под углом 45º</t>
  </si>
  <si>
    <t xml:space="preserve">Глухое пересечение , комплект </t>
  </si>
  <si>
    <t>16х16х165</t>
  </si>
  <si>
    <t>Р-65 категория Нт, длина 12,5 м</t>
  </si>
  <si>
    <t>ЖБ либо деревянная тип 2 (?)</t>
  </si>
  <si>
    <t>Отделочные материалы АБК, в составе:</t>
  </si>
  <si>
    <t>1.4.1.</t>
  </si>
  <si>
    <t>…</t>
  </si>
  <si>
    <t>Межпролетные механические ворота перегородка цеха</t>
  </si>
  <si>
    <t>Двери перегородка цеха</t>
  </si>
  <si>
    <t>Сендвич-панель перегородка цеха</t>
  </si>
  <si>
    <t>Полы АБК</t>
  </si>
  <si>
    <t>1.12.</t>
  </si>
  <si>
    <t>1.13.</t>
  </si>
  <si>
    <t>Модульное здание ц.8</t>
  </si>
  <si>
    <t>6х4,8м, два этажа, 15 окон, 2 двери, лестница на 2 этаж</t>
  </si>
  <si>
    <t>2шт.</t>
  </si>
  <si>
    <t>Цена по КП за весь объем с НДС</t>
  </si>
  <si>
    <t>тип II ГОСТ</t>
  </si>
  <si>
    <r>
      <t xml:space="preserve">65кг на погонный метр. Один рельс 12,5*0,065=0,8125т </t>
    </r>
    <r>
      <rPr>
        <b/>
        <sz val="11"/>
        <color theme="1"/>
        <rFont val="Calibri"/>
        <family val="2"/>
        <charset val="204"/>
        <scheme val="minor"/>
      </rPr>
      <t>Всего 468*0,8125=380,25т</t>
    </r>
  </si>
  <si>
    <t>3870р за ед</t>
  </si>
  <si>
    <t>КП ТД ТЕХМЕТ</t>
  </si>
  <si>
    <t>в 1т.130шт. Всего 7740/130=59,5т</t>
  </si>
  <si>
    <t>0,378кг/шт. Всего 30960*0,378=11,702т</t>
  </si>
  <si>
    <t>масса=468рельс*2стороны * 0,0295т/шт = 27,612т</t>
  </si>
  <si>
    <t>Накладка 1Р-65, шт</t>
  </si>
  <si>
    <t>Подкладка Д-65 шт</t>
  </si>
  <si>
    <t>Костыль путевой шт</t>
  </si>
  <si>
    <t>Шпала деревянная пропитанная шт</t>
  </si>
  <si>
    <t xml:space="preserve">Рельс Р-65 </t>
  </si>
  <si>
    <t>масса 7740шт*0,00136т=10,5264т</t>
  </si>
  <si>
    <t>Противоугон П-65 шт</t>
  </si>
  <si>
    <t>Пpoклaдкa ЦП-362 нaшпaльнaя (Д-65) шт</t>
  </si>
  <si>
    <t>Сыпучие материалы:</t>
  </si>
  <si>
    <t>Щебень</t>
  </si>
  <si>
    <t>Песок</t>
  </si>
  <si>
    <t>9.1.</t>
  </si>
  <si>
    <t>9.2.</t>
  </si>
  <si>
    <t>фракция</t>
  </si>
  <si>
    <t>КП №112-сбр от 06.03.2023+сертификаты с доставкой и ПНР. +100% к цене</t>
  </si>
  <si>
    <t>КП №112-сбр от 06.03.2023+сертификаты +100% к цене</t>
  </si>
  <si>
    <t>Цена выход</t>
  </si>
  <si>
    <t>КП ТД ВЗВТ от 22.03.23 включая доставку и монтаж +35% к исх, 10% дисконт планово, уточнить на момент поставки</t>
  </si>
  <si>
    <t>ИТОГО</t>
  </si>
  <si>
    <t>рент</t>
  </si>
  <si>
    <t>Дорхан</t>
  </si>
  <si>
    <t>Гриша</t>
  </si>
  <si>
    <t>Олеванов</t>
  </si>
  <si>
    <t>Веза</t>
  </si>
  <si>
    <r>
      <t xml:space="preserve">65кг на погонный метр. Один рельс 12,5*0,065=0,8125т </t>
    </r>
    <r>
      <rPr>
        <b/>
        <sz val="11"/>
        <color theme="1"/>
        <rFont val="Calibri"/>
        <family val="2"/>
        <charset val="204"/>
        <scheme val="minor"/>
      </rPr>
      <t>Всего 308*0,8125=250,25т</t>
    </r>
  </si>
  <si>
    <t>417 путь</t>
  </si>
  <si>
    <t>217 путь</t>
  </si>
  <si>
    <t>шт</t>
  </si>
  <si>
    <t>Рельсошпальная решетка Р-65 на бетонной шпале, тип скрепления ЖБР-65Ш в сборе</t>
  </si>
  <si>
    <t xml:space="preserve">Тупиковые упоры новые </t>
  </si>
  <si>
    <t>м3</t>
  </si>
  <si>
    <t>м</t>
  </si>
  <si>
    <t>цена за ед без НДС</t>
  </si>
  <si>
    <t>ВСЕГО без НДС</t>
  </si>
  <si>
    <t>ВСЕГО с НДС</t>
  </si>
  <si>
    <t xml:space="preserve">ВСЕГО с НДС </t>
  </si>
  <si>
    <t>№</t>
  </si>
  <si>
    <t>Наименование материалов</t>
  </si>
  <si>
    <t>Кол-во</t>
  </si>
  <si>
    <t>Геотекстиль, 3м</t>
  </si>
  <si>
    <t>Контррельсовый уголок в комплекте с башмаками и кремплением</t>
  </si>
  <si>
    <t>Рельсо-шпальная решётка Р-65 на деревянной шпале, тип скрепления КД-65 (в сборе)</t>
  </si>
  <si>
    <t>Железнодорожный путь №1</t>
  </si>
  <si>
    <t>Сооружение земляного полотна</t>
  </si>
  <si>
    <t>Вырезка существующего дорожного покрытия</t>
  </si>
  <si>
    <t>Вырезка существующего бетонного покрытия пола</t>
  </si>
  <si>
    <t>Вырезка техногенного грунта с перевозкой на 30 км и утилизацией</t>
  </si>
  <si>
    <t>Устройство балластного слоя ж/д пути под подошвой шпалы (h)20см</t>
  </si>
  <si>
    <t xml:space="preserve"> - из щебня балластного фр.25-60 </t>
  </si>
  <si>
    <t xml:space="preserve"> - гравийно-песчаная подушка</t>
  </si>
  <si>
    <t xml:space="preserve"> - геотекстиль, 3м</t>
  </si>
  <si>
    <t>Верхнее строение пути №1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</si>
  <si>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(65,88кг/шт.) </t>
  </si>
  <si>
    <t>компл.</t>
  </si>
  <si>
    <t>Выправка пути в плане и в профиле (Р65, шпалы ж/б)</t>
  </si>
  <si>
    <t xml:space="preserve"> Устройство тупикового рельсового упора колесных пар</t>
  </si>
  <si>
    <t>шт.</t>
  </si>
  <si>
    <t>Железнодорожный путь №2</t>
  </si>
  <si>
    <t>Верхнее строение пути №2</t>
  </si>
  <si>
    <t>Железнодорожный путь №3</t>
  </si>
  <si>
    <t>Железнодорожный путь №4</t>
  </si>
  <si>
    <t>Верхнее строение пути №4</t>
  </si>
  <si>
    <t>№ п/п</t>
  </si>
  <si>
    <t>Наименование работ и затрат</t>
  </si>
  <si>
    <t>Ед. изм.</t>
  </si>
  <si>
    <t>Кол-во единиц</t>
  </si>
  <si>
    <t>Ед.изм</t>
  </si>
  <si>
    <t>т</t>
  </si>
  <si>
    <t>кг</t>
  </si>
  <si>
    <t>л</t>
  </si>
  <si>
    <t>Битумная мастика Технониколь №24</t>
  </si>
  <si>
    <t>Песок строительный</t>
  </si>
  <si>
    <t>ИТОГО с НДС</t>
  </si>
  <si>
    <t>Ед.изм.</t>
  </si>
  <si>
    <t>Цена за ед. без НДС</t>
  </si>
  <si>
    <t>Верхнее строение пути</t>
  </si>
  <si>
    <t>Укладка звеньевого пути в прямых и кривых новыми рельсами НТ типа Р-65 при 1840 шт. деревянных шпал II типа на 1 км пути, тип скреплений – КД65</t>
  </si>
  <si>
    <t>Разборка существующего звеньевого пути</t>
  </si>
  <si>
    <t>Разборка тупиковых упоров</t>
  </si>
  <si>
    <t>Балластировка путей щебнем с увеличением на 10 %</t>
  </si>
  <si>
    <t>Устройство насыпи из дренирующего грунта (песка)</t>
  </si>
  <si>
    <t>Выемка техногенного грунта с перевозкой на 30 км и утилизацией</t>
  </si>
  <si>
    <t xml:space="preserve">Планировка основной площадки насыпи </t>
  </si>
  <si>
    <t>м2</t>
  </si>
  <si>
    <t xml:space="preserve">Планировка откосов насыпи </t>
  </si>
  <si>
    <t>ИТОГО без НДС</t>
  </si>
  <si>
    <t>Укладка контррельсового уголка СП850 в кривых (длина 10 м), включая монтаж башмаков и креплений
Пр. МСЗ.8318.00.000</t>
  </si>
  <si>
    <t>Рихтовка существующего пути</t>
  </si>
  <si>
    <t xml:space="preserve">Планировка площадки выемки </t>
  </si>
  <si>
    <t xml:space="preserve">Планировка откосов выемки </t>
  </si>
  <si>
    <t>Итого без НДС</t>
  </si>
  <si>
    <t xml:space="preserve">Итого </t>
  </si>
  <si>
    <t>Цена на ед. изм., руб. без НДС</t>
  </si>
  <si>
    <t>Цена за единицу без НДС</t>
  </si>
  <si>
    <t>Уплотнение грунта пневматическими трамбовками</t>
  </si>
  <si>
    <t>Разработка грунта вручную</t>
  </si>
  <si>
    <t>Земляные работы</t>
  </si>
  <si>
    <t>Обратная засыпка грунта бульдозером (95%)</t>
  </si>
  <si>
    <t>Обратная засыпка грунта вручную (5%)</t>
  </si>
  <si>
    <t>Устройство песчаного основания h=0,1м под трубы вручную</t>
  </si>
  <si>
    <t>Прокладка трубопровода</t>
  </si>
  <si>
    <t>10</t>
  </si>
  <si>
    <t>Монтаж трубы ПНД-110 SN12 в траншее на глубине 1 м</t>
  </si>
  <si>
    <t>ООО "ТЕХРЕСУРС"</t>
  </si>
  <si>
    <t>Цена за ед без НДС</t>
  </si>
  <si>
    <t>Ед изм</t>
  </si>
  <si>
    <t>Болт стыковой в сборе Р65</t>
  </si>
  <si>
    <t>Накладка 6-дырная Р65</t>
  </si>
  <si>
    <t>Демонтажные работы</t>
  </si>
  <si>
    <t>Щебень балластный категории II</t>
  </si>
  <si>
    <t xml:space="preserve">Щебень балластный фр.25-60 </t>
  </si>
  <si>
    <t>Гравийно-песчаная подушка</t>
  </si>
  <si>
    <t>Расходные и прочие сопутствующие материалы</t>
  </si>
  <si>
    <t>Верхнее строение пути №3</t>
  </si>
  <si>
    <t>Итого</t>
  </si>
  <si>
    <t>Непредвиденные работы (3%)</t>
  </si>
  <si>
    <t>Итого с непредвиденными</t>
  </si>
  <si>
    <t>Наименование работ (затрат)</t>
  </si>
  <si>
    <t>Стоимость 
СМР</t>
  </si>
  <si>
    <t>Стоимость 
МТР</t>
  </si>
  <si>
    <t>Стоимость 
ИТОГО</t>
  </si>
  <si>
    <t>ВСЕГО</t>
  </si>
  <si>
    <t>Без НДС</t>
  </si>
  <si>
    <t>с НДС</t>
  </si>
  <si>
    <t>комплекс</t>
  </si>
  <si>
    <t>Переустройство хозпитьевого водопровода (В1) на участке В1-1 – В1-2</t>
  </si>
  <si>
    <t>Переустройство хозпитьевого водопровода (В1) на участке В1-3 – В1-4</t>
  </si>
  <si>
    <t>Переустройство хозпитьевого водопровода (В1) на участке В1-5 – В1-5А/Уг.1 - В1-6</t>
  </si>
  <si>
    <t>Переустройство хозбытовой канализации (К1) на участке К1-26 – К1-27</t>
  </si>
  <si>
    <t>Переустройство хозбытовой канализации (К1) на участке К1-27 – К1-28</t>
  </si>
  <si>
    <t>Переустройство ливневой канализации (К2) на участке К2-7 – К2-8</t>
  </si>
  <si>
    <t>Переустройство ливневой канализации (К2) на участке К2-9 – К2-10</t>
  </si>
  <si>
    <t>Переустройство ливневой канализации (К2) на участке К2-11 – К2-12</t>
  </si>
  <si>
    <t>Переустройство ливневой канализации (К2) на участке К2-11 – К2-13</t>
  </si>
  <si>
    <t>ЭС. Точки 14-15</t>
  </si>
  <si>
    <t>Труба полиэтиленовая напорная ПЭ100 SDR17 ∅280х16,6 «питьевая»</t>
  </si>
  <si>
    <t>Труба стальная электросварная прямошовная ∅530х8,0 (футляр)</t>
  </si>
  <si>
    <t>Опорно-направляющее кольцо ОНК для трубы Дн=280 мм</t>
  </si>
  <si>
    <t>Фланец свободный стальной Dу 250 мм (для труб ∅280 мм)</t>
  </si>
  <si>
    <t>Втулка ПЭ100 SDR 17 под фланец d=250 мм PN10 кгс/см2 (для труб ∅280 мм)</t>
  </si>
  <si>
    <t>Болт М20х75 (36 шт.)</t>
  </si>
  <si>
    <t>Гайка М20 (36 шт.)</t>
  </si>
  <si>
    <t>Шайба М20 (72 шт.)</t>
  </si>
  <si>
    <t>Муфта защитная полиэтиленовая L=150,0 мм D=330 мм для прохода труб сквозь бетонную стену колодца (для труб D=280 мм)</t>
  </si>
  <si>
    <t>Пожарная подставка фланцевая ППФ-250</t>
  </si>
  <si>
    <t>Прокладка из паронита А-250-10 для фланца ∅250 мм, PN1,0 МПа, исп. А</t>
  </si>
  <si>
    <t>Пожарный гидрант Н-1750 мм</t>
  </si>
  <si>
    <t>Фланец стальной плоский приварной Dу 250 мм Ру 10 кгс/см2</t>
  </si>
  <si>
    <t>Цементно-песчаный раствор М100</t>
  </si>
  <si>
    <t>Плита днища ПН 15</t>
  </si>
  <si>
    <t>1</t>
  </si>
  <si>
    <t xml:space="preserve">Плита перекрытия 2ПП 15-2 </t>
  </si>
  <si>
    <t>Кольцо стеновое КС15.9</t>
  </si>
  <si>
    <t>2</t>
  </si>
  <si>
    <t>Кольцо стеновое КС15.6</t>
  </si>
  <si>
    <t>Кольцо опорное КО 6</t>
  </si>
  <si>
    <t>Люк чугунный тяжелый Т (С250)</t>
  </si>
  <si>
    <t>Лестница-стремянка из угловой оцинкованной стали 50х5 мм</t>
  </si>
  <si>
    <t>23</t>
  </si>
  <si>
    <t>Сталь угловая 50х5, l=245 мм (6 шт.)</t>
  </si>
  <si>
    <t>Полоса стальная 5х80 L=300 мм (6 шт.)</t>
  </si>
  <si>
    <t>Грунтовка Праймер Технониколь №1</t>
  </si>
  <si>
    <t>5</t>
  </si>
  <si>
    <t>34</t>
  </si>
  <si>
    <t>Щебень фракции 20-40 мм, М600</t>
  </si>
  <si>
    <t>0,7</t>
  </si>
  <si>
    <t>Труба полиэтиленовая напорная ПЭ100 SDR17 ∅225х13,4 «питьевая»</t>
  </si>
  <si>
    <t>97</t>
  </si>
  <si>
    <t>Труба стальная электросварная прямошовная ∅426х7,0 (футляр)</t>
  </si>
  <si>
    <t>6</t>
  </si>
  <si>
    <t>Опорно-направляющее кольцо ОНК для трубы Дн=225 мм</t>
  </si>
  <si>
    <t>Фланец свободный стальной Dу 300 мм (для труб ∅315 мм)</t>
  </si>
  <si>
    <t>Прокладка из паронита А-200-10 для фланца ∅200 мм, PN1,0 МПа, исп. А</t>
  </si>
  <si>
    <t>Втулка ПЭ100 SDR 17 под фланец d=315 мм PN10 кгс/см2</t>
  </si>
  <si>
    <t>Болт М20х80 (8 шт.)</t>
  </si>
  <si>
    <t>Гайка М20  (8 шт.)</t>
  </si>
  <si>
    <t>Шайба М20  (16 шт.)</t>
  </si>
  <si>
    <t>Муфта защитная полиэтиленовая L=150,0 мм D=274 мм для прохода труб сквозь бетонную стену колодца (для труб D=225 мм)</t>
  </si>
  <si>
    <t>Неразъемное соединение полиэтилен/сталь НСПС 225/219 (SDR17)</t>
  </si>
  <si>
    <t>0,61</t>
  </si>
  <si>
    <t>Труба полиэтиленовая напорная ПЭ100 SDR17 ∅315х18,7 «питьевая»</t>
  </si>
  <si>
    <t>82</t>
  </si>
  <si>
    <t>41</t>
  </si>
  <si>
    <t>Опорно-направляющее кольцо ОНК для трубы Дн=315 мм</t>
  </si>
  <si>
    <t>12</t>
  </si>
  <si>
    <t>Отвод сварной 45° ПЭ100 SDR17 ∅315х18,7</t>
  </si>
  <si>
    <t>Прокладка из паронита А-300-10 для фланца ∅300 мм, PN1,0 МПа, исп. А</t>
  </si>
  <si>
    <t>Болт М20х80 (24 шт.)</t>
  </si>
  <si>
    <t>Гайка М20  (24 шт.)</t>
  </si>
  <si>
    <t>Шайба М20 (48 шт.)</t>
  </si>
  <si>
    <t>Муфта защитная полиэтиленовая L=150,0 мм D=365 мм для прохода труб сквозь бетонную стену колодца (для труб D=315 мм)</t>
  </si>
  <si>
    <t>Втулка ПЭ100 SDR 17 под фланец d=225 мм PN10 кгс/см2</t>
  </si>
  <si>
    <t>Труба полимерная гофрированная двухслойная НПВХ DN 200 мм SN16</t>
  </si>
  <si>
    <t>42</t>
  </si>
  <si>
    <t>Труба стальная электросварная прямошовная ф426х7,0 мм (футляр)</t>
  </si>
  <si>
    <t>Опорно-направляющее кольцо ОНК для трубы Дн=200 мм</t>
  </si>
  <si>
    <t>Муфта защитная полиэтиленовая D=248 мм L=150,0 мм для прохода труб сквозь бетонную стенку колодца (для труб D=200 мм)</t>
  </si>
  <si>
    <t>Труба НПВХ гофрированная двухслойная DN 200 мм SN16</t>
  </si>
  <si>
    <t>Муфта защитная полиэтиленовая D=248 мм L=150,0 мм для прохода труб сквозь бетонную стенку колодца (для труб ∅200 мм)</t>
  </si>
  <si>
    <t>Труба НПВХ гофрированная двухслойная DN 1000 мм SN16</t>
  </si>
  <si>
    <t>31</t>
  </si>
  <si>
    <t>Труба стальная электросварная прямошовная ∅1220х10,0 мм</t>
  </si>
  <si>
    <t>Опорно-направляющее кольцо ОНК для трубы Дн=1000 мм</t>
  </si>
  <si>
    <t>Муфта защитная полиэтиленовая D=1090 мм L=350,0 мм для прохода труб сквозь бетонную стенку колодца (для труб ∅1000 мм)</t>
  </si>
  <si>
    <t>Труба НПВХ гофрированная двухслойная DN 630 мм SN16</t>
  </si>
  <si>
    <t xml:space="preserve">Труба стальная электросварная прямошовная ∅820х8,0 мм  (футляр) </t>
  </si>
  <si>
    <t>Опорно-направляющее кольцо ОНК для трубы Дн=630 мм</t>
  </si>
  <si>
    <t>Муфта защитная полиэтиленовая D=690 мм L=200,0 мм для прохода труб сквозь бетонную стенку колодца (для труб ∅630 мм)</t>
  </si>
  <si>
    <t>21</t>
  </si>
  <si>
    <t>49</t>
  </si>
  <si>
    <t>Труба двустенная жесткая для кабельной канализации ПНД‐110 SN12</t>
  </si>
  <si>
    <t>40</t>
  </si>
  <si>
    <t>Пена двухкомпонентная огнезащитная DN1201</t>
  </si>
  <si>
    <t>16,7</t>
  </si>
  <si>
    <t>Кабель силовой с алюминиевыми жилами сечением 3х120 мм2 АСБ‐6</t>
  </si>
  <si>
    <t>300</t>
  </si>
  <si>
    <t>Муфта соединительная на напряжение до 10 кВ 3СТп‐10‐70/120</t>
  </si>
  <si>
    <t>Лена сигнальная "Осторожно, кабель" ЛСЭ‐300</t>
  </si>
  <si>
    <t>Разработка грунта в траншее механизированным способом (экскаватором с ковшом емк. 0,65 м3)</t>
  </si>
  <si>
    <t>Доработка грунта в траншее вручную (3% от V3)</t>
  </si>
  <si>
    <t>Водоотлив из траншей h=0,3</t>
  </si>
  <si>
    <t>Обратная засыпка песком вручную h=0,3 м над верхом трубы</t>
  </si>
  <si>
    <t xml:space="preserve">Погрузка лишнего грунта в автосамосвалы экскаватором с объѐмом ковша 0,65м3 </t>
  </si>
  <si>
    <t>Транспортировка лишнего грунта на расстояние 25 км автосамосвалами грузоподъемностью 10 т</t>
  </si>
  <si>
    <t>2,3</t>
  </si>
  <si>
    <t>294</t>
  </si>
  <si>
    <t>15</t>
  </si>
  <si>
    <t>Прокладка труб полиэтиленовых напорных ПЭ100  SDR17  ø280х16,6 «питьевая»</t>
  </si>
  <si>
    <t xml:space="preserve">Прокладка труб стальных электросварных 530х10мм (футляр)+ Установка опорно-направляющих колец ОНК для трубы Дн=280 мм-2шт. (Пересечение с ж/д путями) </t>
  </si>
  <si>
    <t>Монтаж фланца свободного стального Dу 250 мм (для труб ø280 мм) - 10,3кг/шт.</t>
  </si>
  <si>
    <t>Монтаж втулки ПЭ100 SDR 17 под фланец d=250 мм PN10 кгс/см² (для труб ø280 мм) - 2,22кг/шт.</t>
  </si>
  <si>
    <t>Установка болтов М20х75 + Установка гайки М20+ Установка шайбы М20</t>
  </si>
  <si>
    <t>Сверление отверстий для устройства  муфты защитной полиэтиленовой L=150,0 мм D=330 мм (проход труб сквозь бетонную стену колодца)</t>
  </si>
  <si>
    <t>Установка муфты защитной полиэтиленовой L=150,0 мм D=330 мм для прохода труб сквозь бетонную стену колодца (для труб D=280 мм)</t>
  </si>
  <si>
    <t>Установка пожарной подставки фланцевой ППФ-250 + Установка прокладки из паронита А-250-10 для фланца ø250 мм, PN1,0 МПа, исп. А</t>
  </si>
  <si>
    <t>Установка гидранта пожарного Н-1750 мм</t>
  </si>
  <si>
    <t>Монтаж фланца стального приварного  Dу 250 мм</t>
  </si>
  <si>
    <t>Заделка межтрубного пространства в футляре (кожухе) цементно-песчаным раствором М100 - 1м3</t>
  </si>
  <si>
    <t xml:space="preserve">Присоединение  трубопроводов в действующие магистрали </t>
  </si>
  <si>
    <t>Колодец водопроводный</t>
  </si>
  <si>
    <t>Устройство круглых колодцев из сборного железобетона в грунтах мокрых</t>
  </si>
  <si>
    <t>Демонтаж существующего водопроводного колодца</t>
  </si>
  <si>
    <t>Демонтаж сборных ж/б элементов колодца+Демонтаж люка чугунного</t>
  </si>
  <si>
    <t>Транспортировка демонтированных ж/б элементов на расстояние 25 км автосамосвалами</t>
  </si>
  <si>
    <t>Демонтаж существующего трубопровода</t>
  </si>
  <si>
    <t>Демонтаж существующих труб стальных электросварных ø273х6,0</t>
  </si>
  <si>
    <t>Погрузка труб стальных на автосамосвалы</t>
  </si>
  <si>
    <t>Транспортировка демонтированных труб стальных на расстояние 25 км автосамосвалами</t>
  </si>
  <si>
    <t xml:space="preserve">Разработка грунта в траншее механизированным способом (экскаватором с ковшом емк. 0,65 м3) </t>
  </si>
  <si>
    <t>Прокладка труб полиэтиленовых напорных ПЭ100  SDR17  ø225х13,4 «питьевая»</t>
  </si>
  <si>
    <t>Прокладка труб стальных электросварных прямошовных ø426х7,0  (футляр) + Установка опорно-направляющих колец ОНК для трубы Дн=225 мм - 2шт. Пересечение с ж/д путями</t>
  </si>
  <si>
    <t>Монтаж фланца свободного стального Dу 225 мм (для труб ø225 мм) - 8,28кг/шт</t>
  </si>
  <si>
    <t>Монтаж втулки ПЭ100 SDR 17 под фланец d=225 мм PN10 кгс/см² - 2,22кг/шт.</t>
  </si>
  <si>
    <t>Сверление отверстий установками алмазного бурения в колодце</t>
  </si>
  <si>
    <t>Сверление отверстий для устройства  муфты защитной полиэтиленовой L=150,0 мм D=274 мм (проход труб сквозь бетонную стену колодца)</t>
  </si>
  <si>
    <t>Установка муфты защитной полиэтиленовой L=150,0 мм D=274 мм для прохода труб сквозь бетонную стену колодца (для труб D=225 мм)</t>
  </si>
  <si>
    <t>Монтаж неразъемного соединения полиэтилен/сталь НСПС 225/219 (SDR17)</t>
  </si>
  <si>
    <t>Заделка межтрубного пространства в футляре (кожухе) цементно-песчаным раствором М100 - 0,61м3</t>
  </si>
  <si>
    <t>Демонтаж существующих труб стальных электросварных ø219х6,0</t>
  </si>
  <si>
    <t xml:space="preserve">Обратная засыпка грунта бульдозером (95%) </t>
  </si>
  <si>
    <t xml:space="preserve">Обратная засыпка грунта вручную (5%) </t>
  </si>
  <si>
    <t>Погрузка лишнего грунта в автосамосвалы экскаватором с объѐмом ковша 0,65м3</t>
  </si>
  <si>
    <t>Прокладка труб полиэтиленовых напорных ПЭ100  SDR17  ø315х18,7 «питьевая»</t>
  </si>
  <si>
    <t>Укладка стальных водопроводных труб с гидравлическим испытанием диаметром: 500 мм</t>
  </si>
  <si>
    <t>Монтаж отвода 450 ПЭ 100 SDR17 d=315 мм - 14,8кг/шт.</t>
  </si>
  <si>
    <t>Монтаж фланца свободного стального Dу 300 мм (для труб ø315 мм) - 13,6кг/шт.</t>
  </si>
  <si>
    <t>Монтаж втулки ПЭ100 SDR 17 под фланец d=315 мм PN10 кгс/см² - 3,35кг/шт.</t>
  </si>
  <si>
    <t>Сверление отверстий для устройства  муфты защитной полиэтиленовой L=150,0 мм D=365 мм (проход труб сквозь бетонную стену колодца)</t>
  </si>
  <si>
    <t>Установка муфты защитной полиэтиленовой L=150,0 мм D=365 мм для прохода труб сквозь бетонную стену колодца (для труб D=315 мм)</t>
  </si>
  <si>
    <t>Заделка межтрубного пространства в футляре (кожухе) цементно-песчаным раствором М100 - 6м3</t>
  </si>
  <si>
    <t>Демонтаж труб стальных электросварных прямошовных ø325х6,0</t>
  </si>
  <si>
    <t>Транспортировка для утилизации на полигон на расстояние 25 км</t>
  </si>
  <si>
    <t>Крепление стенок траншеи инвентарными дощатыми щитами с винтовыми распорками</t>
  </si>
  <si>
    <t>Прокладка труб полимерных гофрированных двухслойных НПВХ  DN 200 мм SN16</t>
  </si>
  <si>
    <t>Прокладка труб стальных электросварных прямошовных, ø426х7,0 мм  (футляр) + Установка опорно-направляющих колец ОНК для трубы Дн=200 мм - 2шт.</t>
  </si>
  <si>
    <t>Сверление отверстий для устройства  муфты защитной полиэтиленовой L=150,0 мм D=248 мм (проход труб сквозь бетонную стену колодца)</t>
  </si>
  <si>
    <t>Монтаж муфты защитной полиэтиленовой D=248 мм L=150,0 мм для прохода труб сквозь бетонную стенку колодца (для труб ø200 мм)</t>
  </si>
  <si>
    <t>Демонтаж труб бетонных ø200</t>
  </si>
  <si>
    <t xml:space="preserve">Транспортировка для утилизации на полигон на расстояние 25 км </t>
  </si>
  <si>
    <t>Погрузка труб бетонных на автосамосвалы</t>
  </si>
  <si>
    <t>Прокладка труб стальных электросварных прямошовных, ø426х7,0 мм  (футляр) + Установка опорно-направляющих колец ОНК для трубы Дн=200 мм - 2шт</t>
  </si>
  <si>
    <t>Прокладка труб НПВХ гофрированных двухслойных DN 1000 мм SN16</t>
  </si>
  <si>
    <t>Прокладка труб стальных электросварных прямошовных,  ø1220х10,0 мм (футляр) + Монтаж опорно-направляющих колец ОНК для трубы Дн=1000 мм - 2шт.</t>
  </si>
  <si>
    <t>Сверление отверстий для устройства  муфты защитной полиэтиленовой L=350,0 мм D=1090 мм (проход труб сквозь бетонную стену колодца)</t>
  </si>
  <si>
    <t>Монтаж муфты защитной полиэтиленовой D=1090 мм L=350,0 мм для прохода труб сквозь бетонную стенку колодца (для труб ø1000 мм)</t>
  </si>
  <si>
    <t>Заделка межтрубного пространства в футляре (кожухе) цементно-песчаным раствором М100 - 2м3</t>
  </si>
  <si>
    <t xml:space="preserve">Демонтаж труб железобетонных  Ø1000 мм </t>
  </si>
  <si>
    <t>Погрузка труб ж/б на автосамосвалы</t>
  </si>
  <si>
    <t>Прокладка труб НПВХ гофрированных двухслойных DN 630 мм SN16</t>
  </si>
  <si>
    <t>Прокладка труб стальных электросварных прямошовных,  ø820х8,0 мм (футляр) + Монтаж опорно-направляющих колец ОНК для трубы Дн=630 мм - 2шт.</t>
  </si>
  <si>
    <t>Сверление отверстий для устройства  муфты защитной полиэтиленовой L=200,0 мм D=690 мм (проход труб сквозь бетонную стену колодца)</t>
  </si>
  <si>
    <t>Монтаж муфты защитной полиэтиленовой D=690 мм L=200,0 мм для прохода труб сквозь бетонную стенку колодца (для труб ø630 мм)</t>
  </si>
  <si>
    <t>Демонтаж труб железобетонных  Ø600 мм</t>
  </si>
  <si>
    <t>Обратная засыпка вручную</t>
  </si>
  <si>
    <t>Погрузка вручную  грунта</t>
  </si>
  <si>
    <t>Вывоз лишнего грунта на полигон на расстояние 25 км</t>
  </si>
  <si>
    <t>Кабель в футляре из трубы ПНД-110 SN12</t>
  </si>
  <si>
    <t>Заделка труб пеной двухкомпонентной огнезащитной</t>
  </si>
  <si>
    <t>Устройство постели из песка для прокладки кабеля в траншее</t>
  </si>
  <si>
    <t>Прокладка кабеля АСБ-6 сеч. 3х120мм2 в траншее</t>
  </si>
  <si>
    <t>Прокладка кабеля АСБ-6 сеч. 3х120мм2 в трубе</t>
  </si>
  <si>
    <t xml:space="preserve">Монтаж муфты соединительной 10кВ 3СТп-10-70/120 </t>
  </si>
  <si>
    <t>Прокладка сигнальной ленты</t>
  </si>
  <si>
    <t>Пусконаладочные работы</t>
  </si>
  <si>
    <t>Испытания кабеля повышенным напряжением (на барабане)</t>
  </si>
  <si>
    <t>Испытания кабеля повышенным напряжением (вставки)</t>
  </si>
  <si>
    <t>Испытания кабеля повышенным напряжением (переключенной КЛ)</t>
  </si>
  <si>
    <t>Фазировка</t>
  </si>
  <si>
    <t>Устройство основания под колодцы щебеночного</t>
  </si>
  <si>
    <t>Погрузка демонтированных элементов</t>
  </si>
  <si>
    <t>30 км</t>
  </si>
  <si>
    <t>цена в пред. КП</t>
  </si>
  <si>
    <t>присоединение</t>
  </si>
  <si>
    <t>испытание</t>
  </si>
  <si>
    <t>фазировка</t>
  </si>
  <si>
    <t>ТС временная сеть</t>
  </si>
  <si>
    <t>Прокладка временного участка теплосети Т1, Т2</t>
  </si>
  <si>
    <t>Укладка блоков ФБС 8-5-6т</t>
  </si>
  <si>
    <t xml:space="preserve">шт. </t>
  </si>
  <si>
    <t>Установка крана поворотно-спускного Ф20мм</t>
  </si>
  <si>
    <t>м3/ шт.</t>
  </si>
  <si>
    <t>1,512/ 14</t>
  </si>
  <si>
    <t>Врезка в существующую магистраль</t>
  </si>
  <si>
    <t xml:space="preserve">Блок ФБС 8-5-6т </t>
  </si>
  <si>
    <t>Теплоизоляция  URSA GEO M-11Ф (1,8*1,2*0,05)</t>
  </si>
  <si>
    <t>Теплоизоляция труб URSA GEO M-11Ф (1,8*1,2*0,05)</t>
  </si>
  <si>
    <t>Кран поворотно-спускной Ф20мм</t>
  </si>
  <si>
    <t>Кран поворотно-спускной Ф40мм</t>
  </si>
  <si>
    <t>Резьба стальная Ф20мм</t>
  </si>
  <si>
    <t>Резьба стальная Ф40мм</t>
  </si>
  <si>
    <t>Уголок металлический 50х50х5</t>
  </si>
  <si>
    <t>Швеллер 100х50х3</t>
  </si>
  <si>
    <t>Эмаль ПФ-115</t>
  </si>
  <si>
    <t>Устройство антикоррозийной защиты</t>
  </si>
  <si>
    <t>Трубы стальные Ф159мм</t>
  </si>
  <si>
    <t>Отвод 90 гр. Ф159мм</t>
  </si>
  <si>
    <t>Труба стальная Ф219х6мм</t>
  </si>
  <si>
    <t>Наценка, %</t>
  </si>
  <si>
    <t>Непредвиденные,  %</t>
  </si>
  <si>
    <t>Устройство опор  (h) 3м с изготовлением</t>
  </si>
  <si>
    <t>Укладка трубопроводов стальных из труб Ф159 мм  по блокам ФБС и опорам на высоте 3м, установка отводов стальных Ф159мм, изготовление монтажных узлов</t>
  </si>
  <si>
    <t>Визуальный и измерительный контроль сварных соединений, ультразвуковая дефектоскопия трубопровода Ф159мм</t>
  </si>
  <si>
    <t>стык</t>
  </si>
  <si>
    <t>Установка крана поворотно-спускного Ф40мм</t>
  </si>
  <si>
    <t>Очистка полости трубопровода продувкой воздухом, пневматические испытания трубопровода</t>
  </si>
  <si>
    <t>узел/ м</t>
  </si>
  <si>
    <t>1/ 480</t>
  </si>
  <si>
    <t>Расходные материалы</t>
  </si>
  <si>
    <t>комп.</t>
  </si>
  <si>
    <t>Итого материалов с НДС</t>
  </si>
  <si>
    <t>Наименовение</t>
  </si>
  <si>
    <t>Стоимость работ, руб с НДС 20%</t>
  </si>
  <si>
    <t>Стоимость материалов, руб с НДС 20%</t>
  </si>
  <si>
    <t>Итого, руб с НДС 20%</t>
  </si>
  <si>
    <t>за ед.</t>
  </si>
  <si>
    <t>итого</t>
  </si>
  <si>
    <t>за ед</t>
  </si>
  <si>
    <t>Итого всего с НДС 20%</t>
  </si>
  <si>
    <t>Стоимость материалов за ед. для КП</t>
  </si>
  <si>
    <t>смета</t>
  </si>
  <si>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</si>
  <si>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</si>
  <si>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</si>
  <si>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</si>
  <si>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</si>
  <si>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</si>
  <si>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</si>
  <si>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</si>
  <si>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</si>
  <si>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</si>
  <si>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</si>
  <si>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</si>
  <si>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</si>
  <si>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</si>
  <si>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</si>
  <si>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</si>
  <si>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</si>
  <si>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</si>
  <si>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Теплоснабжение. Переустройство трубопровода.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</si>
  <si>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</si>
  <si>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</si>
  <si>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</si>
  <si>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</si>
  <si>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</si>
  <si>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</si>
  <si>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</si>
  <si>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2 квартал 2023г. </t>
  </si>
  <si>
    <t>1 квартал 2023г. (01.01.2000)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</si>
  <si>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</si>
  <si>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</si>
  <si>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</si>
  <si>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</si>
  <si>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</si>
  <si>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</si>
  <si>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</si>
  <si>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</si>
  <si>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</si>
  <si>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</si>
  <si>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</si>
  <si>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</si>
  <si>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</si>
  <si>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Обоснование</t>
  </si>
  <si>
    <t>Единица измерения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</si>
  <si>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</si>
  <si>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</si>
  <si>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</si>
  <si>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</si>
  <si>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</si>
  <si>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</si>
  <si>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</si>
  <si>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Прокладка временного участка теплосети Т1, Т2</t>
  </si>
  <si>
    <t>ФЕР07-01-001-02</t>
  </si>
  <si>
    <t>Укладка блоков и плит ленточных фундаментов при глубине котлована до 4 м, масса конструкций: до 1,5 т</t>
  </si>
  <si>
    <t>100 шт</t>
  </si>
  <si>
    <t>Объем=22 / 100</t>
  </si>
  <si>
    <t>ОТ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</si>
  <si>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</si>
  <si>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</si>
  <si>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</si>
  <si>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</si>
  <si>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</si>
  <si>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</si>
  <si>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</si>
  <si>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</si>
  <si>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п.7</t>
  </si>
  <si>
    <t>НР Бетонные и железобетонные сборные конструкции и работы в строительстве</t>
  </si>
  <si>
    <t>%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</si>
  <si>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</si>
  <si>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</si>
  <si>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Всего по позиции</t>
  </si>
  <si>
    <t>Цена поставщика</t>
  </si>
  <si>
    <t>Блок ФБС 8-5-6т</t>
  </si>
  <si>
    <t>(Материалы для строительных работ)</t>
  </si>
  <si>
    <t>Цена=3133,75/8,16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</si>
  <si>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</si>
  <si>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</si>
  <si>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Транспортные расходы МАТ=1,03 к расх.</t>
  </si>
  <si>
    <t>ФЕР24-01-009-06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</si>
  <si>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150 мм</t>
  </si>
  <si>
    <t>км</t>
  </si>
  <si>
    <t>Объем=480/1000</t>
  </si>
  <si>
    <t>4</t>
  </si>
  <si>
    <t>М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</si>
  <si>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</si>
  <si>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</si>
  <si>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</si>
  <si>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</si>
  <si>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ФССЦ-23.4.01.03-0045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</si>
  <si>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</si>
  <si>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ФССЦ-23.8.04.06-0090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</si>
  <si>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10 мм</t>
  </si>
  <si>
    <t>ФЕР13-03-004-26</t>
  </si>
  <si>
    <t>Окраска металлических огрунтованных поверхностей: эмалью ПФ-115</t>
  </si>
  <si>
    <t>100 м2</t>
  </si>
  <si>
    <t>Объем=40,81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</si>
  <si>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</si>
  <si>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</si>
  <si>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</si>
  <si>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</si>
  <si>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7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</si>
  <si>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</si>
  <si>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</si>
  <si>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</si>
  <si>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</si>
  <si>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</si>
  <si>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</si>
  <si>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8</t>
  </si>
  <si>
    <t>Цена=6759,94/1,2/8,16</t>
  </si>
  <si>
    <t>9</t>
  </si>
  <si>
    <t>ФЕР24-01-032-01</t>
  </si>
  <si>
    <t>Установка задвижек или клапанов стальных для горячей воды и пара диаметром: 50 мм/применит. 20 мм.</t>
  </si>
  <si>
    <t>компл</t>
  </si>
  <si>
    <t>ФССЦ-18.1.09.07-0068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</si>
  <si>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20 мм</t>
  </si>
  <si>
    <t>11</t>
  </si>
  <si>
    <t>Установка задвижек или клапанов стальных для горячей воды и пара диаметром: 50 мм/применит. 40 мм.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</si>
  <si>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</si>
  <si>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</si>
  <si>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13</t>
  </si>
  <si>
    <t>ФЕР29-01-253-03</t>
  </si>
  <si>
    <t>Установка гильз из стальных труб диаметром: 200 мм / прим. 219х6,0</t>
  </si>
  <si>
    <t>10 шт</t>
  </si>
  <si>
    <t>Объем=1 / 10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</si>
  <si>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</si>
  <si>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</si>
  <si>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</si>
  <si>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</si>
  <si>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14</t>
  </si>
  <si>
    <t>ФССЦ-23.5.02.02-0088</t>
  </si>
  <si>
    <t>Трубы стальные электросварные прямошовные со снятой фаской из стали марок БСт2кп-БСт4кп и БСт2пс-БСт4пс, наружный диаметр 219 мм, толщина стенки 6 мм</t>
  </si>
  <si>
    <t>ФЕРм12-11-005-06</t>
  </si>
  <si>
    <t>Врезка трубопровода номинальным давлением 2,5 МПа в действующие магистрали, диаметр наружный врезаемой трубы: 159 мм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</si>
  <si>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</si>
  <si>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</si>
  <si>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</si>
  <si>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</si>
  <si>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16</t>
  </si>
  <si>
    <t>ФЕР16-07-005-03</t>
  </si>
  <si>
    <t>Гидравлическое испытание трубопроводов систем отопления, водопровода и горячего водоснабжения диаметром: до 200 мм</t>
  </si>
  <si>
    <t>100 м</t>
  </si>
  <si>
    <t>Объем=480 / 100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</si>
  <si>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</si>
  <si>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</si>
  <si>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</si>
  <si>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</si>
  <si>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17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</si>
  <si>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</si>
  <si>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</si>
  <si>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</si>
  <si>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</si>
  <si>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</si>
  <si>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</si>
  <si>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18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</si>
  <si>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</si>
  <si>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</si>
  <si>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</si>
  <si>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</si>
  <si>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</si>
  <si>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</si>
  <si>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</si>
  <si>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</si>
  <si>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</si>
  <si>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</si>
  <si>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</si>
  <si>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</si>
  <si>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</si>
  <si>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</si>
  <si>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</si>
  <si>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</si>
  <si>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</si>
  <si>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</si>
  <si>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</si>
  <si>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</si>
  <si>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</si>
  <si>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</si>
  <si>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</si>
  <si>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</si>
  <si>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</si>
  <si>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</si>
  <si>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</si>
  <si>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</si>
  <si>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</si>
  <si>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</si>
  <si>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</si>
  <si>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</si>
  <si>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работа по установке опор+материалы учтены в расценке.</t>
  </si>
  <si>
    <t>без ЗУ и ВЗиС</t>
  </si>
  <si>
    <t>ЛОКАЛЬНЫЙ СМЕТНЫЙ РАСЧЕТ (СМЕТА) № 1</t>
  </si>
  <si>
    <t>В ФЕР сборника 24 раздела 1 на прокладку трубопроводов учтены затраты на продувку, трехкратную промывку и гидравлическое испытание.</t>
  </si>
  <si>
    <t>(313,87)</t>
  </si>
  <si>
    <t>(258,1)</t>
  </si>
  <si>
    <t>(6,93)</t>
  </si>
  <si>
    <t>(3,46)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</si>
  <si>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</si>
  <si>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</si>
  <si>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 xml:space="preserve"> Прокладка временного участка теплосети Т1, Т2</t>
  </si>
  <si>
    <t>сделать по цене поставщика</t>
  </si>
  <si>
    <t>по смете ед</t>
  </si>
  <si>
    <t>разница за ед</t>
  </si>
  <si>
    <t>это не гильзы а опоры высотой 3м, уголки и швеллера это изготовление ферм по которым идут трубы над 3-мя проездами</t>
  </si>
  <si>
    <t>Устройство мертвых опор</t>
  </si>
  <si>
    <t>Устройство скользящих опор</t>
  </si>
  <si>
    <t>Изоляция, защита изоляции минваты</t>
  </si>
  <si>
    <t>Работа на высоте</t>
  </si>
  <si>
    <t>Устройство 3х компенсаторов</t>
  </si>
  <si>
    <t>Задвижки д150</t>
  </si>
  <si>
    <t>Футляры 1+1</t>
  </si>
  <si>
    <t>Устройство стоек, бетонирование стоек</t>
  </si>
  <si>
    <t>Устройство балки из швеллера</t>
  </si>
  <si>
    <t>Не учтено Палыч</t>
  </si>
  <si>
    <t>есть в расценке</t>
  </si>
  <si>
    <t>в местах врезки 4шт</t>
  </si>
  <si>
    <t>Огрунтовка перед покраской</t>
  </si>
  <si>
    <t>изготовление</t>
  </si>
  <si>
    <t>Труба 219 изменится объем, добавится на фундамент (36+1,8х12)=57,6м</t>
  </si>
  <si>
    <t xml:space="preserve">Бетонирование фундаментов под стойки с армированием))), 12шт (0,4х0,4х1,8м), </t>
  </si>
  <si>
    <t>Установка 3х компенсаторов с материалом</t>
  </si>
  <si>
    <t>Огрунтовка, если ее нет в расценках</t>
  </si>
  <si>
    <t>Разработка грунта под опоры, объем фундаментов ниже (или бурение, что дороже), вывоз грунта</t>
  </si>
  <si>
    <t>Работа на высоте (более 3м) если не учтен коэфф.</t>
  </si>
  <si>
    <t>Изготовление МК (стойки, фермы)</t>
  </si>
  <si>
    <t>* материал весь тот-же, добавится 3 компенсатора, бетон в22,5 3,5м3 и труба 219 станет 57,6м</t>
  </si>
  <si>
    <t>не учтено</t>
  </si>
  <si>
    <t>Обратная засыпка-чем, грунтом или песком?</t>
  </si>
  <si>
    <t>арматура-какая, марка-?</t>
  </si>
  <si>
    <t>В 22,5</t>
  </si>
  <si>
    <t>компенсаторы-какие именно,тип?</t>
  </si>
  <si>
    <t>Огрунтовка м/к ГФ-021</t>
  </si>
  <si>
    <t>в расценках учтено, при надземной укадке - при высоте до 8 м.</t>
  </si>
  <si>
    <t>а демонтаж временной ТС тоже нужен будет?</t>
  </si>
  <si>
    <t>Бурение ям глубиной до 2 м бурильно-крановыми машинами: на автомобиле, группа грунтов 2</t>
  </si>
  <si>
    <t>или</t>
  </si>
  <si>
    <t>12 ?</t>
  </si>
  <si>
    <r>
      <t xml:space="preserve">Бетонирование фундаментов под стойки с </t>
    </r>
    <r>
      <rPr>
        <u/>
        <sz val="10"/>
        <rFont val="Times New Roman"/>
        <family val="1"/>
        <charset val="204"/>
      </rPr>
      <t>армированием</t>
    </r>
    <r>
      <rPr>
        <sz val="10"/>
        <rFont val="Times New Roman"/>
        <family val="1"/>
        <charset val="204"/>
      </rPr>
      <t xml:space="preserve"> - а блоки ФБС-это не фундаменты?</t>
    </r>
  </si>
  <si>
    <t xml:space="preserve">что за футляры? </t>
  </si>
  <si>
    <t>Разработка грунта под опоры-механизировано, объем?</t>
  </si>
  <si>
    <t>Доработка грунта под опоры-вручную, объем?</t>
  </si>
  <si>
    <t>Вывоз грунта-объем, на сколько 30 км?</t>
  </si>
  <si>
    <t>Установка сальниковых компенсаторов на стальных трубопроводах диаметром:</t>
  </si>
  <si>
    <t xml:space="preserve">Установка П-образных компенсаторов  </t>
  </si>
  <si>
    <t xml:space="preserve">Установка сильфонных компенсаторов с несъемным кожухом  </t>
  </si>
  <si>
    <t>Установка 3х компенсаторов, каких?диаметр?</t>
  </si>
  <si>
    <t>гтдроизоляция фундаментов битумом-будет?</t>
  </si>
  <si>
    <t>Изготовление МК -что это, переход? Или опоры?</t>
  </si>
  <si>
    <t>опоры сидят в расценке</t>
  </si>
  <si>
    <t>10%</t>
  </si>
  <si>
    <t>1,2х1,2х1,8 - 12шт</t>
  </si>
  <si>
    <t>с разрыхлением, у нас ближайший полигон 41км</t>
  </si>
  <si>
    <t>давай песком</t>
  </si>
  <si>
    <t>12мм</t>
  </si>
  <si>
    <t>варим ферму</t>
  </si>
  <si>
    <t>отменяем</t>
  </si>
  <si>
    <t>да будем</t>
  </si>
  <si>
    <t>нет</t>
  </si>
  <si>
    <t>сверху 40см фунд</t>
  </si>
  <si>
    <t>2 квартал 2023г.</t>
  </si>
  <si>
    <t>(375,22)</t>
  </si>
  <si>
    <t>(299,19)</t>
  </si>
  <si>
    <t>(9,96)</t>
  </si>
  <si>
    <t>(6,16)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</si>
  <si>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</si>
  <si>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</si>
  <si>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1000 м3</t>
  </si>
  <si>
    <t>Объем=((1,2*1,2*1,8)*12*0,9)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</si>
  <si>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</si>
  <si>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</si>
  <si>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</si>
  <si>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</si>
  <si>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ФЕР01-02-057-02</t>
  </si>
  <si>
    <t>Доработка грунта вручную в траншеях глубиной до 2 м без креплений с откосами, группа грунтов: 2</t>
  </si>
  <si>
    <t>100 м3</t>
  </si>
  <si>
    <t>Объем=((1,2*1,2*1,8)*12*0,1)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</si>
  <si>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</si>
  <si>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</si>
  <si>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</si>
  <si>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</si>
  <si>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</si>
  <si>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</si>
  <si>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Цена поставщика ООО "Террус"</t>
  </si>
  <si>
    <t>Перевозка и утилизация отходов 4-5 класса опасности</t>
  </si>
  <si>
    <t>Объем=0,028*1000+0,031*100</t>
  </si>
  <si>
    <t>Цена=1590/1,2/8,16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</si>
  <si>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</si>
  <si>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</si>
  <si>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Объем=(((28+3,1)-(0,4*0,4*0,8*12))) / 1000</t>
  </si>
  <si>
    <t>Цена Поставщика ООО “Грунт-маркет”</t>
  </si>
  <si>
    <t>Песок карьерный</t>
  </si>
  <si>
    <t>(Бетонные и железобетонные сборные конструкции и работы в строительстве)</t>
  </si>
  <si>
    <t>Объем=0,03*1000</t>
  </si>
  <si>
    <t>Цена=1370/1,2/8,16*1,012</t>
  </si>
  <si>
    <t>Устройство фундаментов</t>
  </si>
  <si>
    <t>ФЕР08-01-002-02</t>
  </si>
  <si>
    <t>Устройство основания под фундаменты: щебеночного</t>
  </si>
  <si>
    <t>Объем=0,4*0,4*0,1*12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</si>
  <si>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</si>
  <si>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</si>
  <si>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</si>
  <si>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</si>
  <si>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Щебень известняковый М600 фр. 20/40</t>
  </si>
  <si>
    <t>(Бетонные и железобетонные монолитные конструкции и работы в строительстве)</t>
  </si>
  <si>
    <t>Цена=3370/1,2/8,16*1,012</t>
  </si>
  <si>
    <t>ФЕР06-02-001-04</t>
  </si>
  <si>
    <t>Устройство железобетонных фундаментов общего назначения объемом: до 5 м3</t>
  </si>
  <si>
    <t>Объем=((0,4*0,4*1,8)*12)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</si>
  <si>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</si>
  <si>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</si>
  <si>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</si>
  <si>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</si>
  <si>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ФССЦ-04.1.02.05-0008</t>
  </si>
  <si>
    <t>Смеси бетонные тяжелого бетона (БСТ), класс B22,5 (М300)</t>
  </si>
  <si>
    <t>ФССЦ-08.4.03.03-0032</t>
  </si>
  <si>
    <t>Сталь арматурная, горячекатаная, периодического профиля, класс А-III, диаметр 12 мм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</si>
  <si>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</si>
  <si>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</si>
  <si>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Объем=(((1,8*0,4)*4)*12) / 100</t>
  </si>
  <si>
    <t>Монтаж м/к</t>
  </si>
  <si>
    <t>ФЕР06-03-004-08</t>
  </si>
  <si>
    <t>Установка стальных конструкций, остающихся в теле бетона (устройство перехода)</t>
  </si>
  <si>
    <t>Объем=(5,81*48+3,77*60+31,52*57,6)/1000</t>
  </si>
  <si>
    <t>Цена=540,94/8,16</t>
  </si>
  <si>
    <t>Цена=416,58/8,16</t>
  </si>
  <si>
    <t>Цена=3571,48/1,2/8,16</t>
  </si>
  <si>
    <t>19</t>
  </si>
  <si>
    <t>ФЕР13-03-002-04</t>
  </si>
  <si>
    <t>Огрунтовка металлических поверхностей за один раз: грунтовкой ГФ-021</t>
  </si>
  <si>
    <t>20</t>
  </si>
  <si>
    <t>Тепловая сеть</t>
  </si>
  <si>
    <t>22</t>
  </si>
  <si>
    <t>24</t>
  </si>
  <si>
    <t>25</t>
  </si>
  <si>
    <t>Цена=5633/1,2/8,16</t>
  </si>
  <si>
    <t>26</t>
  </si>
  <si>
    <t>27</t>
  </si>
  <si>
    <t>28</t>
  </si>
  <si>
    <t>29</t>
  </si>
  <si>
    <t>30</t>
  </si>
  <si>
    <t>ФЕР24-01-053-06</t>
  </si>
  <si>
    <t>Промывка и гидравлическое испытание трубопроводов, изолированных пенополиуретаном (ППУ), диаметром: 159 мм</t>
  </si>
  <si>
    <t>Контроль сварных соединений</t>
  </si>
  <si>
    <t>32</t>
  </si>
  <si>
    <t>ФЕРм39-01-001-03</t>
  </si>
  <si>
    <t>Очистка металлическими щетками поверхности трубопроводов номинальным диаметром: свыше 100 до 150 мм</t>
  </si>
  <si>
    <t>Объем=480/6</t>
  </si>
  <si>
    <t>33</t>
  </si>
  <si>
    <t>ФЕРм39-01-002-03</t>
  </si>
  <si>
    <t>Протирка органическими растворителями поверхности трубопроводов номинальным диаметром: свыше 100 до 150</t>
  </si>
  <si>
    <t>35</t>
  </si>
  <si>
    <t xml:space="preserve">     Производство работ в зимнее время 2,4%</t>
  </si>
  <si>
    <t>Новая камера (установка арматуры)</t>
  </si>
  <si>
    <t>Новая камера, установка арматуры</t>
  </si>
  <si>
    <t>Прокладка по подвалу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</si>
</sst>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0.000"/>
    <numFmt numFmtId="169" formatCode="0.0000"/>
    <numFmt numFmtId="170" formatCode="_-* #,##0.0_-;\-* #,##0.0_-;_-* &quot;-&quot;??_-;_-@_-"/>
    <numFmt numFmtId="171" formatCode="_-* #,##0.000_-;\-* #,##0.000_-;_-* &quot;-&quot;??_-;_-@_-"/>
    <numFmt numFmtId="172" formatCode="0.000000"/>
    <numFmt numFmtId="173" formatCode="0.00000"/>
    <numFmt numFmtId="174" formatCode="0.0000000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  <xf numFmtId="0" fontId="18" fillId="0" borderId="0"/>
  </cellStyleXfs>
  <cellXfs count="493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/>
    <xf numFmtId="0" fontId="0" fillId="2" borderId="1" xfId="0" applyFill="1" applyBorder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horizontal="center" vertical="center" wrapText="1"/>
    </xf>
    <xf numFmtId="43" fontId="0" fillId="0" borderId="0" xfId="1" applyFont="1"/>
    <xf numFmtId="43" fontId="2" fillId="2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2" fillId="0" borderId="2" xfId="0" applyFont="1" applyBorder="1" applyAlignment="1">
      <alignment vertical="center" wrapText="1"/>
    </xf>
    <xf numFmtId="43" fontId="2" fillId="0" borderId="0" xfId="1" applyFont="1" applyAlignment="1">
      <alignment horizontal="center" vertical="center"/>
    </xf>
    <xf numFmtId="9" fontId="0" fillId="0" borderId="0" xfId="2" applyFont="1"/>
    <xf numFmtId="164" fontId="0" fillId="0" borderId="1" xfId="0" applyNumberFormat="1" applyBorder="1" applyAlignment="1">
      <alignment horizontal="center" vertical="center"/>
    </xf>
    <xf numFmtId="9" fontId="2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0" fillId="4" borderId="1" xfId="0" applyFill="1" applyBorder="1"/>
    <xf numFmtId="43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0" xfId="0" applyFill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wrapText="1"/>
    </xf>
    <xf numFmtId="0" fontId="0" fillId="5" borderId="1" xfId="0" applyFill="1" applyBorder="1"/>
    <xf numFmtId="43" fontId="0" fillId="5" borderId="0" xfId="1" applyFont="1" applyFill="1" applyAlignment="1">
      <alignment horizontal="center" vertical="center"/>
    </xf>
    <xf numFmtId="43" fontId="0" fillId="5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6" borderId="1" xfId="0" applyFill="1" applyBorder="1"/>
    <xf numFmtId="43" fontId="0" fillId="6" borderId="1" xfId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7" borderId="1" xfId="0" applyFill="1" applyBorder="1"/>
    <xf numFmtId="0" fontId="0" fillId="7" borderId="1" xfId="0" applyFill="1" applyBorder="1" applyAlignment="1">
      <alignment vertical="center" wrapText="1"/>
    </xf>
    <xf numFmtId="43" fontId="0" fillId="7" borderId="1" xfId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65" fontId="0" fillId="0" borderId="0" xfId="1" applyNumberFormat="1" applyFont="1"/>
    <xf numFmtId="165" fontId="0" fillId="0" borderId="0" xfId="0" applyNumberFormat="1"/>
    <xf numFmtId="0" fontId="2" fillId="0" borderId="0" xfId="0" applyFont="1" applyAlignment="1">
      <alignment horizontal="center" vertical="center"/>
    </xf>
    <xf numFmtId="165" fontId="0" fillId="0" borderId="0" xfId="0" applyNumberFormat="1" applyAlignment="1">
      <alignment wrapText="1"/>
    </xf>
    <xf numFmtId="9" fontId="0" fillId="0" borderId="0" xfId="2" applyFont="1" applyAlignment="1">
      <alignment horizontal="center" vertical="center"/>
    </xf>
    <xf numFmtId="165" fontId="7" fillId="0" borderId="1" xfId="1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4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vertical="center" wrapText="1"/>
    </xf>
    <xf numFmtId="167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wrapText="1"/>
    </xf>
    <xf numFmtId="168" fontId="6" fillId="0" borderId="1" xfId="0" applyNumberFormat="1" applyFont="1" applyBorder="1" applyAlignment="1">
      <alignment vertical="center" wrapText="1"/>
    </xf>
    <xf numFmtId="169" fontId="6" fillId="0" borderId="1" xfId="0" applyNumberFormat="1" applyFont="1" applyBorder="1" applyAlignment="1">
      <alignment vertical="center" wrapText="1"/>
    </xf>
    <xf numFmtId="0" fontId="6" fillId="0" borderId="3" xfId="4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right" vertical="center" wrapText="1"/>
    </xf>
    <xf numFmtId="165" fontId="0" fillId="0" borderId="0" xfId="1" applyNumberFormat="1" applyFont="1" applyAlignment="1">
      <alignment horizontal="center" vertical="center"/>
    </xf>
    <xf numFmtId="0" fontId="7" fillId="7" borderId="3" xfId="0" applyFont="1" applyFill="1" applyBorder="1" applyAlignment="1">
      <alignment horizontal="left" vertical="center" wrapText="1"/>
    </xf>
    <xf numFmtId="166" fontId="10" fillId="7" borderId="1" xfId="0" applyNumberFormat="1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5" fontId="11" fillId="0" borderId="1" xfId="1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43" fontId="10" fillId="0" borderId="1" xfId="1" applyFont="1" applyBorder="1" applyAlignment="1">
      <alignment vertical="center"/>
    </xf>
    <xf numFmtId="165" fontId="10" fillId="0" borderId="1" xfId="1" applyNumberFormat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165" fontId="11" fillId="0" borderId="1" xfId="1" applyNumberFormat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7" borderId="1" xfId="0" applyFont="1" applyFill="1" applyBorder="1" applyAlignment="1">
      <alignment horizontal="center" vertical="center" wrapText="1"/>
    </xf>
    <xf numFmtId="165" fontId="10" fillId="7" borderId="1" xfId="1" applyNumberFormat="1" applyFont="1" applyFill="1" applyBorder="1" applyAlignment="1">
      <alignment horizontal="center" vertical="center" wrapText="1"/>
    </xf>
    <xf numFmtId="43" fontId="10" fillId="7" borderId="1" xfId="1" applyFont="1" applyFill="1" applyBorder="1" applyAlignment="1">
      <alignment horizontal="center" vertical="center" wrapText="1"/>
    </xf>
    <xf numFmtId="43" fontId="11" fillId="0" borderId="1" xfId="1" applyFont="1" applyBorder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3" fontId="12" fillId="0" borderId="1" xfId="1" applyFont="1" applyFill="1" applyBorder="1" applyAlignment="1">
      <alignment horizontal="center" vertical="center" wrapText="1"/>
    </xf>
    <xf numFmtId="43" fontId="10" fillId="0" borderId="3" xfId="1" applyFont="1" applyBorder="1" applyAlignment="1">
      <alignment horizontal="left" vertical="center" wrapText="1"/>
    </xf>
    <xf numFmtId="165" fontId="10" fillId="0" borderId="3" xfId="1" applyNumberFormat="1" applyFont="1" applyBorder="1" applyAlignment="1">
      <alignment horizontal="left" vertical="center" wrapText="1"/>
    </xf>
    <xf numFmtId="43" fontId="10" fillId="7" borderId="3" xfId="1" applyFont="1" applyFill="1" applyBorder="1" applyAlignment="1">
      <alignment horizontal="left" vertical="center" wrapText="1"/>
    </xf>
    <xf numFmtId="170" fontId="10" fillId="7" borderId="3" xfId="1" applyNumberFormat="1" applyFont="1" applyFill="1" applyBorder="1" applyAlignment="1">
      <alignment horizontal="left" vertical="center" wrapText="1"/>
    </xf>
    <xf numFmtId="165" fontId="10" fillId="7" borderId="3" xfId="1" applyNumberFormat="1" applyFont="1" applyFill="1" applyBorder="1" applyAlignment="1">
      <alignment horizontal="left" vertical="center" wrapText="1"/>
    </xf>
    <xf numFmtId="1" fontId="6" fillId="0" borderId="1" xfId="3" applyNumberFormat="1" applyFont="1" applyBorder="1" applyAlignment="1">
      <alignment horizontal="center" vertical="center"/>
    </xf>
    <xf numFmtId="0" fontId="12" fillId="8" borderId="1" xfId="0" applyFont="1" applyFill="1" applyBorder="1" applyAlignment="1">
      <alignment vertical="center" wrapText="1"/>
    </xf>
    <xf numFmtId="3" fontId="12" fillId="8" borderId="1" xfId="0" applyNumberFormat="1" applyFont="1" applyFill="1" applyBorder="1" applyAlignment="1">
      <alignment vertical="center" wrapText="1"/>
    </xf>
    <xf numFmtId="0" fontId="12" fillId="8" borderId="3" xfId="0" applyFont="1" applyFill="1" applyBorder="1" applyAlignment="1">
      <alignment vertical="center" wrapText="1"/>
    </xf>
    <xf numFmtId="43" fontId="10" fillId="8" borderId="1" xfId="1" applyFont="1" applyFill="1" applyBorder="1" applyAlignment="1">
      <alignment horizontal="left" vertical="center"/>
    </xf>
    <xf numFmtId="0" fontId="6" fillId="0" borderId="1" xfId="3" applyFont="1" applyBorder="1" applyAlignment="1">
      <alignment horizontal="center" vertical="center" wrapText="1"/>
    </xf>
    <xf numFmtId="0" fontId="10" fillId="0" borderId="1" xfId="0" applyFont="1" applyBorder="1"/>
    <xf numFmtId="0" fontId="10" fillId="8" borderId="1" xfId="0" applyFont="1" applyFill="1" applyBorder="1"/>
    <xf numFmtId="1" fontId="6" fillId="0" borderId="1" xfId="3" applyNumberFormat="1" applyFont="1" applyBorder="1" applyAlignment="1">
      <alignment horizontal="right" vertical="center"/>
    </xf>
    <xf numFmtId="165" fontId="10" fillId="0" borderId="1" xfId="1" applyNumberFormat="1" applyFont="1" applyBorder="1"/>
    <xf numFmtId="2" fontId="6" fillId="0" borderId="1" xfId="3" applyNumberFormat="1" applyFont="1" applyBorder="1" applyAlignment="1">
      <alignment horizontal="right" vertical="center"/>
    </xf>
    <xf numFmtId="165" fontId="10" fillId="9" borderId="1" xfId="1" applyNumberFormat="1" applyFont="1" applyFill="1" applyBorder="1"/>
    <xf numFmtId="0" fontId="6" fillId="0" borderId="1" xfId="3" applyFont="1" applyBorder="1" applyAlignment="1">
      <alignment horizontal="left" vertical="center" wrapText="1"/>
    </xf>
    <xf numFmtId="165" fontId="10" fillId="8" borderId="1" xfId="1" applyNumberFormat="1" applyFont="1" applyFill="1" applyBorder="1"/>
    <xf numFmtId="0" fontId="6" fillId="0" borderId="1" xfId="3" applyFont="1" applyBorder="1" applyAlignment="1">
      <alignment vertical="center" wrapText="1"/>
    </xf>
    <xf numFmtId="167" fontId="6" fillId="0" borderId="1" xfId="3" applyNumberFormat="1" applyFont="1" applyBorder="1" applyAlignment="1">
      <alignment horizontal="center" vertical="center"/>
    </xf>
    <xf numFmtId="0" fontId="10" fillId="8" borderId="1" xfId="0" applyFont="1" applyFill="1" applyBorder="1" applyAlignment="1">
      <alignment vertical="center"/>
    </xf>
    <xf numFmtId="165" fontId="10" fillId="8" borderId="1" xfId="1" applyNumberFormat="1" applyFont="1" applyFill="1" applyBorder="1" applyAlignment="1">
      <alignment vertical="center"/>
    </xf>
    <xf numFmtId="165" fontId="10" fillId="8" borderId="1" xfId="0" applyNumberFormat="1" applyFont="1" applyFill="1" applyBorder="1" applyAlignment="1">
      <alignment vertical="center"/>
    </xf>
    <xf numFmtId="167" fontId="6" fillId="0" borderId="1" xfId="3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0" fontId="13" fillId="9" borderId="1" xfId="0" applyFont="1" applyFill="1" applyBorder="1" applyAlignment="1">
      <alignment vertical="center" wrapText="1"/>
    </xf>
    <xf numFmtId="165" fontId="6" fillId="0" borderId="1" xfId="1" applyNumberFormat="1" applyFont="1" applyBorder="1" applyAlignment="1">
      <alignment horizontal="right" vertical="center"/>
    </xf>
    <xf numFmtId="43" fontId="6" fillId="0" borderId="1" xfId="1" applyFont="1" applyBorder="1" applyAlignment="1">
      <alignment horizontal="right" vertical="center"/>
    </xf>
    <xf numFmtId="1" fontId="7" fillId="0" borderId="1" xfId="3" applyNumberFormat="1" applyFont="1" applyBorder="1" applyAlignment="1">
      <alignment horizontal="center" vertical="top"/>
    </xf>
    <xf numFmtId="43" fontId="7" fillId="0" borderId="1" xfId="0" applyNumberFormat="1" applyFont="1" applyBorder="1" applyAlignment="1">
      <alignment vertical="top" wrapText="1"/>
    </xf>
    <xf numFmtId="165" fontId="7" fillId="0" borderId="1" xfId="1" applyNumberFormat="1" applyFont="1" applyBorder="1" applyAlignment="1">
      <alignment vertical="top" wrapText="1"/>
    </xf>
    <xf numFmtId="4" fontId="6" fillId="0" borderId="1" xfId="3" applyNumberFormat="1" applyFont="1" applyBorder="1" applyAlignment="1">
      <alignment horizontal="right" vertical="center"/>
    </xf>
    <xf numFmtId="1" fontId="7" fillId="0" borderId="1" xfId="3" applyNumberFormat="1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0" fillId="0" borderId="0" xfId="0" applyFont="1"/>
    <xf numFmtId="0" fontId="11" fillId="7" borderId="7" xfId="0" applyFont="1" applyFill="1" applyBorder="1" applyAlignment="1">
      <alignment horizontal="center" vertical="center"/>
    </xf>
    <xf numFmtId="0" fontId="11" fillId="8" borderId="7" xfId="0" applyFont="1" applyFill="1" applyBorder="1" applyAlignment="1">
      <alignment horizontal="center" vertical="center"/>
    </xf>
    <xf numFmtId="4" fontId="11" fillId="8" borderId="1" xfId="0" applyNumberFormat="1" applyFont="1" applyFill="1" applyBorder="1" applyAlignment="1">
      <alignment horizontal="left" vertical="center" wrapText="1"/>
    </xf>
    <xf numFmtId="166" fontId="10" fillId="8" borderId="1" xfId="0" applyNumberFormat="1" applyFont="1" applyFill="1" applyBorder="1" applyAlignment="1">
      <alignment horizontal="left" vertical="center"/>
    </xf>
    <xf numFmtId="166" fontId="10" fillId="8" borderId="1" xfId="0" applyNumberFormat="1" applyFont="1" applyFill="1" applyBorder="1"/>
    <xf numFmtId="43" fontId="11" fillId="0" borderId="1" xfId="1" applyFont="1" applyBorder="1"/>
    <xf numFmtId="0" fontId="7" fillId="7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vertical="center" wrapText="1"/>
    </xf>
    <xf numFmtId="3" fontId="6" fillId="7" borderId="1" xfId="0" applyNumberFormat="1" applyFont="1" applyFill="1" applyBorder="1" applyAlignment="1">
      <alignment horizontal="center" vertical="center"/>
    </xf>
    <xf numFmtId="4" fontId="11" fillId="7" borderId="1" xfId="0" applyNumberFormat="1" applyFont="1" applyFill="1" applyBorder="1" applyAlignment="1">
      <alignment horizontal="left" vertical="center" wrapText="1"/>
    </xf>
    <xf numFmtId="1" fontId="10" fillId="7" borderId="1" xfId="0" applyNumberFormat="1" applyFont="1" applyFill="1" applyBorder="1" applyAlignment="1">
      <alignment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166" fontId="10" fillId="8" borderId="1" xfId="0" applyNumberFormat="1" applyFont="1" applyFill="1" applyBorder="1" applyAlignment="1">
      <alignment vertical="center"/>
    </xf>
    <xf numFmtId="166" fontId="10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43" fontId="9" fillId="7" borderId="1" xfId="1" applyFont="1" applyFill="1" applyBorder="1" applyAlignment="1">
      <alignment horizontal="center" vertical="center" wrapText="1"/>
    </xf>
    <xf numFmtId="0" fontId="11" fillId="11" borderId="4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11" fillId="10" borderId="4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 wrapText="1"/>
    </xf>
    <xf numFmtId="43" fontId="10" fillId="11" borderId="1" xfId="1" applyFont="1" applyFill="1" applyBorder="1" applyAlignment="1">
      <alignment vertical="center"/>
    </xf>
    <xf numFmtId="43" fontId="11" fillId="11" borderId="1" xfId="1" applyFont="1" applyFill="1" applyBorder="1"/>
    <xf numFmtId="43" fontId="10" fillId="11" borderId="1" xfId="1" applyFont="1" applyFill="1" applyBorder="1" applyAlignment="1">
      <alignment horizontal="right" vertical="center"/>
    </xf>
    <xf numFmtId="43" fontId="11" fillId="11" borderId="1" xfId="1" applyFont="1" applyFill="1" applyBorder="1" applyAlignment="1">
      <alignment horizontal="center" vertical="center"/>
    </xf>
    <xf numFmtId="43" fontId="10" fillId="10" borderId="1" xfId="1" applyFont="1" applyFill="1" applyBorder="1" applyAlignment="1">
      <alignment vertical="center"/>
    </xf>
    <xf numFmtId="43" fontId="10" fillId="10" borderId="1" xfId="1" applyFont="1" applyFill="1" applyBorder="1" applyAlignment="1">
      <alignment horizontal="right" vertical="center"/>
    </xf>
    <xf numFmtId="43" fontId="11" fillId="10" borderId="1" xfId="1" applyFont="1" applyFill="1" applyBorder="1" applyAlignment="1">
      <alignment horizontal="center" vertical="center"/>
    </xf>
    <xf numFmtId="43" fontId="11" fillId="10" borderId="1" xfId="1" applyFont="1" applyFill="1" applyBorder="1"/>
    <xf numFmtId="0" fontId="6" fillId="0" borderId="1" xfId="0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2" fontId="6" fillId="0" borderId="1" xfId="0" applyNumberFormat="1" applyFont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right" vertical="center" wrapText="1"/>
    </xf>
    <xf numFmtId="43" fontId="10" fillId="7" borderId="1" xfId="1" applyFont="1" applyFill="1" applyBorder="1" applyAlignment="1">
      <alignment horizontal="right" vertical="center" wrapText="1"/>
    </xf>
    <xf numFmtId="170" fontId="10" fillId="7" borderId="1" xfId="1" applyNumberFormat="1" applyFont="1" applyFill="1" applyBorder="1" applyAlignment="1">
      <alignment horizontal="right" vertical="center" wrapText="1"/>
    </xf>
    <xf numFmtId="43" fontId="0" fillId="0" borderId="0" xfId="0" applyNumberFormat="1"/>
    <xf numFmtId="0" fontId="14" fillId="0" borderId="0" xfId="0" applyFont="1"/>
    <xf numFmtId="0" fontId="14" fillId="0" borderId="0" xfId="0" applyFont="1" applyAlignment="1">
      <alignment vertical="center"/>
    </xf>
    <xf numFmtId="43" fontId="7" fillId="0" borderId="1" xfId="1" applyFont="1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1" fontId="10" fillId="7" borderId="1" xfId="1" applyNumberFormat="1" applyFont="1" applyFill="1" applyBorder="1" applyAlignment="1">
      <alignment horizontal="center" vertical="center" wrapText="1"/>
    </xf>
    <xf numFmtId="165" fontId="6" fillId="0" borderId="1" xfId="1" applyNumberFormat="1" applyFont="1" applyBorder="1" applyAlignment="1">
      <alignment horizontal="center" vertical="center"/>
    </xf>
    <xf numFmtId="165" fontId="10" fillId="0" borderId="1" xfId="1" applyNumberFormat="1" applyFont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165" fontId="10" fillId="7" borderId="1" xfId="1" applyNumberFormat="1" applyFont="1" applyFill="1" applyBorder="1" applyAlignment="1">
      <alignment horizontal="center" vertical="center"/>
    </xf>
    <xf numFmtId="9" fontId="7" fillId="0" borderId="0" xfId="2" applyFont="1" applyFill="1" applyBorder="1" applyAlignment="1">
      <alignment horizontal="center" vertical="center"/>
    </xf>
    <xf numFmtId="43" fontId="10" fillId="7" borderId="1" xfId="1" applyFont="1" applyFill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165" fontId="10" fillId="0" borderId="8" xfId="1" applyNumberFormat="1" applyFont="1" applyBorder="1" applyAlignment="1">
      <alignment horizontal="center" vertical="center"/>
    </xf>
    <xf numFmtId="43" fontId="10" fillId="7" borderId="4" xfId="1" applyFont="1" applyFill="1" applyBorder="1" applyAlignment="1">
      <alignment vertical="center"/>
    </xf>
    <xf numFmtId="10" fontId="0" fillId="0" borderId="0" xfId="0" applyNumberFormat="1"/>
    <xf numFmtId="0" fontId="10" fillId="4" borderId="1" xfId="0" applyFont="1" applyFill="1" applyBorder="1" applyAlignment="1">
      <alignment vertical="center" wrapText="1"/>
    </xf>
    <xf numFmtId="0" fontId="10" fillId="12" borderId="1" xfId="0" applyFont="1" applyFill="1" applyBorder="1" applyAlignment="1">
      <alignment vertical="center" wrapText="1"/>
    </xf>
    <xf numFmtId="0" fontId="10" fillId="6" borderId="1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vertical="center" wrapText="1"/>
    </xf>
    <xf numFmtId="0" fontId="10" fillId="13" borderId="1" xfId="0" applyFont="1" applyFill="1" applyBorder="1" applyAlignment="1">
      <alignment vertical="center" wrapText="1"/>
    </xf>
    <xf numFmtId="0" fontId="10" fillId="14" borderId="1" xfId="0" applyFont="1" applyFill="1" applyBorder="1" applyAlignment="1">
      <alignment vertical="center" wrapText="1"/>
    </xf>
    <xf numFmtId="0" fontId="10" fillId="15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6" fillId="14" borderId="1" xfId="0" applyFont="1" applyFill="1" applyBorder="1" applyAlignment="1">
      <alignment vertical="center" wrapText="1"/>
    </xf>
    <xf numFmtId="0" fontId="6" fillId="15" borderId="1" xfId="0" applyFont="1" applyFill="1" applyBorder="1" applyAlignment="1">
      <alignment vertical="center" wrapText="1"/>
    </xf>
    <xf numFmtId="0" fontId="15" fillId="5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6" fillId="0" borderId="0" xfId="0" applyFont="1"/>
    <xf numFmtId="0" fontId="16" fillId="0" borderId="0" xfId="0" applyFont="1" applyAlignment="1">
      <alignment wrapText="1" shrinkToFit="1"/>
    </xf>
    <xf numFmtId="4" fontId="16" fillId="0" borderId="0" xfId="0" applyNumberFormat="1" applyFont="1"/>
    <xf numFmtId="0" fontId="16" fillId="0" borderId="0" xfId="0" applyFont="1" applyAlignment="1">
      <alignment horizontal="center" vertical="center"/>
    </xf>
    <xf numFmtId="4" fontId="17" fillId="16" borderId="1" xfId="0" applyNumberFormat="1" applyFont="1" applyFill="1" applyBorder="1" applyAlignment="1">
      <alignment horizontal="center" vertical="center"/>
    </xf>
    <xf numFmtId="4" fontId="17" fillId="0" borderId="19" xfId="0" applyNumberFormat="1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4" fontId="17" fillId="0" borderId="22" xfId="0" applyNumberFormat="1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164" fontId="2" fillId="0" borderId="0" xfId="0" applyNumberFormat="1" applyFont="1"/>
    <xf numFmtId="0" fontId="18" fillId="0" borderId="0" xfId="5"/>
    <xf numFmtId="0" fontId="19" fillId="0" borderId="0" xfId="5" applyFont="1" applyAlignment="1">
      <alignment horizontal="right"/>
    </xf>
    <xf numFmtId="49" fontId="19" fillId="0" borderId="0" xfId="5" applyNumberFormat="1" applyFont="1"/>
    <xf numFmtId="49" fontId="19" fillId="0" borderId="0" xfId="5" applyNumberFormat="1" applyFont="1" applyAlignment="1">
      <alignment horizontal="right"/>
    </xf>
    <xf numFmtId="0" fontId="19" fillId="0" borderId="0" xfId="5" applyFont="1"/>
    <xf numFmtId="49" fontId="19" fillId="0" borderId="0" xfId="5" applyNumberFormat="1" applyFont="1" applyAlignment="1">
      <alignment vertical="top"/>
    </xf>
    <xf numFmtId="49" fontId="19" fillId="0" borderId="0" xfId="5" applyNumberFormat="1" applyFont="1" applyAlignment="1">
      <alignment wrapText="1"/>
    </xf>
    <xf numFmtId="0" fontId="19" fillId="0" borderId="0" xfId="5" applyFont="1" applyAlignment="1">
      <alignment wrapText="1"/>
    </xf>
    <xf numFmtId="49" fontId="20" fillId="0" borderId="0" xfId="5" applyNumberFormat="1" applyFont="1" applyAlignment="1">
      <alignment vertical="top" wrapText="1"/>
    </xf>
    <xf numFmtId="49" fontId="19" fillId="0" borderId="0" xfId="5" applyNumberFormat="1" applyFont="1" applyAlignment="1">
      <alignment vertical="top" wrapText="1"/>
    </xf>
    <xf numFmtId="49" fontId="19" fillId="0" borderId="0" xfId="5" applyNumberFormat="1" applyFont="1" applyAlignment="1">
      <alignment horizontal="left" vertical="top"/>
    </xf>
    <xf numFmtId="49" fontId="19" fillId="0" borderId="0" xfId="5" applyNumberFormat="1" applyFont="1" applyAlignment="1">
      <alignment horizontal="left"/>
    </xf>
    <xf numFmtId="49" fontId="21" fillId="0" borderId="0" xfId="5" applyNumberFormat="1" applyFont="1" applyAlignment="1">
      <alignment horizontal="center" vertical="top"/>
    </xf>
    <xf numFmtId="49" fontId="22" fillId="0" borderId="0" xfId="5" applyNumberFormat="1" applyFont="1" applyAlignment="1">
      <alignment horizontal="center"/>
    </xf>
    <xf numFmtId="49" fontId="23" fillId="0" borderId="11" xfId="5" applyNumberFormat="1" applyFont="1" applyBorder="1" applyAlignment="1">
      <alignment horizontal="center"/>
    </xf>
    <xf numFmtId="49" fontId="23" fillId="0" borderId="0" xfId="5" applyNumberFormat="1" applyFont="1"/>
    <xf numFmtId="49" fontId="21" fillId="0" borderId="0" xfId="5" applyNumberFormat="1" applyFont="1"/>
    <xf numFmtId="49" fontId="23" fillId="0" borderId="0" xfId="5" applyNumberFormat="1" applyFont="1" applyAlignment="1">
      <alignment horizontal="right" vertical="top"/>
    </xf>
    <xf numFmtId="49" fontId="21" fillId="0" borderId="0" xfId="5" applyNumberFormat="1" applyFont="1" applyAlignment="1">
      <alignment horizontal="center"/>
    </xf>
    <xf numFmtId="49" fontId="24" fillId="0" borderId="0" xfId="5" applyNumberFormat="1" applyFont="1" applyAlignment="1">
      <alignment horizontal="left"/>
    </xf>
    <xf numFmtId="49" fontId="19" fillId="0" borderId="0" xfId="5" applyNumberFormat="1" applyFont="1" applyAlignment="1">
      <alignment horizontal="center"/>
    </xf>
    <xf numFmtId="0" fontId="19" fillId="0" borderId="0" xfId="5" applyFont="1" applyAlignment="1">
      <alignment horizontal="center"/>
    </xf>
    <xf numFmtId="4" fontId="19" fillId="0" borderId="11" xfId="5" applyNumberFormat="1" applyFont="1" applyBorder="1"/>
    <xf numFmtId="49" fontId="23" fillId="0" borderId="11" xfId="5" applyNumberFormat="1" applyFont="1" applyBorder="1" applyAlignment="1">
      <alignment horizontal="right"/>
    </xf>
    <xf numFmtId="0" fontId="19" fillId="0" borderId="0" xfId="5" applyFont="1" applyAlignment="1">
      <alignment horizontal="left"/>
    </xf>
    <xf numFmtId="0" fontId="19" fillId="0" borderId="0" xfId="5" applyFont="1" applyAlignment="1">
      <alignment vertical="center" wrapText="1"/>
    </xf>
    <xf numFmtId="0" fontId="21" fillId="0" borderId="0" xfId="5" applyFont="1"/>
    <xf numFmtId="4" fontId="19" fillId="0" borderId="0" xfId="5" applyNumberFormat="1" applyFont="1"/>
    <xf numFmtId="49" fontId="23" fillId="0" borderId="0" xfId="5" applyNumberFormat="1" applyFont="1" applyAlignment="1">
      <alignment horizontal="right"/>
    </xf>
    <xf numFmtId="0" fontId="24" fillId="0" borderId="0" xfId="5" applyFont="1"/>
    <xf numFmtId="49" fontId="19" fillId="0" borderId="11" xfId="5" applyNumberFormat="1" applyFont="1" applyBorder="1" applyAlignment="1">
      <alignment horizontal="right"/>
    </xf>
    <xf numFmtId="49" fontId="23" fillId="0" borderId="8" xfId="5" applyNumberFormat="1" applyFont="1" applyBorder="1" applyAlignment="1">
      <alignment horizontal="right"/>
    </xf>
    <xf numFmtId="49" fontId="23" fillId="0" borderId="0" xfId="5" applyNumberFormat="1" applyFont="1" applyAlignment="1">
      <alignment vertical="center"/>
    </xf>
    <xf numFmtId="0" fontId="23" fillId="0" borderId="1" xfId="5" applyFont="1" applyBorder="1" applyAlignment="1">
      <alignment horizontal="center" vertical="center" wrapText="1"/>
    </xf>
    <xf numFmtId="49" fontId="23" fillId="0" borderId="1" xfId="5" applyNumberFormat="1" applyFont="1" applyBorder="1" applyAlignment="1">
      <alignment horizontal="center" vertical="center"/>
    </xf>
    <xf numFmtId="0" fontId="23" fillId="0" borderId="1" xfId="5" applyFont="1" applyBorder="1" applyAlignment="1">
      <alignment horizontal="center" vertical="center"/>
    </xf>
    <xf numFmtId="0" fontId="25" fillId="0" borderId="0" xfId="5" applyFont="1" applyAlignment="1">
      <alignment wrapText="1"/>
    </xf>
    <xf numFmtId="49" fontId="26" fillId="0" borderId="13" xfId="5" applyNumberFormat="1" applyFont="1" applyBorder="1" applyAlignment="1">
      <alignment horizontal="center" vertical="top" wrapText="1"/>
    </xf>
    <xf numFmtId="49" fontId="26" fillId="0" borderId="14" xfId="5" applyNumberFormat="1" applyFont="1" applyBorder="1" applyAlignment="1">
      <alignment horizontal="left" vertical="top" wrapText="1"/>
    </xf>
    <xf numFmtId="49" fontId="26" fillId="0" borderId="14" xfId="5" applyNumberFormat="1" applyFont="1" applyBorder="1" applyAlignment="1">
      <alignment horizontal="center" vertical="top" wrapText="1"/>
    </xf>
    <xf numFmtId="0" fontId="26" fillId="0" borderId="14" xfId="5" applyFont="1" applyBorder="1" applyAlignment="1">
      <alignment horizontal="center" vertical="top" wrapText="1"/>
    </xf>
    <xf numFmtId="1" fontId="26" fillId="0" borderId="14" xfId="5" applyNumberFormat="1" applyFont="1" applyBorder="1" applyAlignment="1">
      <alignment horizontal="center" vertical="top" wrapText="1"/>
    </xf>
    <xf numFmtId="2" fontId="26" fillId="0" borderId="14" xfId="5" applyNumberFormat="1" applyFont="1" applyBorder="1" applyAlignment="1">
      <alignment horizontal="center" vertical="top" wrapText="1"/>
    </xf>
    <xf numFmtId="0" fontId="26" fillId="0" borderId="14" xfId="5" applyFont="1" applyBorder="1" applyAlignment="1">
      <alignment horizontal="right" vertical="top" wrapText="1"/>
    </xf>
    <xf numFmtId="0" fontId="26" fillId="0" borderId="5" xfId="5" applyFont="1" applyBorder="1" applyAlignment="1">
      <alignment horizontal="right" vertical="top" wrapText="1"/>
    </xf>
    <xf numFmtId="0" fontId="26" fillId="0" borderId="0" xfId="5" applyFont="1" applyAlignment="1">
      <alignment wrapText="1"/>
    </xf>
    <xf numFmtId="49" fontId="23" fillId="0" borderId="10" xfId="5" applyNumberFormat="1" applyFont="1" applyBorder="1" applyAlignment="1">
      <alignment horizontal="center" vertical="top" wrapText="1"/>
    </xf>
    <xf numFmtId="49" fontId="23" fillId="0" borderId="0" xfId="5" applyNumberFormat="1" applyFont="1" applyAlignment="1">
      <alignment horizontal="left" vertical="top" wrapText="1"/>
    </xf>
    <xf numFmtId="0" fontId="23" fillId="0" borderId="0" xfId="5" applyFont="1" applyAlignment="1">
      <alignment wrapText="1"/>
    </xf>
    <xf numFmtId="49" fontId="23" fillId="0" borderId="10" xfId="5" applyNumberFormat="1" applyFont="1" applyBorder="1" applyAlignment="1">
      <alignment horizontal="center" vertical="center" wrapText="1"/>
    </xf>
    <xf numFmtId="49" fontId="23" fillId="0" borderId="0" xfId="5" applyNumberFormat="1" applyFont="1" applyAlignment="1">
      <alignment horizontal="right" vertical="top" wrapText="1"/>
    </xf>
    <xf numFmtId="49" fontId="23" fillId="0" borderId="0" xfId="5" applyNumberFormat="1" applyFont="1" applyAlignment="1">
      <alignment horizontal="center" vertical="top" wrapText="1"/>
    </xf>
    <xf numFmtId="0" fontId="23" fillId="0" borderId="0" xfId="5" applyFont="1" applyAlignment="1">
      <alignment horizontal="center" vertical="top" wrapText="1"/>
    </xf>
    <xf numFmtId="2" fontId="23" fillId="0" borderId="0" xfId="5" applyNumberFormat="1" applyFont="1" applyAlignment="1">
      <alignment horizontal="right" vertical="top" wrapText="1"/>
    </xf>
    <xf numFmtId="167" fontId="23" fillId="0" borderId="0" xfId="5" applyNumberFormat="1" applyFont="1" applyAlignment="1">
      <alignment horizontal="center" vertical="top" wrapText="1"/>
    </xf>
    <xf numFmtId="4" fontId="23" fillId="0" borderId="23" xfId="5" applyNumberFormat="1" applyFont="1" applyBorder="1" applyAlignment="1">
      <alignment horizontal="right" vertical="top" wrapText="1"/>
    </xf>
    <xf numFmtId="4" fontId="23" fillId="0" borderId="0" xfId="5" applyNumberFormat="1" applyFont="1" applyAlignment="1">
      <alignment horizontal="right" vertical="top" wrapText="1"/>
    </xf>
    <xf numFmtId="2" fontId="23" fillId="0" borderId="0" xfId="5" applyNumberFormat="1" applyFont="1" applyAlignment="1">
      <alignment horizontal="center" vertical="top" wrapText="1"/>
    </xf>
    <xf numFmtId="49" fontId="23" fillId="0" borderId="10" xfId="5" applyNumberFormat="1" applyFont="1" applyBorder="1" applyAlignment="1">
      <alignment horizontal="right" vertical="top" wrapText="1"/>
    </xf>
    <xf numFmtId="0" fontId="23" fillId="0" borderId="0" xfId="5" applyFont="1" applyAlignment="1">
      <alignment horizontal="right" vertical="top" wrapText="1"/>
    </xf>
    <xf numFmtId="0" fontId="23" fillId="0" borderId="23" xfId="5" applyFont="1" applyBorder="1" applyAlignment="1">
      <alignment horizontal="right" vertical="top" wrapText="1"/>
    </xf>
    <xf numFmtId="169" fontId="23" fillId="0" borderId="0" xfId="5" applyNumberFormat="1" applyFont="1" applyAlignment="1">
      <alignment horizontal="center" vertical="top" wrapText="1"/>
    </xf>
    <xf numFmtId="49" fontId="23" fillId="0" borderId="14" xfId="5" applyNumberFormat="1" applyFont="1" applyBorder="1" applyAlignment="1">
      <alignment horizontal="center" vertical="top" wrapText="1"/>
    </xf>
    <xf numFmtId="0" fontId="23" fillId="0" borderId="14" xfId="5" applyFont="1" applyBorder="1" applyAlignment="1">
      <alignment horizontal="center" vertical="top" wrapText="1"/>
    </xf>
    <xf numFmtId="4" fontId="23" fillId="0" borderId="14" xfId="5" applyNumberFormat="1" applyFont="1" applyBorder="1" applyAlignment="1">
      <alignment horizontal="right" vertical="top" wrapText="1"/>
    </xf>
    <xf numFmtId="2" fontId="23" fillId="0" borderId="14" xfId="5" applyNumberFormat="1" applyFont="1" applyBorder="1" applyAlignment="1">
      <alignment horizontal="right" vertical="top" wrapText="1"/>
    </xf>
    <xf numFmtId="4" fontId="23" fillId="0" borderId="5" xfId="5" applyNumberFormat="1" applyFont="1" applyBorder="1" applyAlignment="1">
      <alignment horizontal="right" vertical="top" wrapText="1"/>
    </xf>
    <xf numFmtId="1" fontId="23" fillId="0" borderId="0" xfId="5" applyNumberFormat="1" applyFont="1" applyAlignment="1">
      <alignment horizontal="center" vertical="top" wrapText="1"/>
    </xf>
    <xf numFmtId="49" fontId="26" fillId="0" borderId="10" xfId="5" applyNumberFormat="1" applyFont="1" applyBorder="1" applyAlignment="1">
      <alignment horizontal="center" vertical="top" wrapText="1"/>
    </xf>
    <xf numFmtId="4" fontId="26" fillId="0" borderId="14" xfId="5" applyNumberFormat="1" applyFont="1" applyBorder="1" applyAlignment="1">
      <alignment horizontal="right" vertical="top" wrapText="1"/>
    </xf>
    <xf numFmtId="4" fontId="26" fillId="0" borderId="5" xfId="5" applyNumberFormat="1" applyFont="1" applyBorder="1" applyAlignment="1">
      <alignment horizontal="right" vertical="top" wrapText="1"/>
    </xf>
    <xf numFmtId="2" fontId="26" fillId="0" borderId="14" xfId="5" applyNumberFormat="1" applyFont="1" applyBorder="1" applyAlignment="1">
      <alignment horizontal="right" vertical="top" wrapText="1"/>
    </xf>
    <xf numFmtId="169" fontId="26" fillId="0" borderId="14" xfId="5" applyNumberFormat="1" applyFont="1" applyBorder="1" applyAlignment="1">
      <alignment horizontal="center" vertical="top" wrapText="1"/>
    </xf>
    <xf numFmtId="49" fontId="23" fillId="0" borderId="10" xfId="5" applyNumberFormat="1" applyFont="1" applyBorder="1" applyAlignment="1">
      <alignment vertical="center" wrapText="1"/>
    </xf>
    <xf numFmtId="2" fontId="23" fillId="0" borderId="23" xfId="5" applyNumberFormat="1" applyFont="1" applyBorder="1" applyAlignment="1">
      <alignment horizontal="right" vertical="top" wrapText="1"/>
    </xf>
    <xf numFmtId="172" fontId="23" fillId="0" borderId="0" xfId="5" applyNumberFormat="1" applyFont="1" applyAlignment="1">
      <alignment horizontal="center" vertical="top" wrapText="1"/>
    </xf>
    <xf numFmtId="2" fontId="23" fillId="0" borderId="5" xfId="5" applyNumberFormat="1" applyFont="1" applyBorder="1" applyAlignment="1">
      <alignment horizontal="right" vertical="top" wrapText="1"/>
    </xf>
    <xf numFmtId="168" fontId="26" fillId="0" borderId="14" xfId="5" applyNumberFormat="1" applyFont="1" applyBorder="1" applyAlignment="1">
      <alignment horizontal="center" vertical="top" wrapText="1"/>
    </xf>
    <xf numFmtId="168" fontId="23" fillId="0" borderId="0" xfId="5" applyNumberFormat="1" applyFont="1" applyAlignment="1">
      <alignment horizontal="center" vertical="top" wrapText="1"/>
    </xf>
    <xf numFmtId="173" fontId="23" fillId="0" borderId="0" xfId="5" applyNumberFormat="1" applyFont="1" applyAlignment="1">
      <alignment horizontal="center" vertical="top" wrapText="1"/>
    </xf>
    <xf numFmtId="167" fontId="26" fillId="0" borderId="14" xfId="5" applyNumberFormat="1" applyFont="1" applyBorder="1" applyAlignment="1">
      <alignment horizontal="center" vertical="top" wrapText="1"/>
    </xf>
    <xf numFmtId="49" fontId="26" fillId="0" borderId="0" xfId="5" applyNumberFormat="1" applyFont="1" applyAlignment="1">
      <alignment horizontal="center" vertical="top" wrapText="1"/>
    </xf>
    <xf numFmtId="0" fontId="26" fillId="0" borderId="0" xfId="5" applyFont="1" applyAlignment="1">
      <alignment horizontal="left" vertical="top" wrapText="1"/>
    </xf>
    <xf numFmtId="0" fontId="26" fillId="0" borderId="0" xfId="5" applyFont="1" applyAlignment="1">
      <alignment horizontal="center" vertical="top" wrapText="1"/>
    </xf>
    <xf numFmtId="0" fontId="26" fillId="0" borderId="0" xfId="5" applyFont="1" applyAlignment="1">
      <alignment horizontal="right" vertical="top" wrapText="1"/>
    </xf>
    <xf numFmtId="49" fontId="23" fillId="0" borderId="0" xfId="5" applyNumberFormat="1" applyFont="1" applyAlignment="1">
      <alignment vertical="top"/>
    </xf>
    <xf numFmtId="0" fontId="23" fillId="0" borderId="0" xfId="5" applyFont="1" applyAlignment="1">
      <alignment vertical="top"/>
    </xf>
    <xf numFmtId="0" fontId="23" fillId="17" borderId="0" xfId="5" applyFont="1" applyFill="1"/>
    <xf numFmtId="49" fontId="23" fillId="0" borderId="13" xfId="5" applyNumberFormat="1" applyFont="1" applyBorder="1"/>
    <xf numFmtId="49" fontId="26" fillId="0" borderId="14" xfId="5" applyNumberFormat="1" applyFont="1" applyBorder="1" applyAlignment="1">
      <alignment horizontal="right" vertical="top" wrapText="1"/>
    </xf>
    <xf numFmtId="0" fontId="26" fillId="0" borderId="14" xfId="5" applyFont="1" applyBorder="1" applyAlignment="1">
      <alignment horizontal="right" vertical="top"/>
    </xf>
    <xf numFmtId="0" fontId="26" fillId="0" borderId="14" xfId="5" applyFont="1" applyBorder="1" applyAlignment="1">
      <alignment horizontal="center" vertical="top"/>
    </xf>
    <xf numFmtId="0" fontId="26" fillId="0" borderId="5" xfId="5" applyFont="1" applyBorder="1" applyAlignment="1">
      <alignment horizontal="right" vertical="top"/>
    </xf>
    <xf numFmtId="49" fontId="23" fillId="0" borderId="10" xfId="5" applyNumberFormat="1" applyFont="1" applyBorder="1"/>
    <xf numFmtId="4" fontId="23" fillId="0" borderId="0" xfId="5" applyNumberFormat="1" applyFont="1" applyAlignment="1">
      <alignment horizontal="right" vertical="top"/>
    </xf>
    <xf numFmtId="0" fontId="23" fillId="0" borderId="0" xfId="5" applyFont="1" applyAlignment="1">
      <alignment horizontal="center" vertical="top"/>
    </xf>
    <xf numFmtId="4" fontId="23" fillId="0" borderId="23" xfId="5" applyNumberFormat="1" applyFont="1" applyBorder="1" applyAlignment="1">
      <alignment horizontal="right" vertical="top"/>
    </xf>
    <xf numFmtId="0" fontId="23" fillId="0" borderId="0" xfId="5" applyFont="1" applyAlignment="1">
      <alignment horizontal="right" vertical="top"/>
    </xf>
    <xf numFmtId="0" fontId="23" fillId="0" borderId="23" xfId="5" applyFont="1" applyBorder="1" applyAlignment="1">
      <alignment horizontal="right" vertical="top"/>
    </xf>
    <xf numFmtId="2" fontId="23" fillId="0" borderId="0" xfId="5" applyNumberFormat="1" applyFont="1" applyAlignment="1">
      <alignment horizontal="right" vertical="top"/>
    </xf>
    <xf numFmtId="49" fontId="26" fillId="0" borderId="0" xfId="5" applyNumberFormat="1" applyFont="1" applyAlignment="1">
      <alignment horizontal="right" vertical="top" wrapText="1"/>
    </xf>
    <xf numFmtId="49" fontId="26" fillId="0" borderId="0" xfId="5" applyNumberFormat="1" applyFont="1" applyAlignment="1">
      <alignment horizontal="left" vertical="top" wrapText="1"/>
    </xf>
    <xf numFmtId="4" fontId="26" fillId="0" borderId="0" xfId="5" applyNumberFormat="1" applyFont="1" applyAlignment="1">
      <alignment horizontal="right" vertical="top"/>
    </xf>
    <xf numFmtId="0" fontId="26" fillId="0" borderId="0" xfId="5" applyFont="1" applyAlignment="1">
      <alignment horizontal="center" vertical="top"/>
    </xf>
    <xf numFmtId="4" fontId="26" fillId="0" borderId="23" xfId="5" applyNumberFormat="1" applyFont="1" applyBorder="1" applyAlignment="1">
      <alignment horizontal="right" vertical="top"/>
    </xf>
    <xf numFmtId="2" fontId="26" fillId="0" borderId="0" xfId="5" applyNumberFormat="1" applyFont="1" applyAlignment="1">
      <alignment horizontal="center" vertical="top"/>
    </xf>
    <xf numFmtId="3" fontId="26" fillId="0" borderId="0" xfId="5" applyNumberFormat="1" applyFont="1" applyAlignment="1">
      <alignment horizontal="right" vertical="top"/>
    </xf>
    <xf numFmtId="49" fontId="23" fillId="0" borderId="14" xfId="5" applyNumberFormat="1" applyFont="1" applyBorder="1"/>
    <xf numFmtId="0" fontId="23" fillId="0" borderId="14" xfId="5" applyFont="1" applyBorder="1"/>
    <xf numFmtId="0" fontId="19" fillId="0" borderId="0" xfId="5" applyFont="1" applyAlignment="1">
      <alignment horizontal="right" vertical="top"/>
    </xf>
    <xf numFmtId="0" fontId="19" fillId="0" borderId="0" xfId="5" applyFont="1" applyAlignment="1">
      <alignment vertical="top"/>
    </xf>
    <xf numFmtId="0" fontId="19" fillId="0" borderId="0" xfId="5" applyFont="1" applyAlignment="1">
      <alignment vertical="top" wrapText="1"/>
    </xf>
    <xf numFmtId="0" fontId="21" fillId="0" borderId="0" xfId="5" applyFont="1" applyAlignment="1">
      <alignment horizontal="center" vertical="center"/>
    </xf>
    <xf numFmtId="0" fontId="26" fillId="0" borderId="0" xfId="5" applyFont="1" applyAlignment="1">
      <alignment vertical="top" wrapText="1"/>
    </xf>
    <xf numFmtId="0" fontId="23" fillId="0" borderId="0" xfId="5" applyFont="1"/>
    <xf numFmtId="0" fontId="27" fillId="7" borderId="18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vertical="center" wrapText="1"/>
    </xf>
    <xf numFmtId="0" fontId="27" fillId="7" borderId="1" xfId="0" applyFont="1" applyFill="1" applyBorder="1" applyAlignment="1">
      <alignment horizontal="center" vertical="center" wrapText="1"/>
    </xf>
    <xf numFmtId="4" fontId="27" fillId="7" borderId="1" xfId="0" applyNumberFormat="1" applyFont="1" applyFill="1" applyBorder="1" applyAlignment="1">
      <alignment horizontal="center" vertical="center"/>
    </xf>
    <xf numFmtId="4" fontId="27" fillId="7" borderId="19" xfId="0" applyNumberFormat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 wrapText="1"/>
    </xf>
    <xf numFmtId="165" fontId="6" fillId="7" borderId="1" xfId="1" applyNumberFormat="1" applyFont="1" applyFill="1" applyBorder="1" applyAlignment="1">
      <alignment horizontal="center" vertical="center"/>
    </xf>
    <xf numFmtId="43" fontId="6" fillId="7" borderId="1" xfId="1" applyFont="1" applyFill="1" applyBorder="1" applyAlignment="1">
      <alignment vertical="center"/>
    </xf>
    <xf numFmtId="174" fontId="23" fillId="0" borderId="0" xfId="5" applyNumberFormat="1" applyFont="1" applyAlignment="1">
      <alignment horizontal="center" vertical="top" wrapText="1"/>
    </xf>
    <xf numFmtId="0" fontId="0" fillId="4" borderId="0" xfId="0" applyFill="1" applyAlignment="1">
      <alignment horizontal="center"/>
    </xf>
    <xf numFmtId="164" fontId="14" fillId="4" borderId="1" xfId="0" applyNumberFormat="1" applyFont="1" applyFill="1" applyBorder="1" applyAlignment="1">
      <alignment vertical="center"/>
    </xf>
    <xf numFmtId="164" fontId="14" fillId="18" borderId="1" xfId="0" applyNumberFormat="1" applyFont="1" applyFill="1" applyBorder="1" applyAlignment="1">
      <alignment vertical="center"/>
    </xf>
    <xf numFmtId="0" fontId="18" fillId="0" borderId="0" xfId="5" applyAlignment="1">
      <alignment horizontal="center" vertical="center"/>
    </xf>
    <xf numFmtId="49" fontId="19" fillId="0" borderId="0" xfId="5" applyNumberFormat="1" applyFont="1" applyAlignment="1">
      <alignment horizontal="center" vertical="center" wrapText="1"/>
    </xf>
    <xf numFmtId="0" fontId="18" fillId="6" borderId="0" xfId="5" applyFill="1" applyAlignment="1">
      <alignment horizontal="center" vertical="center"/>
    </xf>
    <xf numFmtId="0" fontId="18" fillId="6" borderId="0" xfId="5" applyFill="1" applyAlignment="1">
      <alignment horizontal="center" vertical="center" wrapText="1"/>
    </xf>
    <xf numFmtId="0" fontId="19" fillId="0" borderId="0" xfId="5" applyFont="1" applyAlignment="1">
      <alignment horizontal="center" vertical="center"/>
    </xf>
    <xf numFmtId="0" fontId="23" fillId="0" borderId="0" xfId="5" applyFont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4" fontId="17" fillId="16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18" borderId="1" xfId="0" applyFill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28" fillId="0" borderId="0" xfId="0" applyFont="1" applyAlignment="1">
      <alignment wrapText="1" shrinkToFit="1"/>
    </xf>
    <xf numFmtId="0" fontId="0" fillId="4" borderId="1" xfId="0" applyFill="1" applyBorder="1" applyAlignment="1">
      <alignment horizontal="center" vertical="center" wrapText="1"/>
    </xf>
    <xf numFmtId="4" fontId="27" fillId="4" borderId="1" xfId="0" applyNumberFormat="1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4" fontId="27" fillId="7" borderId="0" xfId="0" applyNumberFormat="1" applyFont="1" applyFill="1" applyBorder="1" applyAlignment="1">
      <alignment horizontal="center" vertical="center"/>
    </xf>
    <xf numFmtId="0" fontId="30" fillId="7" borderId="1" xfId="0" applyFont="1" applyFill="1" applyBorder="1" applyAlignment="1">
      <alignment vertical="center" wrapText="1"/>
    </xf>
    <xf numFmtId="49" fontId="27" fillId="7" borderId="1" xfId="0" applyNumberFormat="1" applyFont="1" applyFill="1" applyBorder="1" applyAlignment="1">
      <alignment horizontal="center" vertical="center"/>
    </xf>
    <xf numFmtId="4" fontId="27" fillId="7" borderId="1" xfId="0" applyNumberFormat="1" applyFont="1" applyFill="1" applyBorder="1" applyAlignment="1">
      <alignment horizontal="center" vertical="center" wrapText="1"/>
    </xf>
    <xf numFmtId="0" fontId="30" fillId="7" borderId="18" xfId="0" applyFont="1" applyFill="1" applyBorder="1" applyAlignment="1">
      <alignment horizontal="center" vertical="center" wrapText="1"/>
    </xf>
    <xf numFmtId="0" fontId="30" fillId="7" borderId="1" xfId="0" applyFont="1" applyFill="1" applyBorder="1" applyAlignment="1">
      <alignment horizontal="center" vertical="center" wrapText="1"/>
    </xf>
    <xf numFmtId="4" fontId="30" fillId="7" borderId="1" xfId="0" applyNumberFormat="1" applyFont="1" applyFill="1" applyBorder="1" applyAlignment="1">
      <alignment horizontal="center" vertical="center"/>
    </xf>
    <xf numFmtId="0" fontId="16" fillId="0" borderId="1" xfId="0" applyFont="1" applyBorder="1"/>
    <xf numFmtId="0" fontId="16" fillId="0" borderId="1" xfId="0" applyFont="1" applyBorder="1" applyAlignment="1">
      <alignment wrapText="1" shrinkToFit="1"/>
    </xf>
    <xf numFmtId="0" fontId="30" fillId="0" borderId="1" xfId="0" applyFont="1" applyBorder="1" applyAlignment="1">
      <alignment horizontal="center" vertical="center"/>
    </xf>
    <xf numFmtId="49" fontId="23" fillId="0" borderId="0" xfId="5" applyNumberFormat="1" applyFont="1" applyAlignment="1">
      <alignment horizontal="left" vertical="top" wrapText="1"/>
    </xf>
    <xf numFmtId="49" fontId="26" fillId="0" borderId="0" xfId="5" applyNumberFormat="1" applyFont="1" applyAlignment="1">
      <alignment horizontal="left" vertical="top" wrapText="1"/>
    </xf>
    <xf numFmtId="49" fontId="26" fillId="0" borderId="14" xfId="5" applyNumberFormat="1" applyFont="1" applyBorder="1" applyAlignment="1">
      <alignment horizontal="left" vertical="top" wrapText="1"/>
    </xf>
    <xf numFmtId="0" fontId="23" fillId="0" borderId="1" xfId="5" applyFont="1" applyBorder="1" applyAlignment="1">
      <alignment horizontal="center" vertical="center" wrapText="1"/>
    </xf>
    <xf numFmtId="0" fontId="23" fillId="0" borderId="1" xfId="5" applyFont="1" applyBorder="1" applyAlignment="1">
      <alignment horizontal="center" vertical="center"/>
    </xf>
    <xf numFmtId="49" fontId="22" fillId="0" borderId="0" xfId="5" applyNumberFormat="1" applyFont="1" applyAlignment="1">
      <alignment horizontal="center"/>
    </xf>
    <xf numFmtId="49" fontId="19" fillId="0" borderId="0" xfId="5" applyNumberFormat="1" applyFont="1" applyAlignment="1">
      <alignment horizontal="left" vertical="top"/>
    </xf>
    <xf numFmtId="43" fontId="0" fillId="0" borderId="6" xfId="1" applyFont="1" applyBorder="1" applyAlignment="1">
      <alignment horizontal="center" vertical="center"/>
    </xf>
    <xf numFmtId="43" fontId="0" fillId="0" borderId="7" xfId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43" fontId="0" fillId="5" borderId="6" xfId="1" applyFont="1" applyFill="1" applyBorder="1" applyAlignment="1">
      <alignment horizontal="center" vertical="center"/>
    </xf>
    <xf numFmtId="43" fontId="0" fillId="5" borderId="7" xfId="1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10" borderId="1" xfId="0" applyFont="1" applyFill="1" applyBorder="1" applyAlignment="1">
      <alignment horizontal="center"/>
    </xf>
    <xf numFmtId="0" fontId="11" fillId="0" borderId="3" xfId="0" applyFont="1" applyBorder="1" applyAlignment="1">
      <alignment horizontal="right" vertical="center" wrapText="1"/>
    </xf>
    <xf numFmtId="0" fontId="11" fillId="0" borderId="8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0" fontId="7" fillId="0" borderId="3" xfId="4" applyFont="1" applyBorder="1" applyAlignment="1">
      <alignment horizontal="right" vertical="center" wrapText="1"/>
    </xf>
    <xf numFmtId="0" fontId="7" fillId="0" borderId="8" xfId="4" applyFont="1" applyBorder="1" applyAlignment="1">
      <alignment horizontal="right" vertical="center" wrapText="1"/>
    </xf>
    <xf numFmtId="0" fontId="7" fillId="0" borderId="4" xfId="4" applyFont="1" applyBorder="1" applyAlignment="1">
      <alignment horizontal="right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5" fontId="11" fillId="0" borderId="1" xfId="1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65" fontId="7" fillId="0" borderId="6" xfId="1" applyNumberFormat="1" applyFont="1" applyBorder="1" applyAlignment="1">
      <alignment horizontal="center" vertical="center" wrapText="1"/>
    </xf>
    <xf numFmtId="165" fontId="7" fillId="0" borderId="7" xfId="1" applyNumberFormat="1" applyFont="1" applyBorder="1" applyAlignment="1">
      <alignment horizontal="center" vertical="center" wrapText="1"/>
    </xf>
    <xf numFmtId="165" fontId="11" fillId="0" borderId="6" xfId="1" applyNumberFormat="1" applyFont="1" applyBorder="1" applyAlignment="1">
      <alignment horizontal="center" vertical="center" wrapText="1"/>
    </xf>
    <xf numFmtId="165" fontId="11" fillId="0" borderId="7" xfId="1" applyNumberFormat="1" applyFont="1" applyBorder="1" applyAlignment="1">
      <alignment horizontal="center" vertical="center" wrapText="1"/>
    </xf>
    <xf numFmtId="4" fontId="17" fillId="16" borderId="17" xfId="0" applyNumberFormat="1" applyFont="1" applyFill="1" applyBorder="1" applyAlignment="1">
      <alignment horizontal="center" vertical="center" wrapText="1"/>
    </xf>
    <xf numFmtId="4" fontId="17" fillId="16" borderId="19" xfId="0" applyNumberFormat="1" applyFont="1" applyFill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1" xfId="0" applyFont="1" applyBorder="1" applyAlignment="1">
      <alignment horizontal="right"/>
    </xf>
    <xf numFmtId="0" fontId="17" fillId="16" borderId="15" xfId="0" applyFont="1" applyFill="1" applyBorder="1" applyAlignment="1">
      <alignment horizontal="center" vertical="center"/>
    </xf>
    <xf numFmtId="0" fontId="17" fillId="16" borderId="18" xfId="0" applyFont="1" applyFill="1" applyBorder="1" applyAlignment="1">
      <alignment horizontal="center" vertical="center"/>
    </xf>
    <xf numFmtId="0" fontId="17" fillId="16" borderId="16" xfId="0" applyFont="1" applyFill="1" applyBorder="1" applyAlignment="1">
      <alignment horizontal="center" vertical="center" wrapText="1" shrinkToFit="1"/>
    </xf>
    <xf numFmtId="0" fontId="17" fillId="16" borderId="1" xfId="0" applyFont="1" applyFill="1" applyBorder="1" applyAlignment="1">
      <alignment horizontal="center" vertical="center" wrapText="1" shrinkToFit="1"/>
    </xf>
    <xf numFmtId="0" fontId="17" fillId="16" borderId="16" xfId="0" applyFont="1" applyFill="1" applyBorder="1" applyAlignment="1">
      <alignment horizontal="center" vertical="center"/>
    </xf>
    <xf numFmtId="0" fontId="17" fillId="16" borderId="1" xfId="0" applyFont="1" applyFill="1" applyBorder="1" applyAlignment="1">
      <alignment horizontal="center" vertical="center"/>
    </xf>
    <xf numFmtId="4" fontId="17" fillId="16" borderId="16" xfId="0" applyNumberFormat="1" applyFont="1" applyFill="1" applyBorder="1" applyAlignment="1">
      <alignment horizontal="center" vertical="center"/>
    </xf>
    <xf numFmtId="4" fontId="17" fillId="16" borderId="1" xfId="0" applyNumberFormat="1" applyFont="1" applyFill="1" applyBorder="1" applyAlignment="1">
      <alignment horizontal="center" vertical="center"/>
    </xf>
    <xf numFmtId="4" fontId="17" fillId="16" borderId="16" xfId="0" applyNumberFormat="1" applyFont="1" applyFill="1" applyBorder="1" applyAlignment="1">
      <alignment horizontal="center" vertical="center" wrapText="1"/>
    </xf>
    <xf numFmtId="49" fontId="19" fillId="0" borderId="11" xfId="5" applyNumberFormat="1" applyFont="1" applyBorder="1" applyAlignment="1">
      <alignment horizontal="left" wrapText="1"/>
    </xf>
    <xf numFmtId="0" fontId="19" fillId="0" borderId="8" xfId="5" applyFont="1" applyBorder="1" applyAlignment="1">
      <alignment horizontal="left" wrapText="1"/>
    </xf>
    <xf numFmtId="49" fontId="19" fillId="0" borderId="0" xfId="5" applyNumberFormat="1" applyFont="1" applyAlignment="1">
      <alignment horizontal="left" vertical="top" wrapText="1"/>
    </xf>
    <xf numFmtId="0" fontId="19" fillId="0" borderId="0" xfId="5" applyFont="1" applyAlignment="1">
      <alignment horizontal="left" vertical="top" wrapText="1"/>
    </xf>
    <xf numFmtId="49" fontId="19" fillId="0" borderId="0" xfId="5" applyNumberFormat="1" applyFont="1" applyAlignment="1">
      <alignment horizontal="center" wrapText="1"/>
    </xf>
    <xf numFmtId="49" fontId="21" fillId="0" borderId="14" xfId="5" applyNumberFormat="1" applyFont="1" applyBorder="1" applyAlignment="1">
      <alignment horizontal="center" vertical="top"/>
    </xf>
    <xf numFmtId="49" fontId="22" fillId="0" borderId="0" xfId="5" applyNumberFormat="1" applyFont="1" applyAlignment="1">
      <alignment horizontal="center"/>
    </xf>
    <xf numFmtId="49" fontId="19" fillId="0" borderId="11" xfId="5" applyNumberFormat="1" applyFont="1" applyBorder="1" applyAlignment="1">
      <alignment horizontal="center" wrapText="1"/>
    </xf>
    <xf numFmtId="49" fontId="19" fillId="0" borderId="0" xfId="5" applyNumberFormat="1" applyFont="1" applyAlignment="1">
      <alignment horizontal="left" vertical="top"/>
    </xf>
    <xf numFmtId="0" fontId="19" fillId="0" borderId="8" xfId="5" applyFont="1" applyBorder="1" applyAlignment="1">
      <alignment horizontal="center"/>
    </xf>
    <xf numFmtId="49" fontId="23" fillId="0" borderId="1" xfId="5" applyNumberFormat="1" applyFont="1" applyBorder="1" applyAlignment="1">
      <alignment horizontal="center" vertical="center" wrapText="1"/>
    </xf>
    <xf numFmtId="0" fontId="23" fillId="0" borderId="1" xfId="5" applyFont="1" applyBorder="1" applyAlignment="1">
      <alignment horizontal="center" vertical="center" wrapText="1"/>
    </xf>
    <xf numFmtId="49" fontId="21" fillId="0" borderId="14" xfId="5" applyNumberFormat="1" applyFont="1" applyBorder="1" applyAlignment="1">
      <alignment horizontal="center"/>
    </xf>
    <xf numFmtId="49" fontId="19" fillId="0" borderId="11" xfId="5" applyNumberFormat="1" applyFont="1" applyBorder="1" applyAlignment="1">
      <alignment wrapText="1"/>
    </xf>
    <xf numFmtId="4" fontId="19" fillId="0" borderId="8" xfId="5" applyNumberFormat="1" applyFont="1" applyBorder="1" applyAlignment="1">
      <alignment horizontal="right"/>
    </xf>
    <xf numFmtId="49" fontId="23" fillId="0" borderId="0" xfId="5" applyNumberFormat="1" applyFont="1" applyAlignment="1">
      <alignment horizontal="left" vertical="top" wrapText="1"/>
    </xf>
    <xf numFmtId="49" fontId="23" fillId="0" borderId="14" xfId="5" applyNumberFormat="1" applyFont="1" applyBorder="1" applyAlignment="1">
      <alignment horizontal="left" vertical="top" wrapText="1"/>
    </xf>
    <xf numFmtId="0" fontId="23" fillId="0" borderId="1" xfId="5" applyFont="1" applyBorder="1" applyAlignment="1">
      <alignment horizontal="center" vertical="center"/>
    </xf>
    <xf numFmtId="49" fontId="25" fillId="0" borderId="3" xfId="5" applyNumberFormat="1" applyFont="1" applyBorder="1" applyAlignment="1">
      <alignment horizontal="left" vertical="center" wrapText="1"/>
    </xf>
    <xf numFmtId="49" fontId="25" fillId="0" borderId="8" xfId="5" applyNumberFormat="1" applyFont="1" applyBorder="1" applyAlignment="1">
      <alignment horizontal="left" vertical="center" wrapText="1"/>
    </xf>
    <xf numFmtId="49" fontId="25" fillId="0" borderId="4" xfId="5" applyNumberFormat="1" applyFont="1" applyBorder="1" applyAlignment="1">
      <alignment horizontal="left" vertical="center" wrapText="1"/>
    </xf>
    <xf numFmtId="49" fontId="26" fillId="0" borderId="14" xfId="5" applyNumberFormat="1" applyFont="1" applyBorder="1" applyAlignment="1">
      <alignment horizontal="left" vertical="top" wrapText="1"/>
    </xf>
    <xf numFmtId="49" fontId="23" fillId="0" borderId="23" xfId="5" applyNumberFormat="1" applyFont="1" applyBorder="1" applyAlignment="1">
      <alignment horizontal="left" vertical="top" wrapText="1"/>
    </xf>
    <xf numFmtId="0" fontId="23" fillId="0" borderId="0" xfId="5" applyFont="1" applyAlignment="1">
      <alignment horizontal="left" vertical="top" wrapText="1"/>
    </xf>
    <xf numFmtId="0" fontId="23" fillId="0" borderId="23" xfId="5" applyFont="1" applyBorder="1" applyAlignment="1">
      <alignment horizontal="left" vertical="top" wrapText="1"/>
    </xf>
    <xf numFmtId="0" fontId="18" fillId="0" borderId="0" xfId="5" applyAlignment="1">
      <alignment horizontal="left" wrapText="1"/>
    </xf>
    <xf numFmtId="49" fontId="19" fillId="0" borderId="11" xfId="5" applyNumberFormat="1" applyFont="1" applyBorder="1" applyAlignment="1">
      <alignment vertical="top" wrapText="1"/>
    </xf>
    <xf numFmtId="49" fontId="19" fillId="0" borderId="11" xfId="5" applyNumberFormat="1" applyFont="1" applyBorder="1" applyAlignment="1">
      <alignment horizontal="right" vertical="top" wrapText="1"/>
    </xf>
    <xf numFmtId="0" fontId="21" fillId="0" borderId="14" xfId="5" applyFont="1" applyBorder="1" applyAlignment="1">
      <alignment horizontal="center" vertical="top"/>
    </xf>
    <xf numFmtId="49" fontId="26" fillId="0" borderId="0" xfId="5" applyNumberFormat="1" applyFont="1" applyAlignment="1">
      <alignment horizontal="left" vertical="top" wrapText="1"/>
    </xf>
    <xf numFmtId="0" fontId="12" fillId="8" borderId="3" xfId="0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7" fillId="8" borderId="8" xfId="0" applyFont="1" applyFill="1" applyBorder="1" applyAlignment="1">
      <alignment horizontal="left" vertical="center" wrapText="1"/>
    </xf>
    <xf numFmtId="0" fontId="7" fillId="8" borderId="4" xfId="0" applyFont="1" applyFill="1" applyBorder="1" applyAlignment="1">
      <alignment horizontal="left" vertical="center" wrapText="1"/>
    </xf>
    <xf numFmtId="0" fontId="7" fillId="0" borderId="13" xfId="4" applyFont="1" applyBorder="1" applyAlignment="1">
      <alignment horizontal="right" vertical="center" wrapText="1"/>
    </xf>
    <xf numFmtId="0" fontId="7" fillId="0" borderId="14" xfId="4" applyFont="1" applyBorder="1" applyAlignment="1">
      <alignment horizontal="right" vertical="center" wrapText="1"/>
    </xf>
    <xf numFmtId="0" fontId="7" fillId="0" borderId="5" xfId="4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right" vertical="center" wrapText="1"/>
    </xf>
    <xf numFmtId="0" fontId="7" fillId="7" borderId="8" xfId="0" applyFont="1" applyFill="1" applyBorder="1" applyAlignment="1">
      <alignment horizontal="right" vertical="center" wrapText="1"/>
    </xf>
    <xf numFmtId="0" fontId="7" fillId="7" borderId="4" xfId="0" applyFont="1" applyFill="1" applyBorder="1" applyAlignment="1">
      <alignment horizontal="righ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49" fontId="7" fillId="8" borderId="1" xfId="3" applyNumberFormat="1" applyFont="1" applyFill="1" applyBorder="1" applyAlignment="1">
      <alignment horizontal="center" vertical="center" wrapText="1"/>
    </xf>
    <xf numFmtId="49" fontId="8" fillId="9" borderId="1" xfId="3" applyNumberFormat="1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" xfId="3" applyFont="1" applyBorder="1" applyAlignment="1">
      <alignment horizontal="right" vertical="top" wrapText="1"/>
    </xf>
    <xf numFmtId="165" fontId="7" fillId="0" borderId="1" xfId="1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7" fillId="0" borderId="3" xfId="3" applyFont="1" applyBorder="1" applyAlignment="1">
      <alignment horizontal="right" vertical="center" wrapText="1"/>
    </xf>
    <xf numFmtId="0" fontId="7" fillId="0" borderId="8" xfId="3" applyFont="1" applyBorder="1" applyAlignment="1">
      <alignment horizontal="right" vertical="center" wrapText="1"/>
    </xf>
    <xf numFmtId="0" fontId="7" fillId="0" borderId="4" xfId="3" applyFont="1" applyBorder="1" applyAlignment="1">
      <alignment horizontal="right" vertical="center" wrapText="1"/>
    </xf>
    <xf numFmtId="49" fontId="19" fillId="4" borderId="0" xfId="5" applyNumberFormat="1" applyFont="1" applyFill="1" applyAlignment="1">
      <alignment horizontal="center" wrapText="1"/>
    </xf>
    <xf numFmtId="49" fontId="26" fillId="0" borderId="3" xfId="5" applyNumberFormat="1" applyFont="1" applyBorder="1" applyAlignment="1">
      <alignment horizontal="left" vertical="center" wrapText="1"/>
    </xf>
    <xf numFmtId="49" fontId="26" fillId="0" borderId="8" xfId="5" applyNumberFormat="1" applyFont="1" applyBorder="1" applyAlignment="1">
      <alignment horizontal="left" vertical="center" wrapText="1"/>
    </xf>
    <xf numFmtId="49" fontId="26" fillId="0" borderId="4" xfId="5" applyNumberFormat="1" applyFont="1" applyBorder="1" applyAlignment="1">
      <alignment horizontal="left" vertical="center" wrapText="1"/>
    </xf>
    <xf numFmtId="2" fontId="26" fillId="0" borderId="5" xfId="5" applyNumberFormat="1" applyFont="1" applyBorder="1" applyAlignment="1">
      <alignment horizontal="right" vertical="top" wrapText="1"/>
    </xf>
    <xf numFmtId="1" fontId="30" fillId="0" borderId="1" xfId="4" applyNumberFormat="1" applyFont="1" applyBorder="1" applyAlignment="1">
      <alignment horizontal="center" vertical="center" shrinkToFit="1"/>
    </xf>
    <xf numFmtId="0" fontId="30" fillId="0" borderId="1" xfId="4" applyFont="1" applyBorder="1" applyAlignment="1">
      <alignment horizontal="center" vertical="center" wrapText="1"/>
    </xf>
    <xf numFmtId="0" fontId="28" fillId="0" borderId="1" xfId="4" applyFont="1" applyBorder="1" applyAlignment="1">
      <alignment horizontal="left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0" fillId="0" borderId="0" xfId="4" applyFont="1" applyAlignment="1">
      <alignment horizontal="center" vertical="center"/>
    </xf>
  </cellXfs>
  <cellStyles count="6">
    <cellStyle name="ЛокСмМТСН" xfId="3" xr:uid="{00000000-0005-0000-0000-000000000000}"/>
    <cellStyle name="Обычный" xfId="0" builtinId="0"/>
    <cellStyle name="Обычный 2" xfId="4" xr:uid="{00000000-0005-0000-0000-000002000000}"/>
    <cellStyle name="Обычный 3" xfId="5" xr:uid="{8D9762D4-AF5F-4392-8C85-7ACD08F44094}"/>
    <cellStyle name="Процентный" xfId="2" builtinId="5"/>
    <cellStyle name="Финансовый" xfId="1" builtin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143</xdr:row>
      <xdr:rowOff>0</xdr:rowOff>
    </xdr:from>
    <xdr:to>
      <xdr:col>63</xdr:col>
      <xdr:colOff>151494</xdr:colOff>
      <xdr:row>143</xdr:row>
      <xdr:rowOff>876422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46E6856-A153-44BC-AC19-275A66AC6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62212" y="34594800"/>
          <a:ext cx="9564435" cy="8764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"/>
  <sheetViews>
    <sheetView topLeftCell="B1" zoomScale="115" zoomScaleNormal="115" workbookViewId="0">
      <selection activeCell="B1" sqref="A1:XFD1048576"/>
    </sheetView>
  </sheetViews>
  <sheetFormatPr defaultRowHeight="14.4" x14ac:dyDescent="0.3"/>
  <cols>
    <col min="1" max="1" width="5.44140625" bestFit="1" customWidth="1"/>
    <col min="2" max="2" width="50.33203125" bestFit="1" customWidth="1"/>
    <col min="3" max="3" width="26.33203125" bestFit="1" customWidth="1"/>
    <col min="4" max="4" width="11" bestFit="1" customWidth="1"/>
    <col min="5" max="5" width="14.44140625" bestFit="1" customWidth="1"/>
    <col min="6" max="6" width="26.33203125" bestFit="1" customWidth="1"/>
    <col min="7" max="7" width="19.5546875" style="18" customWidth="1"/>
    <col min="8" max="8" width="26.5546875" style="29" customWidth="1"/>
    <col min="9" max="9" width="15.33203125" bestFit="1" customWidth="1"/>
  </cols>
  <sheetData>
    <row r="1" spans="1:8" ht="28.8" x14ac:dyDescent="0.3">
      <c r="A1" s="12" t="s">
        <v>0</v>
      </c>
      <c r="B1" s="12" t="s">
        <v>3</v>
      </c>
      <c r="C1" s="12" t="s">
        <v>2</v>
      </c>
      <c r="D1" s="12" t="s">
        <v>20</v>
      </c>
      <c r="E1" s="12" t="s">
        <v>1</v>
      </c>
      <c r="F1" s="12" t="s">
        <v>4</v>
      </c>
      <c r="G1" s="14" t="s">
        <v>143</v>
      </c>
      <c r="H1" s="12" t="s">
        <v>167</v>
      </c>
    </row>
    <row r="2" spans="1:8" s="1" customFormat="1" ht="18" x14ac:dyDescent="0.35">
      <c r="A2" s="378" t="s">
        <v>5</v>
      </c>
      <c r="B2" s="379"/>
      <c r="C2" s="9"/>
      <c r="D2" s="9"/>
      <c r="E2" s="9"/>
      <c r="F2" s="9"/>
      <c r="G2" s="16"/>
      <c r="H2" s="16"/>
    </row>
    <row r="3" spans="1:8" x14ac:dyDescent="0.3">
      <c r="A3" s="4" t="s">
        <v>6</v>
      </c>
      <c r="B3" s="4" t="s">
        <v>7</v>
      </c>
      <c r="C3" s="3"/>
      <c r="D3" s="3"/>
      <c r="E3" s="3"/>
      <c r="F3" s="3"/>
      <c r="G3" s="13"/>
      <c r="H3" s="19"/>
    </row>
    <row r="4" spans="1:8" x14ac:dyDescent="0.3">
      <c r="A4" s="3" t="s">
        <v>8</v>
      </c>
      <c r="B4" s="3" t="s">
        <v>136</v>
      </c>
      <c r="C4" s="3"/>
      <c r="D4" s="3"/>
      <c r="E4" s="3"/>
      <c r="F4" s="3"/>
      <c r="G4" s="13"/>
      <c r="H4" s="19"/>
    </row>
    <row r="5" spans="1:8" x14ac:dyDescent="0.3">
      <c r="A5" s="3" t="s">
        <v>10</v>
      </c>
      <c r="B5" s="3" t="s">
        <v>134</v>
      </c>
      <c r="C5" s="3" t="s">
        <v>9</v>
      </c>
      <c r="D5" s="3"/>
      <c r="E5" s="3"/>
      <c r="F5" s="3"/>
      <c r="G5" s="13"/>
      <c r="H5" s="19"/>
    </row>
    <row r="6" spans="1:8" x14ac:dyDescent="0.3">
      <c r="A6" s="3" t="s">
        <v>22</v>
      </c>
      <c r="B6" s="3" t="s">
        <v>135</v>
      </c>
      <c r="C6" s="3"/>
      <c r="D6" s="3"/>
      <c r="E6" s="3"/>
      <c r="F6" s="3"/>
      <c r="G6" s="13"/>
      <c r="H6" s="19"/>
    </row>
    <row r="7" spans="1:8" x14ac:dyDescent="0.3">
      <c r="A7" s="3" t="s">
        <v>23</v>
      </c>
      <c r="B7" s="3" t="s">
        <v>131</v>
      </c>
      <c r="C7" s="3"/>
      <c r="D7" s="3"/>
      <c r="E7" s="3"/>
      <c r="F7" s="3"/>
      <c r="G7" s="13"/>
      <c r="H7" s="19"/>
    </row>
    <row r="8" spans="1:8" x14ac:dyDescent="0.3">
      <c r="A8" s="3" t="s">
        <v>132</v>
      </c>
      <c r="B8" s="3" t="s">
        <v>133</v>
      </c>
      <c r="C8" s="3"/>
      <c r="D8" s="3"/>
      <c r="E8" s="3"/>
      <c r="F8" s="3"/>
      <c r="G8" s="13"/>
      <c r="H8" s="19"/>
    </row>
    <row r="9" spans="1:8" x14ac:dyDescent="0.3">
      <c r="A9" s="3" t="s">
        <v>24</v>
      </c>
      <c r="B9" s="3" t="s">
        <v>11</v>
      </c>
      <c r="C9" s="3"/>
      <c r="D9" s="3"/>
      <c r="E9" s="3"/>
      <c r="F9" s="3"/>
      <c r="G9" s="13"/>
      <c r="H9" s="19"/>
    </row>
    <row r="10" spans="1:8" x14ac:dyDescent="0.3">
      <c r="A10" s="3" t="s">
        <v>25</v>
      </c>
      <c r="B10" s="3" t="s">
        <v>12</v>
      </c>
      <c r="C10" s="3"/>
      <c r="D10" s="3"/>
      <c r="E10" s="3"/>
      <c r="F10" s="3"/>
      <c r="G10" s="13"/>
      <c r="H10" s="19"/>
    </row>
    <row r="11" spans="1:8" x14ac:dyDescent="0.3">
      <c r="A11" s="3" t="s">
        <v>26</v>
      </c>
      <c r="B11" s="3" t="s">
        <v>13</v>
      </c>
      <c r="C11" s="3"/>
      <c r="D11" s="3"/>
      <c r="E11" s="3"/>
      <c r="F11" s="3"/>
      <c r="G11" s="13"/>
      <c r="H11" s="19"/>
    </row>
    <row r="12" spans="1:8" x14ac:dyDescent="0.3">
      <c r="A12" s="3" t="s">
        <v>27</v>
      </c>
      <c r="B12" s="3" t="s">
        <v>137</v>
      </c>
      <c r="C12" s="3"/>
      <c r="D12" s="3"/>
      <c r="E12" s="3"/>
      <c r="F12" s="3"/>
      <c r="G12" s="13"/>
      <c r="H12" s="19"/>
    </row>
    <row r="13" spans="1:8" x14ac:dyDescent="0.3">
      <c r="A13" s="3" t="s">
        <v>28</v>
      </c>
      <c r="B13" s="3" t="s">
        <v>14</v>
      </c>
      <c r="C13" s="3" t="s">
        <v>15</v>
      </c>
      <c r="D13" s="3"/>
      <c r="E13" s="3"/>
      <c r="F13" s="3"/>
      <c r="G13" s="13"/>
      <c r="H13" s="19"/>
    </row>
    <row r="14" spans="1:8" x14ac:dyDescent="0.3">
      <c r="A14" s="3" t="s">
        <v>29</v>
      </c>
      <c r="B14" s="3" t="s">
        <v>16</v>
      </c>
      <c r="C14" s="3" t="s">
        <v>17</v>
      </c>
      <c r="D14" s="3"/>
      <c r="E14" s="3"/>
      <c r="F14" s="3"/>
      <c r="G14" s="13"/>
      <c r="H14" s="19"/>
    </row>
    <row r="15" spans="1:8" x14ac:dyDescent="0.3">
      <c r="A15" s="3" t="s">
        <v>30</v>
      </c>
      <c r="B15" s="3" t="s">
        <v>18</v>
      </c>
      <c r="C15" s="3" t="s">
        <v>130</v>
      </c>
      <c r="D15" s="3"/>
      <c r="E15" s="3"/>
      <c r="F15" s="3"/>
      <c r="G15" s="13"/>
      <c r="H15" s="19"/>
    </row>
    <row r="16" spans="1:8" x14ac:dyDescent="0.3">
      <c r="A16" s="3" t="s">
        <v>138</v>
      </c>
      <c r="B16" s="3" t="s">
        <v>19</v>
      </c>
      <c r="C16" s="3"/>
      <c r="D16" s="3" t="s">
        <v>21</v>
      </c>
      <c r="E16" s="3"/>
      <c r="F16" s="3"/>
      <c r="G16" s="13"/>
      <c r="H16" s="19"/>
    </row>
    <row r="17" spans="1:8" ht="72" x14ac:dyDescent="0.3">
      <c r="A17" s="19" t="s">
        <v>139</v>
      </c>
      <c r="B17" s="6" t="s">
        <v>140</v>
      </c>
      <c r="C17" s="5" t="s">
        <v>141</v>
      </c>
      <c r="D17" s="3" t="s">
        <v>142</v>
      </c>
      <c r="E17" s="3"/>
      <c r="F17" s="5" t="s">
        <v>168</v>
      </c>
      <c r="G17" s="18">
        <f>H17/1.35</f>
        <v>3343784</v>
      </c>
      <c r="H17" s="13">
        <f>1677527.55+2836580.85</f>
        <v>4514108.4000000004</v>
      </c>
    </row>
    <row r="18" spans="1:8" s="1" customFormat="1" x14ac:dyDescent="0.3">
      <c r="A18" s="4" t="s">
        <v>31</v>
      </c>
      <c r="B18" s="4" t="s">
        <v>32</v>
      </c>
      <c r="C18" s="4"/>
      <c r="D18" s="4"/>
      <c r="E18" s="4"/>
      <c r="F18" s="4"/>
      <c r="G18" s="17"/>
      <c r="H18" s="11"/>
    </row>
    <row r="19" spans="1:8" ht="28.8" x14ac:dyDescent="0.3">
      <c r="A19" s="3" t="s">
        <v>35</v>
      </c>
      <c r="B19" s="5" t="s">
        <v>33</v>
      </c>
      <c r="C19" s="3" t="s">
        <v>34</v>
      </c>
      <c r="D19" s="3"/>
      <c r="E19" s="3"/>
      <c r="F19" s="3"/>
      <c r="G19" s="13"/>
      <c r="H19" s="19"/>
    </row>
    <row r="20" spans="1:8" x14ac:dyDescent="0.3">
      <c r="A20" s="3" t="s">
        <v>36</v>
      </c>
      <c r="B20" s="3" t="s">
        <v>37</v>
      </c>
      <c r="C20" s="3"/>
      <c r="D20" s="3"/>
      <c r="E20" s="3"/>
      <c r="F20" s="3"/>
      <c r="G20" s="13"/>
      <c r="H20" s="19"/>
    </row>
    <row r="21" spans="1:8" x14ac:dyDescent="0.3">
      <c r="A21" s="3" t="s">
        <v>43</v>
      </c>
      <c r="B21" s="3" t="s">
        <v>38</v>
      </c>
      <c r="C21" s="3"/>
      <c r="D21" s="3"/>
      <c r="E21" s="3"/>
      <c r="F21" s="3"/>
      <c r="G21" s="13"/>
      <c r="H21" s="19"/>
    </row>
    <row r="22" spans="1:8" x14ac:dyDescent="0.3">
      <c r="A22" s="3" t="s">
        <v>44</v>
      </c>
      <c r="B22" s="6" t="s">
        <v>39</v>
      </c>
      <c r="C22" s="3"/>
      <c r="D22" s="3"/>
      <c r="E22" s="3"/>
      <c r="F22" s="3"/>
      <c r="G22" s="13"/>
      <c r="H22" s="19"/>
    </row>
    <row r="23" spans="1:8" ht="28.8" x14ac:dyDescent="0.3">
      <c r="A23" s="3" t="s">
        <v>45</v>
      </c>
      <c r="B23" s="5" t="s">
        <v>40</v>
      </c>
      <c r="C23" s="3"/>
      <c r="D23" s="3"/>
      <c r="E23" s="3"/>
      <c r="F23" s="3"/>
      <c r="G23" s="13"/>
      <c r="H23" s="19"/>
    </row>
    <row r="24" spans="1:8" x14ac:dyDescent="0.3">
      <c r="A24" s="3" t="s">
        <v>46</v>
      </c>
      <c r="B24" s="3" t="s">
        <v>41</v>
      </c>
      <c r="C24" s="3"/>
      <c r="D24" s="3"/>
      <c r="E24" s="3"/>
      <c r="F24" s="3"/>
      <c r="G24" s="13"/>
      <c r="H24" s="19"/>
    </row>
    <row r="25" spans="1:8" x14ac:dyDescent="0.3">
      <c r="A25" s="3" t="s">
        <v>47</v>
      </c>
      <c r="B25" s="3" t="s">
        <v>42</v>
      </c>
      <c r="C25" s="3"/>
      <c r="D25" s="3"/>
      <c r="E25" s="3"/>
      <c r="F25" s="3"/>
      <c r="G25" s="13"/>
      <c r="H25" s="19"/>
    </row>
    <row r="26" spans="1:8" x14ac:dyDescent="0.3">
      <c r="A26" s="3" t="s">
        <v>48</v>
      </c>
      <c r="B26" s="3" t="s">
        <v>49</v>
      </c>
      <c r="C26" s="3"/>
      <c r="D26" s="3"/>
      <c r="E26" s="3"/>
      <c r="F26" s="3" t="s">
        <v>50</v>
      </c>
      <c r="G26" s="13"/>
      <c r="H26" s="19"/>
    </row>
    <row r="27" spans="1:8" x14ac:dyDescent="0.3">
      <c r="A27" s="4" t="s">
        <v>52</v>
      </c>
      <c r="B27" s="4" t="s">
        <v>51</v>
      </c>
      <c r="C27" s="3"/>
      <c r="D27" s="3"/>
      <c r="E27" s="3"/>
      <c r="F27" s="3"/>
      <c r="G27" s="13"/>
      <c r="H27" s="19"/>
    </row>
    <row r="28" spans="1:8" ht="28.8" x14ac:dyDescent="0.3">
      <c r="A28" s="3" t="s">
        <v>57</v>
      </c>
      <c r="B28" s="7" t="s">
        <v>56</v>
      </c>
      <c r="C28" s="3"/>
      <c r="D28" s="3"/>
      <c r="E28" s="3"/>
      <c r="F28" s="3"/>
      <c r="G28" s="13"/>
      <c r="H28" s="19"/>
    </row>
    <row r="29" spans="1:8" x14ac:dyDescent="0.3">
      <c r="A29" s="3" t="s">
        <v>58</v>
      </c>
      <c r="B29" s="7" t="s">
        <v>53</v>
      </c>
      <c r="C29" s="3"/>
      <c r="D29" s="3"/>
      <c r="E29" s="3"/>
      <c r="F29" s="3"/>
      <c r="G29" s="13"/>
      <c r="H29" s="19"/>
    </row>
    <row r="30" spans="1:8" x14ac:dyDescent="0.3">
      <c r="A30" s="3" t="s">
        <v>59</v>
      </c>
      <c r="B30" s="7" t="s">
        <v>54</v>
      </c>
      <c r="C30" s="3"/>
      <c r="D30" s="3"/>
      <c r="E30" s="3"/>
      <c r="F30" s="3"/>
      <c r="G30" s="13"/>
      <c r="H30" s="19"/>
    </row>
    <row r="31" spans="1:8" ht="28.8" x14ac:dyDescent="0.3">
      <c r="A31" s="3" t="s">
        <v>60</v>
      </c>
      <c r="B31" s="7" t="s">
        <v>55</v>
      </c>
      <c r="C31" s="3"/>
      <c r="D31" s="3"/>
      <c r="E31" s="3"/>
      <c r="F31" s="3"/>
      <c r="G31" s="13"/>
      <c r="H31" s="19"/>
    </row>
    <row r="32" spans="1:8" x14ac:dyDescent="0.3">
      <c r="A32" s="4" t="s">
        <v>65</v>
      </c>
      <c r="B32" s="8" t="s">
        <v>64</v>
      </c>
      <c r="C32" s="3"/>
      <c r="D32" s="3"/>
      <c r="E32" s="3"/>
      <c r="F32" s="3"/>
      <c r="G32" s="13"/>
      <c r="H32" s="19"/>
    </row>
    <row r="33" spans="1:10" ht="57.6" x14ac:dyDescent="0.3">
      <c r="A33" s="3" t="s">
        <v>66</v>
      </c>
      <c r="B33" s="7" t="s">
        <v>71</v>
      </c>
      <c r="C33" s="3" t="s">
        <v>70</v>
      </c>
      <c r="D33" s="3" t="s">
        <v>72</v>
      </c>
      <c r="E33" s="3" t="s">
        <v>73</v>
      </c>
      <c r="F33" s="5" t="s">
        <v>165</v>
      </c>
      <c r="G33" s="376">
        <f>H33/2</f>
        <v>7942400</v>
      </c>
      <c r="H33" s="376">
        <f>7942400*2</f>
        <v>15884800</v>
      </c>
      <c r="I33" s="30"/>
      <c r="J33" s="26"/>
    </row>
    <row r="34" spans="1:10" ht="43.2" x14ac:dyDescent="0.3">
      <c r="A34" s="3" t="s">
        <v>67</v>
      </c>
      <c r="B34" s="7" t="s">
        <v>61</v>
      </c>
      <c r="C34" s="3"/>
      <c r="D34" s="3" t="s">
        <v>72</v>
      </c>
      <c r="E34" s="3" t="s">
        <v>73</v>
      </c>
      <c r="F34" s="5" t="s">
        <v>166</v>
      </c>
      <c r="G34" s="377"/>
      <c r="H34" s="377"/>
    </row>
    <row r="35" spans="1:10" x14ac:dyDescent="0.3">
      <c r="A35" s="3" t="s">
        <v>68</v>
      </c>
      <c r="B35" s="7" t="s">
        <v>62</v>
      </c>
      <c r="C35" s="3"/>
      <c r="D35" s="3"/>
      <c r="E35" s="3"/>
      <c r="F35" s="3"/>
      <c r="G35" s="13"/>
      <c r="H35" s="19"/>
    </row>
    <row r="36" spans="1:10" x14ac:dyDescent="0.3">
      <c r="A36" s="3" t="s">
        <v>69</v>
      </c>
      <c r="B36" s="5" t="s">
        <v>63</v>
      </c>
      <c r="C36" s="3"/>
      <c r="D36" s="3"/>
      <c r="E36" s="3"/>
      <c r="F36" s="3"/>
      <c r="G36" s="13"/>
      <c r="H36" s="19"/>
    </row>
    <row r="37" spans="1:10" x14ac:dyDescent="0.3">
      <c r="A37" s="4" t="s">
        <v>78</v>
      </c>
      <c r="B37" s="8" t="s">
        <v>77</v>
      </c>
      <c r="C37" s="3"/>
      <c r="D37" s="3"/>
      <c r="E37" s="3"/>
      <c r="F37" s="3"/>
      <c r="G37" s="13"/>
      <c r="H37" s="19"/>
    </row>
    <row r="38" spans="1:10" x14ac:dyDescent="0.3">
      <c r="A38" s="3" t="s">
        <v>79</v>
      </c>
      <c r="B38" s="6" t="s">
        <v>74</v>
      </c>
      <c r="C38" s="3"/>
      <c r="D38" s="3"/>
      <c r="E38" s="3"/>
      <c r="F38" s="3"/>
      <c r="G38" s="13"/>
      <c r="H38" s="19"/>
    </row>
    <row r="39" spans="1:10" x14ac:dyDescent="0.3">
      <c r="A39" s="3" t="s">
        <v>80</v>
      </c>
      <c r="B39" s="6" t="s">
        <v>75</v>
      </c>
      <c r="C39" s="3"/>
      <c r="D39" s="3"/>
      <c r="E39" s="3"/>
      <c r="F39" s="3"/>
      <c r="G39" s="13"/>
      <c r="H39" s="19"/>
    </row>
    <row r="40" spans="1:10" x14ac:dyDescent="0.3">
      <c r="A40" s="3" t="s">
        <v>81</v>
      </c>
      <c r="B40" s="6" t="s">
        <v>76</v>
      </c>
      <c r="C40" s="3"/>
      <c r="D40" s="3"/>
      <c r="E40" s="3"/>
      <c r="F40" s="3"/>
      <c r="G40" s="13"/>
      <c r="H40" s="19"/>
    </row>
    <row r="41" spans="1:10" x14ac:dyDescent="0.3">
      <c r="A41" s="3" t="s">
        <v>99</v>
      </c>
      <c r="B41" s="8" t="s">
        <v>96</v>
      </c>
      <c r="C41" s="3"/>
      <c r="D41" s="3"/>
      <c r="E41" s="3"/>
      <c r="F41" s="3"/>
      <c r="G41" s="13"/>
      <c r="H41" s="19"/>
    </row>
    <row r="42" spans="1:10" x14ac:dyDescent="0.3">
      <c r="A42" s="3" t="s">
        <v>102</v>
      </c>
      <c r="B42" s="6" t="s">
        <v>82</v>
      </c>
      <c r="C42" s="3"/>
      <c r="D42" s="3"/>
      <c r="E42" s="3"/>
      <c r="F42" s="3"/>
      <c r="G42" s="13"/>
      <c r="H42" s="19"/>
    </row>
    <row r="43" spans="1:10" x14ac:dyDescent="0.3">
      <c r="A43" s="3" t="s">
        <v>103</v>
      </c>
      <c r="B43" s="6" t="s">
        <v>83</v>
      </c>
      <c r="C43" s="3"/>
      <c r="D43" s="3"/>
      <c r="E43" s="3"/>
      <c r="F43" s="3"/>
      <c r="G43" s="13"/>
      <c r="H43" s="19"/>
    </row>
    <row r="44" spans="1:10" x14ac:dyDescent="0.3">
      <c r="A44" s="3" t="s">
        <v>100</v>
      </c>
      <c r="B44" s="8" t="s">
        <v>97</v>
      </c>
      <c r="C44" s="3"/>
      <c r="D44" s="3"/>
      <c r="E44" s="3"/>
      <c r="F44" s="3"/>
      <c r="G44" s="13"/>
      <c r="H44" s="19"/>
    </row>
    <row r="45" spans="1:10" x14ac:dyDescent="0.3">
      <c r="A45" s="3" t="s">
        <v>104</v>
      </c>
      <c r="B45" s="6" t="s">
        <v>84</v>
      </c>
      <c r="C45" s="3"/>
      <c r="D45" s="3"/>
      <c r="E45" s="3"/>
      <c r="F45" s="3"/>
      <c r="G45" s="13"/>
      <c r="H45" s="19"/>
    </row>
    <row r="46" spans="1:10" x14ac:dyDescent="0.3">
      <c r="A46" s="3" t="s">
        <v>105</v>
      </c>
      <c r="B46" s="6" t="s">
        <v>85</v>
      </c>
      <c r="C46" s="3"/>
      <c r="D46" s="3"/>
      <c r="E46" s="3"/>
      <c r="F46" s="3"/>
      <c r="G46" s="13"/>
      <c r="H46" s="19"/>
    </row>
    <row r="47" spans="1:10" x14ac:dyDescent="0.3">
      <c r="A47" s="3" t="s">
        <v>106</v>
      </c>
      <c r="B47" s="6" t="s">
        <v>86</v>
      </c>
      <c r="C47" s="3"/>
      <c r="D47" s="3"/>
      <c r="E47" s="3"/>
      <c r="F47" s="3"/>
      <c r="G47" s="13"/>
      <c r="H47" s="19"/>
    </row>
    <row r="48" spans="1:10" x14ac:dyDescent="0.3">
      <c r="A48" s="3" t="s">
        <v>107</v>
      </c>
      <c r="B48" s="6" t="s">
        <v>87</v>
      </c>
      <c r="C48" s="3"/>
      <c r="D48" s="3"/>
      <c r="E48" s="3"/>
      <c r="F48" s="3"/>
      <c r="G48" s="13"/>
      <c r="H48" s="19"/>
    </row>
    <row r="49" spans="1:9" x14ac:dyDescent="0.3">
      <c r="A49" s="3" t="s">
        <v>108</v>
      </c>
      <c r="B49" s="6" t="s">
        <v>88</v>
      </c>
      <c r="C49" s="3"/>
      <c r="D49" s="3"/>
      <c r="E49" s="3"/>
      <c r="F49" s="3"/>
      <c r="G49" s="13"/>
      <c r="H49" s="19"/>
    </row>
    <row r="50" spans="1:9" x14ac:dyDescent="0.3">
      <c r="A50" s="3" t="s">
        <v>109</v>
      </c>
      <c r="B50" s="6" t="s">
        <v>89</v>
      </c>
      <c r="C50" s="3"/>
      <c r="D50" s="3"/>
      <c r="E50" s="3"/>
      <c r="F50" s="3"/>
      <c r="G50" s="13"/>
      <c r="H50" s="19"/>
    </row>
    <row r="51" spans="1:9" x14ac:dyDescent="0.3">
      <c r="A51" s="3" t="s">
        <v>110</v>
      </c>
      <c r="B51" s="6" t="s">
        <v>76</v>
      </c>
      <c r="C51" s="3"/>
      <c r="D51" s="3"/>
      <c r="E51" s="3"/>
      <c r="F51" s="3"/>
      <c r="G51" s="13"/>
      <c r="H51" s="19"/>
    </row>
    <row r="52" spans="1:9" x14ac:dyDescent="0.3">
      <c r="A52" s="3" t="s">
        <v>111</v>
      </c>
      <c r="B52" s="6" t="s">
        <v>90</v>
      </c>
      <c r="C52" s="3"/>
      <c r="D52" s="3"/>
      <c r="E52" s="3"/>
      <c r="F52" s="3"/>
      <c r="G52" s="13"/>
      <c r="H52" s="19"/>
    </row>
    <row r="53" spans="1:9" x14ac:dyDescent="0.3">
      <c r="A53" s="3" t="s">
        <v>112</v>
      </c>
      <c r="B53" s="6" t="s">
        <v>91</v>
      </c>
      <c r="C53" s="3"/>
      <c r="D53" s="3"/>
      <c r="E53" s="3"/>
      <c r="F53" s="3"/>
      <c r="G53" s="13"/>
      <c r="H53" s="19"/>
    </row>
    <row r="54" spans="1:9" x14ac:dyDescent="0.3">
      <c r="A54" s="3" t="s">
        <v>113</v>
      </c>
      <c r="B54" s="6" t="s">
        <v>92</v>
      </c>
      <c r="C54" s="3"/>
      <c r="D54" s="3"/>
      <c r="E54" s="3"/>
      <c r="F54" s="3"/>
      <c r="G54" s="13"/>
      <c r="H54" s="19"/>
    </row>
    <row r="55" spans="1:9" x14ac:dyDescent="0.3">
      <c r="A55" s="3" t="s">
        <v>101</v>
      </c>
      <c r="B55" s="8" t="s">
        <v>98</v>
      </c>
      <c r="C55" s="3"/>
      <c r="D55" s="3"/>
      <c r="E55" s="3"/>
      <c r="F55" s="3"/>
      <c r="G55" s="13"/>
      <c r="H55" s="19"/>
    </row>
    <row r="56" spans="1:9" x14ac:dyDescent="0.3">
      <c r="A56" s="3" t="s">
        <v>114</v>
      </c>
      <c r="B56" s="6" t="s">
        <v>93</v>
      </c>
      <c r="C56" s="3"/>
      <c r="D56" s="3"/>
      <c r="E56" s="3"/>
      <c r="F56" s="3"/>
      <c r="G56" s="13"/>
      <c r="H56" s="19"/>
    </row>
    <row r="57" spans="1:9" x14ac:dyDescent="0.3">
      <c r="A57" s="3" t="s">
        <v>115</v>
      </c>
      <c r="B57" s="6" t="s">
        <v>94</v>
      </c>
      <c r="C57" s="3"/>
      <c r="D57" s="3"/>
      <c r="E57" s="3"/>
      <c r="F57" s="3"/>
      <c r="G57" s="13"/>
      <c r="H57" s="19"/>
    </row>
    <row r="58" spans="1:9" x14ac:dyDescent="0.3">
      <c r="A58" s="3" t="s">
        <v>116</v>
      </c>
      <c r="B58" s="3" t="s">
        <v>95</v>
      </c>
      <c r="C58" s="3"/>
      <c r="D58" s="3"/>
      <c r="E58" s="3"/>
      <c r="F58" s="3"/>
      <c r="G58" s="13"/>
      <c r="H58" s="19"/>
    </row>
    <row r="59" spans="1:9" ht="18" x14ac:dyDescent="0.3">
      <c r="A59" s="380" t="s">
        <v>117</v>
      </c>
      <c r="B59" s="380"/>
      <c r="C59" s="10"/>
      <c r="D59" s="10"/>
      <c r="E59" s="10"/>
      <c r="F59" s="10"/>
      <c r="G59" s="10"/>
      <c r="H59" s="19"/>
    </row>
    <row r="60" spans="1:9" ht="43.2" x14ac:dyDescent="0.3">
      <c r="A60" s="19">
        <v>1</v>
      </c>
      <c r="B60" s="7" t="s">
        <v>118</v>
      </c>
      <c r="C60" s="6"/>
      <c r="D60" s="6">
        <v>2.863</v>
      </c>
      <c r="E60" s="3"/>
      <c r="F60" s="3"/>
      <c r="G60" s="13"/>
      <c r="H60" s="19"/>
    </row>
    <row r="61" spans="1:9" ht="57.6" x14ac:dyDescent="0.3">
      <c r="A61" s="20" t="s">
        <v>8</v>
      </c>
      <c r="B61" s="21" t="s">
        <v>155</v>
      </c>
      <c r="C61" s="21" t="s">
        <v>129</v>
      </c>
      <c r="D61" s="22">
        <v>468</v>
      </c>
      <c r="E61" s="3" t="s">
        <v>147</v>
      </c>
      <c r="F61" s="5" t="s">
        <v>145</v>
      </c>
      <c r="G61" s="13">
        <f>137900*468*12.5*0.065</f>
        <v>52436475</v>
      </c>
      <c r="H61" s="27">
        <f>G61*1.35</f>
        <v>70789241.25</v>
      </c>
      <c r="I61" s="30"/>
    </row>
    <row r="62" spans="1:9" x14ac:dyDescent="0.3">
      <c r="A62" s="20" t="s">
        <v>10</v>
      </c>
      <c r="B62" s="21" t="s">
        <v>154</v>
      </c>
      <c r="C62" s="22" t="s">
        <v>144</v>
      </c>
      <c r="D62" s="22">
        <v>3870</v>
      </c>
      <c r="E62" s="3" t="s">
        <v>147</v>
      </c>
      <c r="F62" s="3" t="s">
        <v>146</v>
      </c>
      <c r="G62" s="13">
        <f>2890*D62</f>
        <v>11184300</v>
      </c>
      <c r="H62" s="27">
        <f t="shared" ref="H62:H74" si="0">G62*1.35</f>
        <v>15098805.000000002</v>
      </c>
    </row>
    <row r="63" spans="1:9" ht="28.8" x14ac:dyDescent="0.3">
      <c r="A63" s="20" t="s">
        <v>22</v>
      </c>
      <c r="B63" s="21" t="s">
        <v>153</v>
      </c>
      <c r="C63" s="22" t="s">
        <v>128</v>
      </c>
      <c r="D63" s="22">
        <v>30960</v>
      </c>
      <c r="E63" s="3" t="s">
        <v>147</v>
      </c>
      <c r="F63" s="5" t="s">
        <v>149</v>
      </c>
      <c r="G63" s="13">
        <f>11.765*126500</f>
        <v>1488272.5</v>
      </c>
      <c r="H63" s="27">
        <f t="shared" si="0"/>
        <v>2009167.8750000002</v>
      </c>
    </row>
    <row r="64" spans="1:9" ht="28.8" x14ac:dyDescent="0.3">
      <c r="A64" s="20" t="s">
        <v>23</v>
      </c>
      <c r="B64" s="21" t="s">
        <v>152</v>
      </c>
      <c r="C64" s="22"/>
      <c r="D64" s="22">
        <v>7740</v>
      </c>
      <c r="E64" s="3" t="s">
        <v>147</v>
      </c>
      <c r="F64" s="5" t="s">
        <v>148</v>
      </c>
      <c r="G64" s="13">
        <f>59.5*229200</f>
        <v>13637400</v>
      </c>
      <c r="H64" s="27">
        <f t="shared" si="0"/>
        <v>18410490</v>
      </c>
    </row>
    <row r="65" spans="1:8" ht="28.8" x14ac:dyDescent="0.3">
      <c r="A65" s="20" t="s">
        <v>24</v>
      </c>
      <c r="B65" s="21" t="s">
        <v>151</v>
      </c>
      <c r="C65" s="22"/>
      <c r="D65" s="22">
        <v>936</v>
      </c>
      <c r="E65" s="3" t="s">
        <v>147</v>
      </c>
      <c r="F65" s="5" t="s">
        <v>150</v>
      </c>
      <c r="G65" s="13">
        <f>189500*27.612</f>
        <v>5232474</v>
      </c>
      <c r="H65" s="27">
        <f t="shared" si="0"/>
        <v>7063839.9000000004</v>
      </c>
    </row>
    <row r="66" spans="1:8" ht="28.8" x14ac:dyDescent="0.3">
      <c r="A66" s="20" t="s">
        <v>25</v>
      </c>
      <c r="B66" s="21" t="s">
        <v>157</v>
      </c>
      <c r="C66" s="22"/>
      <c r="D66" s="22">
        <v>7740</v>
      </c>
      <c r="E66" s="3" t="s">
        <v>147</v>
      </c>
      <c r="F66" s="5" t="s">
        <v>156</v>
      </c>
      <c r="G66" s="13">
        <f>10.5264*139800</f>
        <v>1471590.7200000002</v>
      </c>
      <c r="H66" s="27">
        <f t="shared" si="0"/>
        <v>1986647.4720000003</v>
      </c>
    </row>
    <row r="67" spans="1:8" x14ac:dyDescent="0.3">
      <c r="A67" s="19" t="s">
        <v>26</v>
      </c>
      <c r="B67" s="7" t="s">
        <v>158</v>
      </c>
      <c r="C67" s="6"/>
      <c r="D67" s="6">
        <v>7740</v>
      </c>
      <c r="E67" s="3" t="s">
        <v>147</v>
      </c>
      <c r="F67" s="3"/>
      <c r="G67" s="13">
        <f>7740*96</f>
        <v>743040</v>
      </c>
      <c r="H67" s="27">
        <f t="shared" si="0"/>
        <v>1003104.0000000001</v>
      </c>
    </row>
    <row r="68" spans="1:8" x14ac:dyDescent="0.3">
      <c r="A68" s="19">
        <v>2</v>
      </c>
      <c r="B68" s="7" t="s">
        <v>127</v>
      </c>
      <c r="C68" s="6" t="s">
        <v>126</v>
      </c>
      <c r="D68" s="6">
        <v>1</v>
      </c>
      <c r="E68" s="3"/>
      <c r="F68" s="3"/>
      <c r="G68" s="13"/>
      <c r="H68" s="27">
        <f t="shared" si="0"/>
        <v>0</v>
      </c>
    </row>
    <row r="69" spans="1:8" ht="43.2" x14ac:dyDescent="0.3">
      <c r="A69" s="19">
        <v>3</v>
      </c>
      <c r="B69" s="7" t="s">
        <v>119</v>
      </c>
      <c r="C69" s="7" t="s">
        <v>120</v>
      </c>
      <c r="D69" s="6">
        <v>1</v>
      </c>
      <c r="E69" s="3" t="s">
        <v>147</v>
      </c>
      <c r="F69" s="3"/>
      <c r="G69" s="13">
        <f>3096000*D69</f>
        <v>3096000</v>
      </c>
      <c r="H69" s="27">
        <f t="shared" si="0"/>
        <v>4179600.0000000005</v>
      </c>
    </row>
    <row r="70" spans="1:8" ht="28.8" x14ac:dyDescent="0.3">
      <c r="A70" s="19">
        <v>4</v>
      </c>
      <c r="B70" s="7" t="s">
        <v>121</v>
      </c>
      <c r="C70" s="7" t="s">
        <v>120</v>
      </c>
      <c r="D70" s="6">
        <v>3</v>
      </c>
      <c r="E70" s="3" t="s">
        <v>147</v>
      </c>
      <c r="F70" s="3"/>
      <c r="G70" s="13">
        <f t="shared" ref="G70:G71" si="1">3096000*D70</f>
        <v>9288000</v>
      </c>
      <c r="H70" s="27">
        <f t="shared" si="0"/>
        <v>12538800</v>
      </c>
    </row>
    <row r="71" spans="1:8" ht="28.8" x14ac:dyDescent="0.3">
      <c r="A71" s="19">
        <v>5</v>
      </c>
      <c r="B71" s="7" t="s">
        <v>122</v>
      </c>
      <c r="C71" s="7" t="s">
        <v>120</v>
      </c>
      <c r="D71" s="6">
        <v>2</v>
      </c>
      <c r="E71" s="3" t="s">
        <v>147</v>
      </c>
      <c r="F71" s="3"/>
      <c r="G71" s="13">
        <f t="shared" si="1"/>
        <v>6192000</v>
      </c>
      <c r="H71" s="27">
        <f t="shared" si="0"/>
        <v>8359200.0000000009</v>
      </c>
    </row>
    <row r="72" spans="1:8" ht="28.8" x14ac:dyDescent="0.3">
      <c r="A72" s="19">
        <v>6</v>
      </c>
      <c r="B72" s="7" t="s">
        <v>121</v>
      </c>
      <c r="C72" s="7" t="s">
        <v>123</v>
      </c>
      <c r="D72" s="6">
        <v>1</v>
      </c>
      <c r="E72" s="3" t="s">
        <v>147</v>
      </c>
      <c r="F72" s="3"/>
      <c r="G72" s="13">
        <v>2470000</v>
      </c>
      <c r="H72" s="27">
        <f t="shared" si="0"/>
        <v>3334500</v>
      </c>
    </row>
    <row r="73" spans="1:8" ht="28.8" x14ac:dyDescent="0.3">
      <c r="A73" s="19">
        <v>7</v>
      </c>
      <c r="B73" s="7" t="s">
        <v>122</v>
      </c>
      <c r="C73" s="7" t="s">
        <v>123</v>
      </c>
      <c r="D73" s="6">
        <v>1</v>
      </c>
      <c r="E73" s="3" t="s">
        <v>147</v>
      </c>
      <c r="F73" s="3"/>
      <c r="G73" s="13">
        <v>2470000</v>
      </c>
      <c r="H73" s="27">
        <f t="shared" si="0"/>
        <v>3334500</v>
      </c>
    </row>
    <row r="74" spans="1:8" x14ac:dyDescent="0.3">
      <c r="A74" s="19">
        <v>8</v>
      </c>
      <c r="B74" s="7" t="s">
        <v>124</v>
      </c>
      <c r="C74" s="6" t="s">
        <v>125</v>
      </c>
      <c r="D74" s="6">
        <v>4</v>
      </c>
      <c r="E74" s="3" t="s">
        <v>147</v>
      </c>
      <c r="F74" s="3"/>
      <c r="G74" s="13">
        <f>168000*D74</f>
        <v>672000</v>
      </c>
      <c r="H74" s="27">
        <f t="shared" si="0"/>
        <v>907200.00000000012</v>
      </c>
    </row>
    <row r="75" spans="1:8" x14ac:dyDescent="0.3">
      <c r="A75" s="19">
        <v>9</v>
      </c>
      <c r="B75" s="7" t="s">
        <v>159</v>
      </c>
      <c r="C75" s="3"/>
      <c r="D75" s="3"/>
      <c r="E75" s="3"/>
      <c r="F75" s="3"/>
      <c r="G75" s="13"/>
      <c r="H75" s="19"/>
    </row>
    <row r="76" spans="1:8" x14ac:dyDescent="0.3">
      <c r="A76" s="20" t="s">
        <v>162</v>
      </c>
      <c r="B76" s="21" t="s">
        <v>160</v>
      </c>
      <c r="C76" s="23" t="s">
        <v>164</v>
      </c>
      <c r="D76" s="23"/>
      <c r="E76" s="23"/>
      <c r="F76" s="3"/>
      <c r="G76" s="13"/>
      <c r="H76" s="19"/>
    </row>
    <row r="77" spans="1:8" x14ac:dyDescent="0.3">
      <c r="A77" s="20" t="s">
        <v>163</v>
      </c>
      <c r="B77" s="21" t="s">
        <v>161</v>
      </c>
      <c r="C77" s="23"/>
      <c r="D77" s="23"/>
      <c r="E77" s="23"/>
      <c r="F77" s="3"/>
      <c r="G77" s="13"/>
      <c r="H77" s="19"/>
    </row>
    <row r="78" spans="1:8" s="1" customFormat="1" x14ac:dyDescent="0.3">
      <c r="B78" s="24" t="s">
        <v>169</v>
      </c>
      <c r="G78" s="25">
        <f>SUM(G2:G77)</f>
        <v>121667736.22</v>
      </c>
      <c r="H78" s="25">
        <f>SUM(H2:H77)</f>
        <v>169414003.89700001</v>
      </c>
    </row>
    <row r="79" spans="1:8" s="1" customFormat="1" x14ac:dyDescent="0.3">
      <c r="B79" s="1" t="s">
        <v>170</v>
      </c>
      <c r="G79" s="25"/>
      <c r="H79" s="28">
        <f>1-G78/H78</f>
        <v>0.28183188271749182</v>
      </c>
    </row>
  </sheetData>
  <mergeCells count="4">
    <mergeCell ref="H33:H34"/>
    <mergeCell ref="G33:G34"/>
    <mergeCell ref="A2:B2"/>
    <mergeCell ref="A59:B59"/>
  </mergeCells>
  <conditionalFormatting sqref="A19:A27">
    <cfRule type="duplicateValues" dxfId="1" priority="1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5BEC6-C934-423B-946B-A80F4D33953D}">
  <sheetPr>
    <tabColor rgb="FFFF0000"/>
  </sheetPr>
  <dimension ref="B1:K36"/>
  <sheetViews>
    <sheetView topLeftCell="A28" zoomScale="145" zoomScaleNormal="145" workbookViewId="0">
      <selection activeCell="C30" sqref="C30"/>
    </sheetView>
  </sheetViews>
  <sheetFormatPr defaultColWidth="9.33203125" defaultRowHeight="13.2" x14ac:dyDescent="0.25"/>
  <cols>
    <col min="1" max="1" width="9.33203125" style="200"/>
    <col min="2" max="2" width="11" style="200" customWidth="1"/>
    <col min="3" max="3" width="35.88671875" style="201" customWidth="1"/>
    <col min="4" max="4" width="10.6640625" style="200" customWidth="1"/>
    <col min="5" max="5" width="11.6640625" style="200" bestFit="1" customWidth="1"/>
    <col min="6" max="6" width="15.6640625" style="200" customWidth="1"/>
    <col min="7" max="7" width="14.5546875" style="202" customWidth="1"/>
    <col min="8" max="8" width="15.33203125" style="202" customWidth="1"/>
    <col min="9" max="9" width="14" style="202" customWidth="1"/>
    <col min="10" max="10" width="17.6640625" style="203" bestFit="1" customWidth="1"/>
    <col min="11" max="11" width="15.44140625" style="200" customWidth="1"/>
    <col min="12" max="16384" width="9.33203125" style="200"/>
  </cols>
  <sheetData>
    <row r="1" spans="2:11" ht="13.8" thickBot="1" x14ac:dyDescent="0.3"/>
    <row r="2" spans="2:11" ht="32.25" customHeight="1" x14ac:dyDescent="0.25">
      <c r="B2" s="411" t="s">
        <v>187</v>
      </c>
      <c r="C2" s="413" t="s">
        <v>501</v>
      </c>
      <c r="D2" s="415" t="s">
        <v>217</v>
      </c>
      <c r="E2" s="417" t="s">
        <v>189</v>
      </c>
      <c r="F2" s="419" t="s">
        <v>502</v>
      </c>
      <c r="G2" s="419"/>
      <c r="H2" s="419" t="s">
        <v>503</v>
      </c>
      <c r="I2" s="419"/>
      <c r="J2" s="406" t="s">
        <v>504</v>
      </c>
    </row>
    <row r="3" spans="2:11" x14ac:dyDescent="0.25">
      <c r="B3" s="412"/>
      <c r="C3" s="414"/>
      <c r="D3" s="416"/>
      <c r="E3" s="418"/>
      <c r="F3" s="204" t="s">
        <v>505</v>
      </c>
      <c r="G3" s="204" t="s">
        <v>506</v>
      </c>
      <c r="H3" s="204" t="s">
        <v>507</v>
      </c>
      <c r="I3" s="204" t="s">
        <v>506</v>
      </c>
      <c r="J3" s="407"/>
    </row>
    <row r="4" spans="2:11" x14ac:dyDescent="0.25">
      <c r="B4" s="408" t="s">
        <v>466</v>
      </c>
      <c r="C4" s="409"/>
      <c r="D4" s="409"/>
      <c r="E4" s="409"/>
      <c r="F4" s="409"/>
      <c r="G4" s="409"/>
      <c r="H4" s="409"/>
      <c r="I4" s="409"/>
      <c r="J4" s="205">
        <f>SUM(J5:J14)</f>
        <v>4216644.8622570243</v>
      </c>
    </row>
    <row r="5" spans="2:11" x14ac:dyDescent="0.25">
      <c r="B5" s="325">
        <v>1</v>
      </c>
      <c r="C5" s="326" t="s">
        <v>468</v>
      </c>
      <c r="D5" s="327" t="str">
        <f>'СМР врем. ТС (сталь) коммерция'!C5</f>
        <v>шт.</v>
      </c>
      <c r="E5" s="328">
        <f>'КП СМР+Мат'!D5</f>
        <v>22</v>
      </c>
      <c r="F5" s="328">
        <f>'КП СМР+Мат'!E5*1.2</f>
        <v>6939.4802399999999</v>
      </c>
      <c r="G5" s="328">
        <f>E5*F5</f>
        <v>152668.56528000001</v>
      </c>
      <c r="H5" s="328">
        <f>'КП СМР+Мат'!J5</f>
        <v>3760.4949999999999</v>
      </c>
      <c r="I5" s="328">
        <f>E5*H5</f>
        <v>82730.89</v>
      </c>
      <c r="J5" s="329">
        <f t="shared" ref="J5:J14" si="0">G5+I5</f>
        <v>235399.45527999999</v>
      </c>
    </row>
    <row r="6" spans="2:11" x14ac:dyDescent="0.25">
      <c r="B6" s="325">
        <v>2</v>
      </c>
      <c r="C6" s="326" t="s">
        <v>490</v>
      </c>
      <c r="D6" s="327" t="str">
        <f>'СМР врем. ТС (сталь) коммерция'!C6</f>
        <v xml:space="preserve">шт. </v>
      </c>
      <c r="E6" s="328">
        <f>'КП СМР+Мат'!D6</f>
        <v>12</v>
      </c>
      <c r="F6" s="328">
        <f>'КП СМР+Мат'!E6*1.2</f>
        <v>23532.949094399999</v>
      </c>
      <c r="G6" s="328">
        <f t="shared" ref="G6:G13" si="1">E6*F6</f>
        <v>282395.38913279999</v>
      </c>
      <c r="H6" s="328">
        <f>'КП СМР+Мат'!J6</f>
        <v>5096.04</v>
      </c>
      <c r="I6" s="328">
        <f t="shared" ref="I6:I13" si="2">E6*H6</f>
        <v>61152.479999999996</v>
      </c>
      <c r="J6" s="329">
        <f>G6+I6</f>
        <v>343547.86913279997</v>
      </c>
    </row>
    <row r="7" spans="2:11" x14ac:dyDescent="0.25">
      <c r="B7" s="325">
        <v>3</v>
      </c>
      <c r="C7" s="326" t="s">
        <v>484</v>
      </c>
      <c r="D7" s="327" t="str">
        <f>'СМР врем. ТС (сталь) коммерция'!C7</f>
        <v>м2</v>
      </c>
      <c r="E7" s="328">
        <f>'КП СМР+Мат'!D7</f>
        <v>40.81</v>
      </c>
      <c r="F7" s="328">
        <f>'КП СМР+Мат'!E7*1.2</f>
        <v>725.76737279999998</v>
      </c>
      <c r="G7" s="328">
        <f>E7*F7</f>
        <v>29618.566483967999</v>
      </c>
      <c r="H7" s="328">
        <f>'КП СМР+Мат'!J7</f>
        <v>500.22322960058807</v>
      </c>
      <c r="I7" s="328">
        <f t="shared" si="2"/>
        <v>20414.11</v>
      </c>
      <c r="J7" s="329">
        <f t="shared" si="0"/>
        <v>50032.676483967996</v>
      </c>
    </row>
    <row r="8" spans="2:11" ht="52.8" x14ac:dyDescent="0.25">
      <c r="B8" s="325">
        <v>4</v>
      </c>
      <c r="C8" s="326" t="s">
        <v>491</v>
      </c>
      <c r="D8" s="327" t="str">
        <f>'СМР врем. ТС (сталь) коммерция'!C8</f>
        <v>м</v>
      </c>
      <c r="E8" s="328">
        <f>'КП СМР+Мат'!D8</f>
        <v>480</v>
      </c>
      <c r="F8" s="328">
        <f>'КП СМР+Мат'!E8*1.2</f>
        <v>3944.3855328</v>
      </c>
      <c r="G8" s="328">
        <f t="shared" si="1"/>
        <v>1893305.055744</v>
      </c>
      <c r="H8" s="328">
        <f>'КП СМР+Мат'!J8</f>
        <v>2513.6412916666668</v>
      </c>
      <c r="I8" s="328">
        <f t="shared" si="2"/>
        <v>1206547.82</v>
      </c>
      <c r="J8" s="329">
        <f t="shared" si="0"/>
        <v>3099852.8757440001</v>
      </c>
    </row>
    <row r="9" spans="2:11" ht="39.6" x14ac:dyDescent="0.25">
      <c r="B9" s="325">
        <v>5</v>
      </c>
      <c r="C9" s="326" t="s">
        <v>492</v>
      </c>
      <c r="D9" s="327" t="str">
        <f>'СМР врем. ТС (сталь) коммерция'!C9</f>
        <v>стык</v>
      </c>
      <c r="E9" s="328">
        <f>'КП СМР+Мат'!D9</f>
        <v>60</v>
      </c>
      <c r="F9" s="328">
        <f>'КП СМР+Мат'!E9*1.2</f>
        <v>1195.6032</v>
      </c>
      <c r="G9" s="328">
        <f t="shared" si="1"/>
        <v>71736.191999999995</v>
      </c>
      <c r="H9" s="328">
        <f>'КП СМР+Мат'!J9</f>
        <v>0</v>
      </c>
      <c r="I9" s="328">
        <f t="shared" si="2"/>
        <v>0</v>
      </c>
      <c r="J9" s="329">
        <f t="shared" si="0"/>
        <v>71736.191999999995</v>
      </c>
    </row>
    <row r="10" spans="2:11" ht="26.4" x14ac:dyDescent="0.25">
      <c r="B10" s="325">
        <v>6</v>
      </c>
      <c r="C10" s="326" t="s">
        <v>476</v>
      </c>
      <c r="D10" s="327" t="str">
        <f>'СМР врем. ТС (сталь) коммерция'!C10</f>
        <v>м3/ шт.</v>
      </c>
      <c r="E10" s="328" t="str">
        <f>'КП СМР+Мат'!D10</f>
        <v>1,512/ 14</v>
      </c>
      <c r="F10" s="328">
        <f>'КП СМР+Мат'!E10*1.2</f>
        <v>57430.890288000002</v>
      </c>
      <c r="G10" s="328">
        <f>F10*1.512</f>
        <v>86835.50611545601</v>
      </c>
      <c r="H10" s="328">
        <f>'КП СМР+Мат'!J10</f>
        <v>62592.017195767199</v>
      </c>
      <c r="I10" s="328">
        <f>H10*1.512</f>
        <v>94639.13</v>
      </c>
      <c r="J10" s="329">
        <f t="shared" si="0"/>
        <v>181474.636115456</v>
      </c>
    </row>
    <row r="11" spans="2:11" ht="26.4" x14ac:dyDescent="0.25">
      <c r="B11" s="325">
        <v>7</v>
      </c>
      <c r="C11" s="326" t="s">
        <v>470</v>
      </c>
      <c r="D11" s="327" t="str">
        <f>'СМР врем. ТС (сталь) коммерция'!C11</f>
        <v>шт.</v>
      </c>
      <c r="E11" s="328">
        <f>'КП СМР+Мат'!D11</f>
        <v>6</v>
      </c>
      <c r="F11" s="328">
        <f>'КП СМР+Мат'!E11*1.2</f>
        <v>3875.2398143999994</v>
      </c>
      <c r="G11" s="328">
        <f t="shared" si="1"/>
        <v>23251.438886399996</v>
      </c>
      <c r="H11" s="328">
        <f>'КП СМР+Мат'!J11</f>
        <v>671.51666666666665</v>
      </c>
      <c r="I11" s="328">
        <f t="shared" si="2"/>
        <v>4029.1</v>
      </c>
      <c r="J11" s="329">
        <f t="shared" si="0"/>
        <v>27280.538886399994</v>
      </c>
    </row>
    <row r="12" spans="2:11" ht="26.4" x14ac:dyDescent="0.25">
      <c r="B12" s="325">
        <v>8</v>
      </c>
      <c r="C12" s="326" t="s">
        <v>494</v>
      </c>
      <c r="D12" s="327" t="str">
        <f>'СМР врем. ТС (сталь) коммерция'!C12</f>
        <v>шт.</v>
      </c>
      <c r="E12" s="328">
        <f>'КП СМР+Мат'!D12</f>
        <v>4</v>
      </c>
      <c r="F12" s="328">
        <f>'КП СМР+Мат'!E12*1.2</f>
        <v>4592.9821535999999</v>
      </c>
      <c r="G12" s="328">
        <f t="shared" si="1"/>
        <v>18371.9286144</v>
      </c>
      <c r="H12" s="328">
        <f>'КП СМР+Мат'!J12</f>
        <v>8289.4925000000003</v>
      </c>
      <c r="I12" s="328">
        <f t="shared" si="2"/>
        <v>33157.97</v>
      </c>
      <c r="J12" s="329">
        <f t="shared" si="0"/>
        <v>51529.898614400001</v>
      </c>
    </row>
    <row r="13" spans="2:11" x14ac:dyDescent="0.25">
      <c r="B13" s="325">
        <v>9</v>
      </c>
      <c r="C13" s="326" t="s">
        <v>473</v>
      </c>
      <c r="D13" s="327" t="str">
        <f>'СМР врем. ТС (сталь) коммерция'!C13</f>
        <v>шт.</v>
      </c>
      <c r="E13" s="328">
        <f>'КП СМР+Мат'!D13</f>
        <v>2</v>
      </c>
      <c r="F13" s="328">
        <f>'КП СМР+Мат'!E13*1.2</f>
        <v>32607.359999999997</v>
      </c>
      <c r="G13" s="328">
        <f t="shared" si="1"/>
        <v>65214.719999999994</v>
      </c>
      <c r="H13" s="328">
        <f>'КП СМР+Мат'!J13</f>
        <v>0</v>
      </c>
      <c r="I13" s="328">
        <f t="shared" si="2"/>
        <v>0</v>
      </c>
      <c r="J13" s="329">
        <f t="shared" si="0"/>
        <v>65214.719999999994</v>
      </c>
    </row>
    <row r="14" spans="2:11" ht="39.6" x14ac:dyDescent="0.25">
      <c r="B14" s="325">
        <v>10</v>
      </c>
      <c r="C14" s="326" t="s">
        <v>495</v>
      </c>
      <c r="D14" s="327" t="str">
        <f>'СМР врем. ТС (сталь) коммерция'!C14</f>
        <v>узел/ м</v>
      </c>
      <c r="E14" s="328" t="str">
        <f>'КП СМР+Мат'!D14</f>
        <v>1/ 480</v>
      </c>
      <c r="F14" s="328">
        <f>'КП СМР+Мат'!E14*1.2</f>
        <v>90576</v>
      </c>
      <c r="G14" s="328">
        <f>1*F14</f>
        <v>90576</v>
      </c>
      <c r="H14" s="328">
        <f>'КП СМР+Мат'!J14</f>
        <v>0</v>
      </c>
      <c r="I14" s="328">
        <f>1*H14</f>
        <v>0</v>
      </c>
      <c r="J14" s="329">
        <f t="shared" si="0"/>
        <v>90576</v>
      </c>
      <c r="K14" s="203" t="s">
        <v>510</v>
      </c>
    </row>
    <row r="15" spans="2:11" ht="13.8" thickBot="1" x14ac:dyDescent="0.3">
      <c r="B15" s="206"/>
      <c r="C15" s="410" t="s">
        <v>508</v>
      </c>
      <c r="D15" s="410"/>
      <c r="E15" s="410"/>
      <c r="F15" s="410"/>
      <c r="G15" s="410"/>
      <c r="H15" s="410"/>
      <c r="I15" s="410"/>
      <c r="J15" s="207">
        <f>J4</f>
        <v>4216644.8622570243</v>
      </c>
      <c r="K15" s="207">
        <f>'ТС - ЛСР'!N233</f>
        <v>3693470.54</v>
      </c>
    </row>
    <row r="17" spans="2:11" ht="13.8" thickBot="1" x14ac:dyDescent="0.3">
      <c r="C17" s="353" t="s">
        <v>733</v>
      </c>
    </row>
    <row r="18" spans="2:11" ht="32.25" customHeight="1" x14ac:dyDescent="0.25">
      <c r="B18" s="411" t="s">
        <v>187</v>
      </c>
      <c r="C18" s="413" t="s">
        <v>501</v>
      </c>
      <c r="D18" s="415" t="s">
        <v>217</v>
      </c>
      <c r="E18" s="417" t="s">
        <v>189</v>
      </c>
      <c r="F18" s="419"/>
      <c r="G18" s="419"/>
      <c r="H18" s="419"/>
      <c r="I18" s="419"/>
      <c r="J18" s="406"/>
    </row>
    <row r="19" spans="2:11" x14ac:dyDescent="0.25">
      <c r="B19" s="412"/>
      <c r="C19" s="414"/>
      <c r="D19" s="416"/>
      <c r="E19" s="418"/>
      <c r="F19" s="346"/>
      <c r="G19" s="346"/>
      <c r="H19" s="346"/>
      <c r="I19" s="346"/>
      <c r="J19" s="407"/>
    </row>
    <row r="20" spans="2:11" x14ac:dyDescent="0.25">
      <c r="B20" s="408" t="s">
        <v>466</v>
      </c>
      <c r="C20" s="409"/>
      <c r="D20" s="409"/>
      <c r="E20" s="409"/>
      <c r="F20" s="409"/>
      <c r="G20" s="409"/>
      <c r="H20" s="409"/>
      <c r="I20" s="409"/>
      <c r="J20" s="205">
        <f>SUM(J23:J33)</f>
        <v>0</v>
      </c>
    </row>
    <row r="21" spans="2:11" ht="58.5" customHeight="1" x14ac:dyDescent="0.25">
      <c r="B21" s="344"/>
      <c r="C21" s="326" t="s">
        <v>741</v>
      </c>
      <c r="D21" s="357" t="s">
        <v>178</v>
      </c>
      <c r="E21" s="358" t="s">
        <v>743</v>
      </c>
      <c r="F21" s="357">
        <v>12</v>
      </c>
      <c r="G21" s="345"/>
      <c r="H21" s="345"/>
      <c r="I21" s="345"/>
      <c r="J21" s="205"/>
    </row>
    <row r="22" spans="2:11" x14ac:dyDescent="0.25">
      <c r="B22" s="344"/>
      <c r="C22" s="326" t="s">
        <v>742</v>
      </c>
      <c r="D22" s="357"/>
      <c r="E22" s="356"/>
      <c r="F22" s="345"/>
      <c r="G22" s="345"/>
      <c r="H22" s="345"/>
      <c r="I22" s="345"/>
      <c r="J22" s="205"/>
    </row>
    <row r="23" spans="2:11" ht="35.25" customHeight="1" x14ac:dyDescent="0.25">
      <c r="B23" s="325">
        <v>1</v>
      </c>
      <c r="C23" s="326" t="s">
        <v>746</v>
      </c>
      <c r="D23" s="327" t="s">
        <v>181</v>
      </c>
      <c r="E23" s="355">
        <f>1.2*1.2*1.8*12*0.9</f>
        <v>27.993600000000001</v>
      </c>
      <c r="F23" s="328" t="s">
        <v>757</v>
      </c>
      <c r="G23" s="328"/>
      <c r="H23" s="328"/>
      <c r="I23" s="328"/>
      <c r="J23" s="329"/>
    </row>
    <row r="24" spans="2:11" ht="35.25" customHeight="1" x14ac:dyDescent="0.25">
      <c r="B24" s="325">
        <v>1</v>
      </c>
      <c r="C24" s="326" t="s">
        <v>747</v>
      </c>
      <c r="D24" s="327" t="s">
        <v>181</v>
      </c>
      <c r="E24" s="355">
        <f>1.2*1.2*1.8*12*0.1</f>
        <v>3.1104000000000003</v>
      </c>
      <c r="F24" s="361" t="s">
        <v>756</v>
      </c>
      <c r="G24" s="328"/>
      <c r="H24" s="328"/>
      <c r="I24" s="328"/>
      <c r="J24" s="329"/>
    </row>
    <row r="25" spans="2:11" ht="49.2" customHeight="1" x14ac:dyDescent="0.25">
      <c r="B25" s="325">
        <v>2</v>
      </c>
      <c r="C25" s="326" t="s">
        <v>748</v>
      </c>
      <c r="D25" s="327" t="s">
        <v>181</v>
      </c>
      <c r="E25" s="355">
        <f>(E24+E23)*1.6</f>
        <v>49.766400000000004</v>
      </c>
      <c r="F25" s="362" t="s">
        <v>758</v>
      </c>
      <c r="G25" s="328"/>
      <c r="H25" s="328"/>
      <c r="I25" s="328"/>
      <c r="J25" s="329"/>
    </row>
    <row r="26" spans="2:11" ht="27.75" customHeight="1" x14ac:dyDescent="0.25">
      <c r="B26" s="325">
        <v>3</v>
      </c>
      <c r="C26" s="326" t="s">
        <v>734</v>
      </c>
      <c r="D26" s="327" t="s">
        <v>181</v>
      </c>
      <c r="E26" s="355">
        <f>E23+E24-(0.4*0.4*0.8*12)</f>
        <v>29.567999999999998</v>
      </c>
      <c r="F26" s="328" t="s">
        <v>759</v>
      </c>
      <c r="G26" s="328"/>
      <c r="H26" s="328"/>
      <c r="I26" s="328"/>
      <c r="J26" s="329"/>
    </row>
    <row r="27" spans="2:11" ht="42" customHeight="1" x14ac:dyDescent="0.25">
      <c r="B27" s="325">
        <v>4</v>
      </c>
      <c r="C27" s="326" t="s">
        <v>744</v>
      </c>
      <c r="D27" s="327" t="s">
        <v>181</v>
      </c>
      <c r="E27" s="328">
        <f>(0.4*0.4*2.2)*12</f>
        <v>4.2240000000000011</v>
      </c>
      <c r="F27" s="328" t="s">
        <v>765</v>
      </c>
      <c r="G27" s="328"/>
      <c r="H27" s="328"/>
      <c r="I27" s="328"/>
      <c r="J27" s="329"/>
    </row>
    <row r="28" spans="2:11" ht="20.25" customHeight="1" x14ac:dyDescent="0.25">
      <c r="B28" s="325">
        <v>5</v>
      </c>
      <c r="C28" s="326" t="s">
        <v>736</v>
      </c>
      <c r="D28" s="327" t="s">
        <v>181</v>
      </c>
      <c r="E28" s="328">
        <f>E27</f>
        <v>4.2240000000000011</v>
      </c>
      <c r="F28" s="328"/>
      <c r="G28" s="328"/>
      <c r="H28" s="328"/>
      <c r="I28" s="328"/>
      <c r="J28" s="329"/>
    </row>
    <row r="29" spans="2:11" ht="20.25" customHeight="1" x14ac:dyDescent="0.25">
      <c r="B29" s="325">
        <v>6</v>
      </c>
      <c r="C29" s="326" t="s">
        <v>735</v>
      </c>
      <c r="D29" s="327"/>
      <c r="E29" s="328" t="s">
        <v>760</v>
      </c>
      <c r="F29" s="328"/>
      <c r="G29" s="328"/>
      <c r="H29" s="328"/>
      <c r="I29" s="328"/>
      <c r="J29" s="329"/>
    </row>
    <row r="30" spans="2:11" ht="26.25" customHeight="1" x14ac:dyDescent="0.25">
      <c r="B30" s="325">
        <v>7</v>
      </c>
      <c r="C30" s="326" t="s">
        <v>754</v>
      </c>
      <c r="D30" s="327"/>
      <c r="E30" s="328" t="s">
        <v>761</v>
      </c>
      <c r="F30" s="328"/>
      <c r="G30" s="328"/>
      <c r="H30" s="328"/>
      <c r="I30" s="328"/>
      <c r="J30" s="329"/>
      <c r="K30" s="200" t="s">
        <v>755</v>
      </c>
    </row>
    <row r="31" spans="2:11" ht="27.75" customHeight="1" x14ac:dyDescent="0.25">
      <c r="B31" s="363">
        <v>8</v>
      </c>
      <c r="C31" s="360" t="s">
        <v>752</v>
      </c>
      <c r="D31" s="364" t="s">
        <v>178</v>
      </c>
      <c r="E31" s="365">
        <v>3</v>
      </c>
      <c r="F31" s="365" t="s">
        <v>762</v>
      </c>
      <c r="G31" s="328"/>
      <c r="H31" s="328"/>
      <c r="I31" s="328"/>
      <c r="J31" s="329"/>
      <c r="K31" s="200" t="s">
        <v>749</v>
      </c>
    </row>
    <row r="32" spans="2:11" ht="20.25" customHeight="1" x14ac:dyDescent="0.25">
      <c r="B32" s="363">
        <v>9</v>
      </c>
      <c r="C32" s="360" t="s">
        <v>737</v>
      </c>
      <c r="D32" s="364" t="s">
        <v>178</v>
      </c>
      <c r="E32" s="365">
        <v>3</v>
      </c>
      <c r="F32" s="365" t="s">
        <v>762</v>
      </c>
      <c r="G32" s="328"/>
      <c r="H32" s="328"/>
      <c r="I32" s="328"/>
      <c r="J32" s="329"/>
      <c r="K32" s="200" t="s">
        <v>750</v>
      </c>
    </row>
    <row r="33" spans="2:11" ht="20.25" customHeight="1" x14ac:dyDescent="0.25">
      <c r="B33" s="325">
        <v>10</v>
      </c>
      <c r="C33" s="326" t="s">
        <v>738</v>
      </c>
      <c r="D33" s="327" t="s">
        <v>234</v>
      </c>
      <c r="E33" s="328">
        <f>E7</f>
        <v>40.81</v>
      </c>
      <c r="F33" s="328"/>
      <c r="G33" s="328"/>
      <c r="H33" s="328"/>
      <c r="I33" s="328"/>
      <c r="J33" s="329"/>
      <c r="K33" s="200" t="s">
        <v>751</v>
      </c>
    </row>
    <row r="34" spans="2:11" ht="28.5" customHeight="1" x14ac:dyDescent="0.25">
      <c r="B34" s="327"/>
      <c r="C34" s="326" t="s">
        <v>753</v>
      </c>
      <c r="D34" s="327"/>
      <c r="E34" s="328"/>
      <c r="F34" s="365" t="s">
        <v>763</v>
      </c>
      <c r="G34" s="359"/>
      <c r="H34" s="359"/>
      <c r="I34" s="359"/>
      <c r="J34" s="359"/>
    </row>
    <row r="35" spans="2:11" ht="20.25" customHeight="1" x14ac:dyDescent="0.25">
      <c r="B35" s="327"/>
      <c r="C35" s="326" t="s">
        <v>745</v>
      </c>
      <c r="D35" s="327"/>
      <c r="E35" s="328"/>
      <c r="F35" s="365" t="s">
        <v>762</v>
      </c>
      <c r="G35" s="359"/>
      <c r="H35" s="359"/>
      <c r="I35" s="359"/>
      <c r="J35" s="359"/>
      <c r="K35" s="203"/>
    </row>
    <row r="36" spans="2:11" ht="26.4" x14ac:dyDescent="0.25">
      <c r="B36" s="366"/>
      <c r="C36" s="367" t="s">
        <v>740</v>
      </c>
      <c r="D36" s="366"/>
      <c r="E36" s="366"/>
      <c r="F36" s="368" t="s">
        <v>764</v>
      </c>
    </row>
  </sheetData>
  <mergeCells count="17">
    <mergeCell ref="H18:I18"/>
    <mergeCell ref="J18:J19"/>
    <mergeCell ref="B20:I20"/>
    <mergeCell ref="B18:B19"/>
    <mergeCell ref="C18:C19"/>
    <mergeCell ref="D18:D19"/>
    <mergeCell ref="E18:E19"/>
    <mergeCell ref="F18:G18"/>
    <mergeCell ref="J2:J3"/>
    <mergeCell ref="B4:I4"/>
    <mergeCell ref="C15:I15"/>
    <mergeCell ref="B2:B3"/>
    <mergeCell ref="C2:C3"/>
    <mergeCell ref="D2:D3"/>
    <mergeCell ref="E2:E3"/>
    <mergeCell ref="F2:G2"/>
    <mergeCell ref="H2:I2"/>
  </mergeCell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9634C-7432-4B85-82D1-866D44C22232}">
  <sheetPr>
    <tabColor rgb="FFFFFF00"/>
  </sheetPr>
  <dimension ref="E1:J23"/>
  <sheetViews>
    <sheetView zoomScale="130" zoomScaleNormal="130" workbookViewId="0">
      <selection activeCell="G15" sqref="G15"/>
    </sheetView>
  </sheetViews>
  <sheetFormatPr defaultRowHeight="14.4" x14ac:dyDescent="0.3"/>
  <cols>
    <col min="6" max="6" width="69" customWidth="1"/>
    <col min="7" max="7" width="38" customWidth="1"/>
  </cols>
  <sheetData>
    <row r="1" spans="5:7" x14ac:dyDescent="0.3">
      <c r="F1" s="347" t="s">
        <v>720</v>
      </c>
      <c r="G1" s="347"/>
    </row>
    <row r="2" spans="5:7" x14ac:dyDescent="0.3">
      <c r="E2" s="348">
        <v>1</v>
      </c>
      <c r="F2" s="349" t="s">
        <v>711</v>
      </c>
      <c r="G2" s="349" t="s">
        <v>721</v>
      </c>
    </row>
    <row r="3" spans="5:7" x14ac:dyDescent="0.3">
      <c r="E3" s="348">
        <v>2</v>
      </c>
      <c r="F3" s="349" t="s">
        <v>712</v>
      </c>
      <c r="G3" s="349" t="s">
        <v>721</v>
      </c>
    </row>
    <row r="4" spans="5:7" x14ac:dyDescent="0.3">
      <c r="E4" s="348">
        <v>3</v>
      </c>
      <c r="F4" s="349" t="s">
        <v>718</v>
      </c>
      <c r="G4" s="349" t="s">
        <v>724</v>
      </c>
    </row>
    <row r="5" spans="5:7" x14ac:dyDescent="0.3">
      <c r="E5" s="348">
        <v>4</v>
      </c>
      <c r="F5" s="349" t="s">
        <v>713</v>
      </c>
      <c r="G5" s="349"/>
    </row>
    <row r="6" spans="5:7" x14ac:dyDescent="0.3">
      <c r="E6" s="348">
        <v>5</v>
      </c>
      <c r="F6" s="349" t="s">
        <v>723</v>
      </c>
      <c r="G6" s="350"/>
    </row>
    <row r="7" spans="5:7" x14ac:dyDescent="0.3">
      <c r="E7" s="348">
        <v>6</v>
      </c>
      <c r="F7" s="349" t="s">
        <v>714</v>
      </c>
      <c r="G7" s="349"/>
    </row>
    <row r="8" spans="5:7" x14ac:dyDescent="0.3">
      <c r="E8" s="348">
        <v>7</v>
      </c>
      <c r="F8" s="349" t="s">
        <v>715</v>
      </c>
      <c r="G8" s="349"/>
    </row>
    <row r="9" spans="5:7" x14ac:dyDescent="0.3">
      <c r="E9" s="348">
        <v>8</v>
      </c>
      <c r="F9" s="349" t="s">
        <v>716</v>
      </c>
      <c r="G9" s="349" t="s">
        <v>722</v>
      </c>
    </row>
    <row r="10" spans="5:7" x14ac:dyDescent="0.3">
      <c r="E10" s="348">
        <v>9</v>
      </c>
      <c r="F10" s="349" t="s">
        <v>717</v>
      </c>
      <c r="G10" s="349"/>
    </row>
    <row r="11" spans="5:7" x14ac:dyDescent="0.3">
      <c r="E11" s="348">
        <v>10</v>
      </c>
      <c r="F11" s="349" t="s">
        <v>719</v>
      </c>
      <c r="G11" s="349"/>
    </row>
    <row r="14" spans="5:7" ht="28.8" x14ac:dyDescent="0.3">
      <c r="E14" s="354">
        <v>1</v>
      </c>
      <c r="F14" s="46" t="s">
        <v>729</v>
      </c>
    </row>
    <row r="15" spans="5:7" ht="28.8" x14ac:dyDescent="0.3">
      <c r="E15" s="354">
        <v>2</v>
      </c>
      <c r="F15" s="46" t="s">
        <v>726</v>
      </c>
    </row>
    <row r="16" spans="5:7" x14ac:dyDescent="0.3">
      <c r="E16" s="354">
        <v>3</v>
      </c>
      <c r="F16" s="46" t="s">
        <v>725</v>
      </c>
    </row>
    <row r="17" spans="5:10" x14ac:dyDescent="0.3">
      <c r="E17" s="354">
        <v>4</v>
      </c>
      <c r="F17" s="46" t="s">
        <v>731</v>
      </c>
    </row>
    <row r="18" spans="5:10" x14ac:dyDescent="0.3">
      <c r="E18" s="354">
        <v>5</v>
      </c>
      <c r="F18" s="46" t="s">
        <v>727</v>
      </c>
    </row>
    <row r="19" spans="5:10" x14ac:dyDescent="0.3">
      <c r="E19" s="354">
        <v>6</v>
      </c>
      <c r="F19" s="46" t="s">
        <v>728</v>
      </c>
    </row>
    <row r="20" spans="5:10" x14ac:dyDescent="0.3">
      <c r="E20" s="354">
        <v>7</v>
      </c>
      <c r="F20" s="46" t="s">
        <v>730</v>
      </c>
      <c r="G20" t="s">
        <v>739</v>
      </c>
    </row>
    <row r="21" spans="5:10" ht="28.8" x14ac:dyDescent="0.3">
      <c r="E21" s="351"/>
      <c r="F21" s="352" t="s">
        <v>732</v>
      </c>
    </row>
    <row r="22" spans="5:10" x14ac:dyDescent="0.3">
      <c r="J22">
        <f>12*3</f>
        <v>36</v>
      </c>
    </row>
    <row r="23" spans="5:10" x14ac:dyDescent="0.3">
      <c r="J23">
        <f>1.8*12</f>
        <v>21.6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DEDB2-A3B8-48B4-812E-E79B5DF39484}">
  <sheetPr>
    <tabColor rgb="FF00B050"/>
    <pageSetUpPr fitToPage="1"/>
  </sheetPr>
  <dimension ref="A1:AY409"/>
  <sheetViews>
    <sheetView tabSelected="1" topLeftCell="A370" workbookViewId="0">
      <selection activeCell="C387" sqref="C387:K387"/>
    </sheetView>
  </sheetViews>
  <sheetFormatPr defaultColWidth="9.109375" defaultRowHeight="11.25" customHeight="1" x14ac:dyDescent="0.2"/>
  <cols>
    <col min="1" max="1" width="9.109375" style="225" customWidth="1"/>
    <col min="2" max="2" width="20.109375" style="324" customWidth="1"/>
    <col min="3" max="3" width="13.44140625" style="324" customWidth="1"/>
    <col min="4" max="4" width="12.88671875" style="324" customWidth="1"/>
    <col min="5" max="5" width="13.33203125" style="324" customWidth="1"/>
    <col min="6" max="6" width="8.5546875" style="324" customWidth="1"/>
    <col min="7" max="7" width="10.5546875" style="324" customWidth="1"/>
    <col min="8" max="8" width="8.44140625" style="324" customWidth="1"/>
    <col min="9" max="9" width="13" style="324" customWidth="1"/>
    <col min="10" max="10" width="12.44140625" style="324" customWidth="1"/>
    <col min="11" max="11" width="8.5546875" style="324" customWidth="1"/>
    <col min="12" max="12" width="12.88671875" style="324" customWidth="1"/>
    <col min="13" max="13" width="7.44140625" style="324" customWidth="1"/>
    <col min="14" max="14" width="13.44140625" style="324" customWidth="1"/>
    <col min="15" max="15" width="14.5546875" style="324" hidden="1" customWidth="1"/>
    <col min="16" max="16" width="78.33203125" style="324" hidden="1" customWidth="1"/>
    <col min="17" max="17" width="73.6640625" style="324" hidden="1" customWidth="1"/>
    <col min="18" max="21" width="9.109375" style="324"/>
    <col min="22" max="27" width="86.6640625" style="258" hidden="1" customWidth="1"/>
    <col min="28" max="30" width="164.109375" style="258" hidden="1" customWidth="1"/>
    <col min="31" max="31" width="34.6640625" style="258" hidden="1" customWidth="1"/>
    <col min="32" max="33" width="164.109375" style="258" hidden="1" customWidth="1"/>
    <col min="34" max="34" width="39.5546875" style="258" hidden="1" customWidth="1"/>
    <col min="35" max="36" width="134.88671875" style="258" hidden="1" customWidth="1"/>
    <col min="37" max="40" width="39.5546875" style="258" hidden="1" customWidth="1"/>
    <col min="41" max="42" width="134.88671875" style="258" hidden="1" customWidth="1"/>
    <col min="43" max="47" width="101.109375" style="258" hidden="1" customWidth="1"/>
    <col min="48" max="48" width="58.6640625" style="258" hidden="1" customWidth="1"/>
    <col min="49" max="49" width="55.33203125" style="258" hidden="1" customWidth="1"/>
    <col min="50" max="50" width="58.6640625" style="258" hidden="1" customWidth="1"/>
    <col min="51" max="51" width="55.33203125" style="258" hidden="1" customWidth="1"/>
    <col min="52" max="16384" width="9.109375" style="324"/>
  </cols>
  <sheetData>
    <row r="1" spans="1:29" s="210" customFormat="1" ht="14.4" x14ac:dyDescent="0.3">
      <c r="N1" s="211" t="s">
        <v>511</v>
      </c>
    </row>
    <row r="2" spans="1:29" s="210" customFormat="1" ht="11.25" customHeight="1" x14ac:dyDescent="0.3">
      <c r="A2" s="212"/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3" t="s">
        <v>512</v>
      </c>
    </row>
    <row r="3" spans="1:29" s="210" customFormat="1" ht="6.75" customHeight="1" x14ac:dyDescent="0.3">
      <c r="A3" s="212"/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1"/>
    </row>
    <row r="4" spans="1:29" s="210" customFormat="1" ht="2.25" customHeight="1" x14ac:dyDescent="0.3">
      <c r="A4" s="375"/>
      <c r="B4" s="215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</row>
    <row r="5" spans="1:29" s="210" customFormat="1" ht="11.25" customHeight="1" x14ac:dyDescent="0.3">
      <c r="A5" s="375" t="s">
        <v>513</v>
      </c>
      <c r="B5" s="215"/>
      <c r="C5" s="212"/>
      <c r="E5" s="212"/>
      <c r="F5" s="212"/>
      <c r="G5" s="420" t="s">
        <v>514</v>
      </c>
      <c r="H5" s="420"/>
      <c r="I5" s="420"/>
      <c r="J5" s="420"/>
      <c r="K5" s="420"/>
      <c r="L5" s="420"/>
      <c r="M5" s="420"/>
      <c r="N5" s="420"/>
    </row>
    <row r="6" spans="1:29" s="210" customFormat="1" ht="56.25" customHeight="1" x14ac:dyDescent="0.3">
      <c r="A6" s="375" t="s">
        <v>515</v>
      </c>
      <c r="B6" s="215"/>
      <c r="C6" s="212"/>
      <c r="E6" s="216"/>
      <c r="F6" s="216"/>
      <c r="G6" s="421" t="s">
        <v>516</v>
      </c>
      <c r="H6" s="421"/>
      <c r="I6" s="421"/>
      <c r="J6" s="421"/>
      <c r="K6" s="421"/>
      <c r="L6" s="421"/>
      <c r="M6" s="421"/>
      <c r="N6" s="421"/>
      <c r="V6" s="217" t="s">
        <v>516</v>
      </c>
    </row>
    <row r="7" spans="1:29" s="210" customFormat="1" ht="45" customHeight="1" x14ac:dyDescent="0.3">
      <c r="A7" s="422" t="s">
        <v>517</v>
      </c>
      <c r="B7" s="422"/>
      <c r="C7" s="422"/>
      <c r="D7" s="422"/>
      <c r="E7" s="422"/>
      <c r="F7" s="422"/>
      <c r="G7" s="421" t="s">
        <v>518</v>
      </c>
      <c r="H7" s="421"/>
      <c r="I7" s="421"/>
      <c r="J7" s="421"/>
      <c r="K7" s="421"/>
      <c r="L7" s="421"/>
      <c r="M7" s="421"/>
      <c r="N7" s="421"/>
      <c r="P7" s="218" t="s">
        <v>517</v>
      </c>
      <c r="Q7" s="218" t="s">
        <v>518</v>
      </c>
      <c r="R7" s="219"/>
      <c r="S7" s="219"/>
      <c r="T7" s="219"/>
      <c r="U7" s="219"/>
      <c r="W7" s="217" t="s">
        <v>518</v>
      </c>
    </row>
    <row r="8" spans="1:29" s="210" customFormat="1" ht="67.5" customHeight="1" x14ac:dyDescent="0.3">
      <c r="A8" s="423" t="s">
        <v>519</v>
      </c>
      <c r="B8" s="423"/>
      <c r="C8" s="423"/>
      <c r="D8" s="423"/>
      <c r="E8" s="423"/>
      <c r="F8" s="423"/>
      <c r="G8" s="421"/>
      <c r="H8" s="421"/>
      <c r="I8" s="421"/>
      <c r="J8" s="421"/>
      <c r="K8" s="421"/>
      <c r="L8" s="421"/>
      <c r="M8" s="421"/>
      <c r="N8" s="421"/>
      <c r="P8" s="218" t="s">
        <v>520</v>
      </c>
      <c r="Q8" s="218"/>
      <c r="R8" s="219"/>
      <c r="S8" s="219"/>
      <c r="T8" s="219"/>
      <c r="U8" s="219"/>
      <c r="X8" s="217" t="s">
        <v>521</v>
      </c>
    </row>
    <row r="9" spans="1:29" s="210" customFormat="1" ht="33.75" customHeight="1" x14ac:dyDescent="0.3">
      <c r="A9" s="422" t="s">
        <v>522</v>
      </c>
      <c r="B9" s="422"/>
      <c r="C9" s="422"/>
      <c r="D9" s="422"/>
      <c r="E9" s="422"/>
      <c r="F9" s="422"/>
      <c r="G9" s="421"/>
      <c r="H9" s="421"/>
      <c r="I9" s="421"/>
      <c r="J9" s="421"/>
      <c r="K9" s="421"/>
      <c r="L9" s="421"/>
      <c r="M9" s="421"/>
      <c r="N9" s="421"/>
      <c r="P9" s="218" t="s">
        <v>522</v>
      </c>
      <c r="Q9" s="218"/>
      <c r="R9" s="219"/>
      <c r="S9" s="219"/>
      <c r="T9" s="219"/>
      <c r="U9" s="219"/>
      <c r="Y9" s="217" t="s">
        <v>521</v>
      </c>
    </row>
    <row r="10" spans="1:29" s="210" customFormat="1" ht="11.25" customHeight="1" x14ac:dyDescent="0.3">
      <c r="A10" s="428" t="s">
        <v>523</v>
      </c>
      <c r="B10" s="428"/>
      <c r="C10" s="428"/>
      <c r="D10" s="428"/>
      <c r="E10" s="428"/>
      <c r="F10" s="428"/>
      <c r="G10" s="421" t="s">
        <v>524</v>
      </c>
      <c r="H10" s="421"/>
      <c r="I10" s="421"/>
      <c r="J10" s="421"/>
      <c r="K10" s="421"/>
      <c r="L10" s="421"/>
      <c r="M10" s="421"/>
      <c r="N10" s="421"/>
      <c r="Z10" s="217" t="s">
        <v>524</v>
      </c>
    </row>
    <row r="11" spans="1:29" s="210" customFormat="1" ht="14.4" x14ac:dyDescent="0.3">
      <c r="A11" s="428" t="s">
        <v>525</v>
      </c>
      <c r="B11" s="428"/>
      <c r="C11" s="428"/>
      <c r="D11" s="428"/>
      <c r="E11" s="428"/>
      <c r="F11" s="428"/>
      <c r="G11" s="421"/>
      <c r="H11" s="421"/>
      <c r="I11" s="421"/>
      <c r="J11" s="421"/>
      <c r="K11" s="421"/>
      <c r="L11" s="421"/>
      <c r="M11" s="421"/>
      <c r="N11" s="421"/>
      <c r="AA11" s="217" t="s">
        <v>521</v>
      </c>
    </row>
    <row r="12" spans="1:29" s="210" customFormat="1" ht="3.75" customHeight="1" x14ac:dyDescent="0.3">
      <c r="A12" s="221"/>
      <c r="B12" s="212"/>
      <c r="C12" s="212"/>
      <c r="D12" s="212"/>
      <c r="E12" s="212"/>
      <c r="F12" s="215"/>
      <c r="G12" s="215"/>
      <c r="H12" s="215"/>
      <c r="I12" s="215"/>
      <c r="J12" s="215"/>
      <c r="K12" s="215"/>
      <c r="L12" s="215"/>
      <c r="M12" s="215"/>
      <c r="N12" s="215"/>
    </row>
    <row r="13" spans="1:29" s="210" customFormat="1" ht="14.4" x14ac:dyDescent="0.3">
      <c r="A13" s="482" t="s">
        <v>526</v>
      </c>
      <c r="B13" s="482"/>
      <c r="C13" s="482"/>
      <c r="D13" s="482"/>
      <c r="E13" s="482"/>
      <c r="F13" s="482"/>
      <c r="G13" s="482"/>
      <c r="H13" s="482"/>
      <c r="I13" s="482"/>
      <c r="J13" s="482"/>
      <c r="K13" s="482"/>
      <c r="L13" s="482"/>
      <c r="M13" s="482"/>
      <c r="N13" s="482"/>
      <c r="AB13" s="217" t="s">
        <v>526</v>
      </c>
    </row>
    <row r="14" spans="1:29" s="210" customFormat="1" ht="14.4" x14ac:dyDescent="0.3">
      <c r="A14" s="425" t="s">
        <v>527</v>
      </c>
      <c r="B14" s="425"/>
      <c r="C14" s="425"/>
      <c r="D14" s="425"/>
      <c r="E14" s="425"/>
      <c r="F14" s="425"/>
      <c r="G14" s="425"/>
      <c r="H14" s="425"/>
      <c r="I14" s="425"/>
      <c r="J14" s="425"/>
      <c r="K14" s="425"/>
      <c r="L14" s="425"/>
      <c r="M14" s="425"/>
      <c r="N14" s="425"/>
    </row>
    <row r="15" spans="1:29" s="210" customFormat="1" ht="5.25" customHeight="1" x14ac:dyDescent="0.3">
      <c r="A15" s="222"/>
      <c r="B15" s="222"/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</row>
    <row r="16" spans="1:29" s="210" customFormat="1" ht="14.4" x14ac:dyDescent="0.3">
      <c r="A16" s="424"/>
      <c r="B16" s="424"/>
      <c r="C16" s="424"/>
      <c r="D16" s="424"/>
      <c r="E16" s="424"/>
      <c r="F16" s="424"/>
      <c r="G16" s="424"/>
      <c r="H16" s="424"/>
      <c r="I16" s="424"/>
      <c r="J16" s="424"/>
      <c r="K16" s="424"/>
      <c r="L16" s="424"/>
      <c r="M16" s="424"/>
      <c r="N16" s="424"/>
      <c r="AC16" s="217" t="s">
        <v>521</v>
      </c>
    </row>
    <row r="17" spans="1:31" s="210" customFormat="1" ht="14.4" x14ac:dyDescent="0.3">
      <c r="A17" s="425" t="s">
        <v>528</v>
      </c>
      <c r="B17" s="425"/>
      <c r="C17" s="425"/>
      <c r="D17" s="425"/>
      <c r="E17" s="425"/>
      <c r="F17" s="425"/>
      <c r="G17" s="425"/>
      <c r="H17" s="425"/>
      <c r="I17" s="425"/>
      <c r="J17" s="425"/>
      <c r="K17" s="425"/>
      <c r="L17" s="425"/>
      <c r="M17" s="425"/>
      <c r="N17" s="425"/>
    </row>
    <row r="18" spans="1:31" s="210" customFormat="1" ht="21" customHeight="1" x14ac:dyDescent="0.3">
      <c r="A18" s="426" t="s">
        <v>698</v>
      </c>
      <c r="B18" s="426"/>
      <c r="C18" s="426"/>
      <c r="D18" s="426"/>
      <c r="E18" s="426"/>
      <c r="F18" s="426"/>
      <c r="G18" s="426"/>
      <c r="H18" s="426"/>
      <c r="I18" s="426"/>
      <c r="J18" s="426"/>
      <c r="K18" s="426"/>
      <c r="L18" s="426"/>
      <c r="M18" s="426"/>
      <c r="N18" s="426"/>
    </row>
    <row r="19" spans="1:31" s="210" customFormat="1" ht="3.75" customHeight="1" x14ac:dyDescent="0.3">
      <c r="A19" s="374"/>
      <c r="B19" s="374"/>
      <c r="C19" s="374"/>
      <c r="D19" s="374"/>
      <c r="E19" s="374"/>
      <c r="F19" s="374"/>
      <c r="G19" s="374"/>
      <c r="H19" s="374"/>
      <c r="I19" s="374"/>
      <c r="J19" s="374"/>
      <c r="K19" s="374"/>
      <c r="L19" s="374"/>
      <c r="M19" s="374"/>
      <c r="N19" s="374"/>
    </row>
    <row r="20" spans="1:31" s="210" customFormat="1" ht="14.4" x14ac:dyDescent="0.3">
      <c r="A20" s="427" t="s">
        <v>467</v>
      </c>
      <c r="B20" s="427"/>
      <c r="C20" s="427"/>
      <c r="D20" s="427"/>
      <c r="E20" s="427"/>
      <c r="F20" s="427"/>
      <c r="G20" s="427"/>
      <c r="H20" s="427"/>
      <c r="I20" s="427"/>
      <c r="J20" s="427"/>
      <c r="K20" s="427"/>
      <c r="L20" s="427"/>
      <c r="M20" s="427"/>
      <c r="N20" s="427"/>
      <c r="AD20" s="217" t="s">
        <v>467</v>
      </c>
    </row>
    <row r="21" spans="1:31" s="210" customFormat="1" ht="12" customHeight="1" x14ac:dyDescent="0.3">
      <c r="A21" s="425" t="s">
        <v>530</v>
      </c>
      <c r="B21" s="425"/>
      <c r="C21" s="425"/>
      <c r="D21" s="425"/>
      <c r="E21" s="425"/>
      <c r="F21" s="425"/>
      <c r="G21" s="425"/>
      <c r="H21" s="425"/>
      <c r="I21" s="425"/>
      <c r="J21" s="425"/>
      <c r="K21" s="425"/>
      <c r="L21" s="425"/>
      <c r="M21" s="425"/>
      <c r="N21" s="425"/>
    </row>
    <row r="22" spans="1:31" s="210" customFormat="1" ht="12" customHeight="1" x14ac:dyDescent="0.3">
      <c r="A22" s="212" t="s">
        <v>531</v>
      </c>
      <c r="B22" s="224" t="s">
        <v>532</v>
      </c>
      <c r="C22" s="225" t="s">
        <v>533</v>
      </c>
      <c r="D22" s="225"/>
      <c r="E22" s="225"/>
      <c r="F22" s="216"/>
      <c r="G22" s="216"/>
      <c r="H22" s="216"/>
      <c r="I22" s="216"/>
      <c r="J22" s="216"/>
      <c r="K22" s="216"/>
      <c r="L22" s="216"/>
      <c r="M22" s="216"/>
      <c r="N22" s="216"/>
    </row>
    <row r="23" spans="1:31" s="210" customFormat="1" ht="12" customHeight="1" x14ac:dyDescent="0.3">
      <c r="A23" s="212" t="s">
        <v>534</v>
      </c>
      <c r="B23" s="420"/>
      <c r="C23" s="420"/>
      <c r="D23" s="420"/>
      <c r="E23" s="420"/>
      <c r="F23" s="420"/>
      <c r="G23" s="216"/>
      <c r="H23" s="216"/>
      <c r="I23" s="216"/>
      <c r="J23" s="216"/>
      <c r="K23" s="216"/>
      <c r="L23" s="216"/>
      <c r="M23" s="216"/>
      <c r="N23" s="216"/>
    </row>
    <row r="24" spans="1:31" s="210" customFormat="1" ht="14.4" x14ac:dyDescent="0.3">
      <c r="A24" s="212"/>
      <c r="B24" s="432" t="s">
        <v>535</v>
      </c>
      <c r="C24" s="432"/>
      <c r="D24" s="432"/>
      <c r="E24" s="432"/>
      <c r="F24" s="432"/>
      <c r="G24" s="226"/>
      <c r="H24" s="226"/>
      <c r="I24" s="226"/>
      <c r="J24" s="226"/>
      <c r="K24" s="226"/>
      <c r="L24" s="226"/>
      <c r="M24" s="227"/>
      <c r="N24" s="226"/>
    </row>
    <row r="25" spans="1:31" s="210" customFormat="1" ht="5.25" customHeight="1" x14ac:dyDescent="0.3">
      <c r="A25" s="212"/>
      <c r="B25" s="212"/>
      <c r="C25" s="212"/>
      <c r="D25" s="228"/>
      <c r="E25" s="228"/>
      <c r="F25" s="228"/>
      <c r="G25" s="228"/>
      <c r="H25" s="228"/>
      <c r="I25" s="228"/>
      <c r="J25" s="228"/>
      <c r="K25" s="228"/>
      <c r="L25" s="228"/>
      <c r="M25" s="226"/>
      <c r="N25" s="226"/>
    </row>
    <row r="26" spans="1:31" s="210" customFormat="1" ht="14.4" x14ac:dyDescent="0.3">
      <c r="A26" s="229" t="s">
        <v>536</v>
      </c>
      <c r="B26" s="212"/>
      <c r="C26" s="212"/>
      <c r="D26" s="433" t="s">
        <v>766</v>
      </c>
      <c r="E26" s="433"/>
      <c r="F26" s="433"/>
      <c r="G26" s="230"/>
      <c r="H26" s="230"/>
      <c r="I26" s="230"/>
      <c r="J26" s="230"/>
      <c r="K26" s="230"/>
      <c r="L26" s="230"/>
      <c r="M26" s="230"/>
      <c r="N26" s="230"/>
      <c r="AE26" s="217" t="s">
        <v>538</v>
      </c>
    </row>
    <row r="27" spans="1:31" s="210" customFormat="1" ht="7.5" customHeight="1" x14ac:dyDescent="0.3">
      <c r="A27" s="212"/>
      <c r="B27" s="214"/>
      <c r="C27" s="214"/>
      <c r="D27" s="231"/>
      <c r="E27" s="231"/>
      <c r="F27" s="231"/>
      <c r="G27" s="231"/>
      <c r="H27" s="231"/>
      <c r="I27" s="231"/>
      <c r="J27" s="231"/>
      <c r="K27" s="231"/>
      <c r="L27" s="231"/>
      <c r="M27" s="231"/>
      <c r="N27" s="231"/>
    </row>
    <row r="28" spans="1:31" s="210" customFormat="1" ht="12" customHeight="1" x14ac:dyDescent="0.3">
      <c r="A28" s="229" t="s">
        <v>539</v>
      </c>
      <c r="B28" s="214"/>
      <c r="C28" s="232">
        <v>4609.96</v>
      </c>
      <c r="D28" s="233" t="s">
        <v>767</v>
      </c>
      <c r="E28" s="234" t="s">
        <v>540</v>
      </c>
      <c r="G28" s="214"/>
      <c r="H28" s="214"/>
      <c r="I28" s="214"/>
      <c r="J28" s="214"/>
      <c r="K28" s="214"/>
      <c r="L28" s="235"/>
      <c r="M28" s="235"/>
      <c r="N28" s="214"/>
    </row>
    <row r="29" spans="1:31" s="210" customFormat="1" ht="11.25" customHeight="1" x14ac:dyDescent="0.3">
      <c r="A29" s="212"/>
      <c r="B29" s="236" t="s">
        <v>541</v>
      </c>
      <c r="C29" s="237"/>
      <c r="D29" s="238"/>
      <c r="E29" s="234"/>
      <c r="G29" s="214"/>
    </row>
    <row r="30" spans="1:31" s="210" customFormat="1" ht="12" customHeight="1" x14ac:dyDescent="0.3">
      <c r="A30" s="212"/>
      <c r="B30" s="239" t="s">
        <v>542</v>
      </c>
      <c r="C30" s="232">
        <v>3515.77</v>
      </c>
      <c r="D30" s="233" t="s">
        <v>768</v>
      </c>
      <c r="E30" s="234" t="s">
        <v>540</v>
      </c>
      <c r="G30" s="214" t="s">
        <v>543</v>
      </c>
      <c r="I30" s="214"/>
      <c r="J30" s="214"/>
      <c r="K30" s="214"/>
      <c r="L30" s="232">
        <v>416.14</v>
      </c>
      <c r="M30" s="240" t="s">
        <v>769</v>
      </c>
      <c r="N30" s="234" t="s">
        <v>540</v>
      </c>
    </row>
    <row r="31" spans="1:31" s="210" customFormat="1" ht="12" customHeight="1" x14ac:dyDescent="0.3">
      <c r="A31" s="212"/>
      <c r="B31" s="239" t="s">
        <v>544</v>
      </c>
      <c r="C31" s="232">
        <v>235.83</v>
      </c>
      <c r="D31" s="241" t="s">
        <v>770</v>
      </c>
      <c r="E31" s="234" t="s">
        <v>540</v>
      </c>
      <c r="G31" s="214" t="s">
        <v>545</v>
      </c>
      <c r="I31" s="214"/>
      <c r="J31" s="214"/>
      <c r="K31" s="214"/>
      <c r="L31" s="434">
        <v>1002</v>
      </c>
      <c r="M31" s="434"/>
      <c r="N31" s="234" t="s">
        <v>546</v>
      </c>
    </row>
    <row r="32" spans="1:31" s="210" customFormat="1" ht="12" customHeight="1" x14ac:dyDescent="0.3">
      <c r="A32" s="212"/>
      <c r="B32" s="239" t="s">
        <v>547</v>
      </c>
      <c r="C32" s="232">
        <v>0</v>
      </c>
      <c r="D32" s="241" t="s">
        <v>548</v>
      </c>
      <c r="E32" s="234" t="s">
        <v>540</v>
      </c>
      <c r="G32" s="214" t="s">
        <v>549</v>
      </c>
      <c r="I32" s="214"/>
      <c r="J32" s="214"/>
      <c r="K32" s="214"/>
      <c r="L32" s="434">
        <v>126.72</v>
      </c>
      <c r="M32" s="434"/>
      <c r="N32" s="234" t="s">
        <v>546</v>
      </c>
    </row>
    <row r="33" spans="1:38" s="210" customFormat="1" ht="12" customHeight="1" x14ac:dyDescent="0.3">
      <c r="A33" s="212"/>
      <c r="B33" s="239" t="s">
        <v>550</v>
      </c>
      <c r="C33" s="232">
        <v>0</v>
      </c>
      <c r="D33" s="233" t="s">
        <v>548</v>
      </c>
      <c r="E33" s="234" t="s">
        <v>540</v>
      </c>
      <c r="G33" s="214"/>
      <c r="H33" s="214"/>
      <c r="I33" s="214"/>
      <c r="J33" s="214"/>
      <c r="K33" s="214"/>
      <c r="L33" s="429" t="s">
        <v>551</v>
      </c>
      <c r="M33" s="429"/>
      <c r="N33" s="214"/>
    </row>
    <row r="34" spans="1:38" s="210" customFormat="1" ht="7.5" customHeight="1" x14ac:dyDescent="0.3">
      <c r="A34" s="242"/>
    </row>
    <row r="35" spans="1:38" s="210" customFormat="1" ht="23.25" customHeight="1" x14ac:dyDescent="0.3">
      <c r="A35" s="430" t="s">
        <v>213</v>
      </c>
      <c r="B35" s="431" t="s">
        <v>552</v>
      </c>
      <c r="C35" s="431" t="s">
        <v>859</v>
      </c>
      <c r="D35" s="431"/>
      <c r="E35" s="431"/>
      <c r="F35" s="431" t="s">
        <v>553</v>
      </c>
      <c r="G35" s="431" t="s">
        <v>20</v>
      </c>
      <c r="H35" s="431"/>
      <c r="I35" s="431"/>
      <c r="J35" s="431" t="s">
        <v>554</v>
      </c>
      <c r="K35" s="431"/>
      <c r="L35" s="431"/>
      <c r="M35" s="431" t="s">
        <v>555</v>
      </c>
      <c r="N35" s="431" t="s">
        <v>556</v>
      </c>
    </row>
    <row r="36" spans="1:38" s="210" customFormat="1" ht="28.5" customHeight="1" x14ac:dyDescent="0.3">
      <c r="A36" s="430"/>
      <c r="B36" s="431"/>
      <c r="C36" s="431"/>
      <c r="D36" s="431"/>
      <c r="E36" s="431"/>
      <c r="F36" s="431"/>
      <c r="G36" s="431"/>
      <c r="H36" s="431"/>
      <c r="I36" s="431"/>
      <c r="J36" s="431"/>
      <c r="K36" s="431"/>
      <c r="L36" s="431"/>
      <c r="M36" s="431"/>
      <c r="N36" s="431"/>
    </row>
    <row r="37" spans="1:38" s="210" customFormat="1" ht="20.399999999999999" x14ac:dyDescent="0.3">
      <c r="A37" s="430"/>
      <c r="B37" s="431"/>
      <c r="C37" s="431"/>
      <c r="D37" s="431"/>
      <c r="E37" s="431"/>
      <c r="F37" s="431"/>
      <c r="G37" s="372" t="s">
        <v>557</v>
      </c>
      <c r="H37" s="372" t="s">
        <v>558</v>
      </c>
      <c r="I37" s="372" t="s">
        <v>559</v>
      </c>
      <c r="J37" s="372" t="s">
        <v>557</v>
      </c>
      <c r="K37" s="372" t="s">
        <v>558</v>
      </c>
      <c r="L37" s="372" t="s">
        <v>560</v>
      </c>
      <c r="M37" s="431"/>
      <c r="N37" s="431"/>
    </row>
    <row r="38" spans="1:38" s="210" customFormat="1" ht="14.4" x14ac:dyDescent="0.3">
      <c r="A38" s="244">
        <v>1</v>
      </c>
      <c r="B38" s="373">
        <v>2</v>
      </c>
      <c r="C38" s="437">
        <v>3</v>
      </c>
      <c r="D38" s="437"/>
      <c r="E38" s="437"/>
      <c r="F38" s="373">
        <v>4</v>
      </c>
      <c r="G38" s="373">
        <v>5</v>
      </c>
      <c r="H38" s="373">
        <v>6</v>
      </c>
      <c r="I38" s="373">
        <v>7</v>
      </c>
      <c r="J38" s="373">
        <v>8</v>
      </c>
      <c r="K38" s="373">
        <v>9</v>
      </c>
      <c r="L38" s="373">
        <v>10</v>
      </c>
      <c r="M38" s="373">
        <v>11</v>
      </c>
      <c r="N38" s="373">
        <v>12</v>
      </c>
    </row>
    <row r="39" spans="1:38" s="210" customFormat="1" ht="14.4" x14ac:dyDescent="0.3">
      <c r="A39" s="438" t="s">
        <v>561</v>
      </c>
      <c r="B39" s="439"/>
      <c r="C39" s="439"/>
      <c r="D39" s="439"/>
      <c r="E39" s="439"/>
      <c r="F39" s="439"/>
      <c r="G39" s="439"/>
      <c r="H39" s="439"/>
      <c r="I39" s="439"/>
      <c r="J39" s="439"/>
      <c r="K39" s="439"/>
      <c r="L39" s="439"/>
      <c r="M39" s="439"/>
      <c r="N39" s="440"/>
      <c r="AF39" s="246" t="s">
        <v>561</v>
      </c>
    </row>
    <row r="40" spans="1:38" s="210" customFormat="1" ht="14.4" x14ac:dyDescent="0.3">
      <c r="A40" s="483" t="s">
        <v>247</v>
      </c>
      <c r="B40" s="484"/>
      <c r="C40" s="484"/>
      <c r="D40" s="484"/>
      <c r="E40" s="484"/>
      <c r="F40" s="484"/>
      <c r="G40" s="484"/>
      <c r="H40" s="484"/>
      <c r="I40" s="484"/>
      <c r="J40" s="484"/>
      <c r="K40" s="484"/>
      <c r="L40" s="484"/>
      <c r="M40" s="484"/>
      <c r="N40" s="485"/>
      <c r="AF40" s="246"/>
      <c r="AG40" s="255" t="s">
        <v>247</v>
      </c>
    </row>
    <row r="41" spans="1:38" s="210" customFormat="1" ht="31.8" x14ac:dyDescent="0.3">
      <c r="A41" s="247" t="s">
        <v>301</v>
      </c>
      <c r="B41" s="371" t="s">
        <v>771</v>
      </c>
      <c r="C41" s="441" t="s">
        <v>772</v>
      </c>
      <c r="D41" s="441"/>
      <c r="E41" s="441"/>
      <c r="F41" s="249" t="s">
        <v>773</v>
      </c>
      <c r="G41" s="250">
        <v>2.8000000000000001E-2</v>
      </c>
      <c r="H41" s="251">
        <v>1</v>
      </c>
      <c r="I41" s="287">
        <v>2.8000000000000001E-2</v>
      </c>
      <c r="J41" s="253"/>
      <c r="K41" s="250"/>
      <c r="L41" s="253"/>
      <c r="M41" s="250"/>
      <c r="N41" s="254"/>
      <c r="AF41" s="246"/>
      <c r="AG41" s="255"/>
      <c r="AH41" s="255" t="s">
        <v>772</v>
      </c>
    </row>
    <row r="42" spans="1:38" s="210" customFormat="1" ht="14.4" x14ac:dyDescent="0.3">
      <c r="A42" s="256"/>
      <c r="B42" s="369"/>
      <c r="C42" s="435" t="s">
        <v>774</v>
      </c>
      <c r="D42" s="435"/>
      <c r="E42" s="435"/>
      <c r="F42" s="435"/>
      <c r="G42" s="435"/>
      <c r="H42" s="435"/>
      <c r="I42" s="435"/>
      <c r="J42" s="435"/>
      <c r="K42" s="435"/>
      <c r="L42" s="435"/>
      <c r="M42" s="435"/>
      <c r="N42" s="442"/>
      <c r="AF42" s="246"/>
      <c r="AG42" s="255"/>
      <c r="AH42" s="255"/>
      <c r="AI42" s="258" t="s">
        <v>774</v>
      </c>
    </row>
    <row r="43" spans="1:38" s="210" customFormat="1" ht="52.2" x14ac:dyDescent="0.3">
      <c r="A43" s="283"/>
      <c r="B43" s="260" t="s">
        <v>704</v>
      </c>
      <c r="C43" s="443" t="s">
        <v>705</v>
      </c>
      <c r="D43" s="443"/>
      <c r="E43" s="443"/>
      <c r="F43" s="443"/>
      <c r="G43" s="443"/>
      <c r="H43" s="443"/>
      <c r="I43" s="443"/>
      <c r="J43" s="443"/>
      <c r="K43" s="443"/>
      <c r="L43" s="443"/>
      <c r="M43" s="443"/>
      <c r="N43" s="444"/>
      <c r="AF43" s="246"/>
      <c r="AG43" s="255"/>
      <c r="AH43" s="255"/>
      <c r="AJ43" s="258" t="s">
        <v>705</v>
      </c>
    </row>
    <row r="44" spans="1:38" s="210" customFormat="1" ht="14.4" x14ac:dyDescent="0.3">
      <c r="A44" s="259"/>
      <c r="B44" s="260" t="s">
        <v>301</v>
      </c>
      <c r="C44" s="435" t="s">
        <v>566</v>
      </c>
      <c r="D44" s="435"/>
      <c r="E44" s="435"/>
      <c r="F44" s="261"/>
      <c r="G44" s="262"/>
      <c r="H44" s="262"/>
      <c r="I44" s="262"/>
      <c r="J44" s="263">
        <v>76.75</v>
      </c>
      <c r="K44" s="267">
        <v>1.1499999999999999</v>
      </c>
      <c r="L44" s="263">
        <v>2.4700000000000002</v>
      </c>
      <c r="M44" s="264">
        <v>41.8</v>
      </c>
      <c r="N44" s="284">
        <v>103.25</v>
      </c>
      <c r="AF44" s="246"/>
      <c r="AG44" s="255"/>
      <c r="AH44" s="255"/>
      <c r="AK44" s="258" t="s">
        <v>566</v>
      </c>
    </row>
    <row r="45" spans="1:38" s="210" customFormat="1" ht="14.4" x14ac:dyDescent="0.3">
      <c r="A45" s="259"/>
      <c r="B45" s="260" t="s">
        <v>304</v>
      </c>
      <c r="C45" s="435" t="s">
        <v>567</v>
      </c>
      <c r="D45" s="435"/>
      <c r="E45" s="435"/>
      <c r="F45" s="261"/>
      <c r="G45" s="262"/>
      <c r="H45" s="262"/>
      <c r="I45" s="262"/>
      <c r="J45" s="266">
        <v>3030.55</v>
      </c>
      <c r="K45" s="267">
        <v>1.1499999999999999</v>
      </c>
      <c r="L45" s="263">
        <v>97.58</v>
      </c>
      <c r="M45" s="267">
        <v>13.59</v>
      </c>
      <c r="N45" s="265">
        <v>1326.11</v>
      </c>
      <c r="AF45" s="246"/>
      <c r="AG45" s="255"/>
      <c r="AH45" s="255"/>
      <c r="AK45" s="258" t="s">
        <v>567</v>
      </c>
    </row>
    <row r="46" spans="1:38" s="210" customFormat="1" ht="14.4" x14ac:dyDescent="0.3">
      <c r="A46" s="259"/>
      <c r="B46" s="260" t="s">
        <v>568</v>
      </c>
      <c r="C46" s="435" t="s">
        <v>569</v>
      </c>
      <c r="D46" s="435"/>
      <c r="E46" s="435"/>
      <c r="F46" s="261"/>
      <c r="G46" s="262"/>
      <c r="H46" s="262"/>
      <c r="I46" s="262"/>
      <c r="J46" s="263">
        <v>385.16</v>
      </c>
      <c r="K46" s="267">
        <v>1.1499999999999999</v>
      </c>
      <c r="L46" s="263">
        <v>12.4</v>
      </c>
      <c r="M46" s="264">
        <v>41.8</v>
      </c>
      <c r="N46" s="284">
        <v>518.32000000000005</v>
      </c>
      <c r="AF46" s="246"/>
      <c r="AG46" s="255"/>
      <c r="AH46" s="255"/>
      <c r="AK46" s="258" t="s">
        <v>569</v>
      </c>
    </row>
    <row r="47" spans="1:38" s="210" customFormat="1" ht="14.4" x14ac:dyDescent="0.3">
      <c r="A47" s="259"/>
      <c r="B47" s="260" t="s">
        <v>592</v>
      </c>
      <c r="C47" s="435" t="s">
        <v>593</v>
      </c>
      <c r="D47" s="435"/>
      <c r="E47" s="435"/>
      <c r="F47" s="261"/>
      <c r="G47" s="262"/>
      <c r="H47" s="262"/>
      <c r="I47" s="262"/>
      <c r="J47" s="263">
        <v>4.34</v>
      </c>
      <c r="K47" s="262"/>
      <c r="L47" s="263">
        <v>0.12</v>
      </c>
      <c r="M47" s="267">
        <v>8.92</v>
      </c>
      <c r="N47" s="284">
        <v>1.07</v>
      </c>
      <c r="AF47" s="246"/>
      <c r="AG47" s="255"/>
      <c r="AH47" s="255"/>
      <c r="AK47" s="258" t="s">
        <v>593</v>
      </c>
    </row>
    <row r="48" spans="1:38" s="210" customFormat="1" ht="14.4" x14ac:dyDescent="0.3">
      <c r="A48" s="268"/>
      <c r="B48" s="260"/>
      <c r="C48" s="435" t="s">
        <v>570</v>
      </c>
      <c r="D48" s="435"/>
      <c r="E48" s="435"/>
      <c r="F48" s="261" t="s">
        <v>571</v>
      </c>
      <c r="G48" s="267">
        <v>9.84</v>
      </c>
      <c r="H48" s="267">
        <v>1.1499999999999999</v>
      </c>
      <c r="I48" s="285">
        <v>0.31684800000000002</v>
      </c>
      <c r="J48" s="269"/>
      <c r="K48" s="262"/>
      <c r="L48" s="269"/>
      <c r="M48" s="262"/>
      <c r="N48" s="270"/>
      <c r="AF48" s="246"/>
      <c r="AG48" s="255"/>
      <c r="AH48" s="255"/>
      <c r="AL48" s="258" t="s">
        <v>570</v>
      </c>
    </row>
    <row r="49" spans="1:40" s="210" customFormat="1" ht="14.4" x14ac:dyDescent="0.3">
      <c r="A49" s="268"/>
      <c r="B49" s="260"/>
      <c r="C49" s="435" t="s">
        <v>572</v>
      </c>
      <c r="D49" s="435"/>
      <c r="E49" s="435"/>
      <c r="F49" s="261" t="s">
        <v>571</v>
      </c>
      <c r="G49" s="267">
        <v>28.53</v>
      </c>
      <c r="H49" s="267">
        <v>1.1499999999999999</v>
      </c>
      <c r="I49" s="285">
        <v>0.91866599999999998</v>
      </c>
      <c r="J49" s="269"/>
      <c r="K49" s="262"/>
      <c r="L49" s="269"/>
      <c r="M49" s="262"/>
      <c r="N49" s="270"/>
      <c r="AF49" s="246"/>
      <c r="AG49" s="255"/>
      <c r="AH49" s="255"/>
      <c r="AL49" s="258" t="s">
        <v>572</v>
      </c>
    </row>
    <row r="50" spans="1:40" s="210" customFormat="1" ht="14.4" x14ac:dyDescent="0.3">
      <c r="A50" s="259"/>
      <c r="B50" s="260"/>
      <c r="C50" s="436" t="s">
        <v>573</v>
      </c>
      <c r="D50" s="436"/>
      <c r="E50" s="436"/>
      <c r="F50" s="272"/>
      <c r="G50" s="273"/>
      <c r="H50" s="273"/>
      <c r="I50" s="273"/>
      <c r="J50" s="274">
        <v>3111.64</v>
      </c>
      <c r="K50" s="273"/>
      <c r="L50" s="275">
        <v>100.17</v>
      </c>
      <c r="M50" s="273"/>
      <c r="N50" s="276">
        <v>1430.43</v>
      </c>
      <c r="AF50" s="246"/>
      <c r="AG50" s="255"/>
      <c r="AH50" s="255"/>
      <c r="AM50" s="258" t="s">
        <v>573</v>
      </c>
    </row>
    <row r="51" spans="1:40" s="210" customFormat="1" ht="14.4" x14ac:dyDescent="0.3">
      <c r="A51" s="268"/>
      <c r="B51" s="260"/>
      <c r="C51" s="435" t="s">
        <v>574</v>
      </c>
      <c r="D51" s="435"/>
      <c r="E51" s="435"/>
      <c r="F51" s="261"/>
      <c r="G51" s="262"/>
      <c r="H51" s="262"/>
      <c r="I51" s="262"/>
      <c r="J51" s="269"/>
      <c r="K51" s="262"/>
      <c r="L51" s="263">
        <v>14.87</v>
      </c>
      <c r="M51" s="262"/>
      <c r="N51" s="284">
        <v>621.57000000000005</v>
      </c>
      <c r="AF51" s="246"/>
      <c r="AG51" s="255"/>
      <c r="AH51" s="255"/>
      <c r="AL51" s="258" t="s">
        <v>574</v>
      </c>
    </row>
    <row r="52" spans="1:40" s="210" customFormat="1" ht="21.6" x14ac:dyDescent="0.3">
      <c r="A52" s="268"/>
      <c r="B52" s="260" t="s">
        <v>775</v>
      </c>
      <c r="C52" s="435" t="s">
        <v>776</v>
      </c>
      <c r="D52" s="435"/>
      <c r="E52" s="435"/>
      <c r="F52" s="261" t="s">
        <v>577</v>
      </c>
      <c r="G52" s="277">
        <v>92</v>
      </c>
      <c r="H52" s="262"/>
      <c r="I52" s="277">
        <v>92</v>
      </c>
      <c r="J52" s="269"/>
      <c r="K52" s="262"/>
      <c r="L52" s="263">
        <v>13.68</v>
      </c>
      <c r="M52" s="262"/>
      <c r="N52" s="284">
        <v>571.84</v>
      </c>
      <c r="AF52" s="246"/>
      <c r="AG52" s="255"/>
      <c r="AH52" s="255"/>
      <c r="AL52" s="258" t="s">
        <v>776</v>
      </c>
    </row>
    <row r="53" spans="1:40" s="210" customFormat="1" ht="40.799999999999997" x14ac:dyDescent="0.3">
      <c r="A53" s="268"/>
      <c r="B53" s="260" t="s">
        <v>777</v>
      </c>
      <c r="C53" s="435" t="s">
        <v>778</v>
      </c>
      <c r="D53" s="435"/>
      <c r="E53" s="435"/>
      <c r="F53" s="261" t="s">
        <v>577</v>
      </c>
      <c r="G53" s="277">
        <v>46</v>
      </c>
      <c r="H53" s="267">
        <v>0.85</v>
      </c>
      <c r="I53" s="264">
        <v>39.1</v>
      </c>
      <c r="J53" s="269"/>
      <c r="K53" s="262"/>
      <c r="L53" s="263">
        <v>5.81</v>
      </c>
      <c r="M53" s="262"/>
      <c r="N53" s="284">
        <v>243.03</v>
      </c>
      <c r="AF53" s="246"/>
      <c r="AG53" s="255"/>
      <c r="AH53" s="255"/>
      <c r="AL53" s="258" t="s">
        <v>778</v>
      </c>
    </row>
    <row r="54" spans="1:40" s="210" customFormat="1" ht="14.4" x14ac:dyDescent="0.3">
      <c r="A54" s="278"/>
      <c r="B54" s="370"/>
      <c r="C54" s="441" t="s">
        <v>580</v>
      </c>
      <c r="D54" s="441"/>
      <c r="E54" s="441"/>
      <c r="F54" s="249"/>
      <c r="G54" s="250"/>
      <c r="H54" s="250"/>
      <c r="I54" s="250"/>
      <c r="J54" s="253"/>
      <c r="K54" s="250"/>
      <c r="L54" s="281">
        <v>119.66</v>
      </c>
      <c r="M54" s="273"/>
      <c r="N54" s="280">
        <v>2245.3000000000002</v>
      </c>
      <c r="AF54" s="246"/>
      <c r="AG54" s="255"/>
      <c r="AH54" s="255"/>
      <c r="AN54" s="255" t="s">
        <v>580</v>
      </c>
    </row>
    <row r="55" spans="1:40" s="210" customFormat="1" ht="21.6" x14ac:dyDescent="0.3">
      <c r="A55" s="247" t="s">
        <v>304</v>
      </c>
      <c r="B55" s="371" t="s">
        <v>779</v>
      </c>
      <c r="C55" s="441" t="s">
        <v>780</v>
      </c>
      <c r="D55" s="441"/>
      <c r="E55" s="441"/>
      <c r="F55" s="249" t="s">
        <v>781</v>
      </c>
      <c r="G55" s="250">
        <v>3.1E-2</v>
      </c>
      <c r="H55" s="251">
        <v>1</v>
      </c>
      <c r="I55" s="287">
        <v>3.1E-2</v>
      </c>
      <c r="J55" s="253"/>
      <c r="K55" s="250"/>
      <c r="L55" s="253"/>
      <c r="M55" s="250"/>
      <c r="N55" s="254"/>
      <c r="R55" s="210">
        <f>3.1+28</f>
        <v>31.1</v>
      </c>
      <c r="AF55" s="246"/>
      <c r="AG55" s="255"/>
      <c r="AH55" s="255" t="s">
        <v>780</v>
      </c>
      <c r="AN55" s="255"/>
    </row>
    <row r="56" spans="1:40" s="492" customFormat="1" ht="38.4" customHeight="1" x14ac:dyDescent="0.3">
      <c r="A56" s="487"/>
      <c r="B56" s="488"/>
      <c r="C56" s="489" t="s">
        <v>861</v>
      </c>
      <c r="D56" s="488"/>
      <c r="E56" s="488"/>
      <c r="F56" s="488"/>
      <c r="G56" s="488"/>
      <c r="H56" s="490"/>
      <c r="I56" s="491"/>
      <c r="J56" s="491"/>
    </row>
    <row r="57" spans="1:40" s="210" customFormat="1" ht="14.4" x14ac:dyDescent="0.3">
      <c r="A57" s="256"/>
      <c r="B57" s="369"/>
      <c r="C57" s="435" t="s">
        <v>782</v>
      </c>
      <c r="D57" s="435"/>
      <c r="E57" s="435"/>
      <c r="F57" s="435"/>
      <c r="G57" s="435"/>
      <c r="H57" s="435"/>
      <c r="I57" s="435"/>
      <c r="J57" s="435"/>
      <c r="K57" s="435"/>
      <c r="L57" s="435"/>
      <c r="M57" s="435"/>
      <c r="N57" s="442"/>
      <c r="AF57" s="246"/>
      <c r="AG57" s="255"/>
      <c r="AH57" s="255"/>
      <c r="AI57" s="258" t="s">
        <v>782</v>
      </c>
      <c r="AN57" s="255"/>
    </row>
    <row r="58" spans="1:40" s="210" customFormat="1" ht="14.4" x14ac:dyDescent="0.3">
      <c r="A58" s="283"/>
      <c r="B58" s="260" t="s">
        <v>783</v>
      </c>
      <c r="C58" s="443" t="s">
        <v>784</v>
      </c>
      <c r="D58" s="443"/>
      <c r="E58" s="443"/>
      <c r="F58" s="443"/>
      <c r="G58" s="443"/>
      <c r="H58" s="443"/>
      <c r="I58" s="443"/>
      <c r="J58" s="443"/>
      <c r="K58" s="443"/>
      <c r="L58" s="443"/>
      <c r="M58" s="443"/>
      <c r="N58" s="444"/>
      <c r="AF58" s="246"/>
      <c r="AG58" s="255"/>
      <c r="AH58" s="255"/>
      <c r="AJ58" s="258" t="s">
        <v>784</v>
      </c>
      <c r="AN58" s="255"/>
    </row>
    <row r="59" spans="1:40" s="210" customFormat="1" ht="52.2" x14ac:dyDescent="0.3">
      <c r="A59" s="283"/>
      <c r="B59" s="260" t="s">
        <v>704</v>
      </c>
      <c r="C59" s="443" t="s">
        <v>705</v>
      </c>
      <c r="D59" s="443"/>
      <c r="E59" s="443"/>
      <c r="F59" s="443"/>
      <c r="G59" s="443"/>
      <c r="H59" s="443"/>
      <c r="I59" s="443"/>
      <c r="J59" s="443"/>
      <c r="K59" s="443"/>
      <c r="L59" s="443"/>
      <c r="M59" s="443"/>
      <c r="N59" s="444"/>
      <c r="AF59" s="246"/>
      <c r="AG59" s="255"/>
      <c r="AH59" s="255"/>
      <c r="AJ59" s="258" t="s">
        <v>705</v>
      </c>
      <c r="AN59" s="255"/>
    </row>
    <row r="60" spans="1:40" s="210" customFormat="1" ht="14.4" x14ac:dyDescent="0.3">
      <c r="A60" s="259"/>
      <c r="B60" s="260" t="s">
        <v>301</v>
      </c>
      <c r="C60" s="435" t="s">
        <v>566</v>
      </c>
      <c r="D60" s="435"/>
      <c r="E60" s="435"/>
      <c r="F60" s="261"/>
      <c r="G60" s="262"/>
      <c r="H60" s="262"/>
      <c r="I60" s="262"/>
      <c r="J60" s="266">
        <v>1201.2</v>
      </c>
      <c r="K60" s="267">
        <v>1.38</v>
      </c>
      <c r="L60" s="263">
        <v>51.39</v>
      </c>
      <c r="M60" s="264">
        <v>41.8</v>
      </c>
      <c r="N60" s="265">
        <v>2148.1</v>
      </c>
      <c r="AF60" s="246"/>
      <c r="AG60" s="255"/>
      <c r="AH60" s="255"/>
      <c r="AK60" s="258" t="s">
        <v>566</v>
      </c>
      <c r="AN60" s="255"/>
    </row>
    <row r="61" spans="1:40" s="210" customFormat="1" ht="14.4" x14ac:dyDescent="0.3">
      <c r="A61" s="268"/>
      <c r="B61" s="260"/>
      <c r="C61" s="435" t="s">
        <v>570</v>
      </c>
      <c r="D61" s="435"/>
      <c r="E61" s="435"/>
      <c r="F61" s="261" t="s">
        <v>571</v>
      </c>
      <c r="G61" s="277">
        <v>154</v>
      </c>
      <c r="H61" s="267">
        <v>1.38</v>
      </c>
      <c r="I61" s="289">
        <v>6.58812</v>
      </c>
      <c r="J61" s="269"/>
      <c r="K61" s="262"/>
      <c r="L61" s="269"/>
      <c r="M61" s="262"/>
      <c r="N61" s="270"/>
      <c r="AF61" s="246"/>
      <c r="AG61" s="255"/>
      <c r="AH61" s="255"/>
      <c r="AL61" s="258" t="s">
        <v>570</v>
      </c>
      <c r="AN61" s="255"/>
    </row>
    <row r="62" spans="1:40" s="210" customFormat="1" ht="14.4" x14ac:dyDescent="0.3">
      <c r="A62" s="259"/>
      <c r="B62" s="260"/>
      <c r="C62" s="436" t="s">
        <v>573</v>
      </c>
      <c r="D62" s="436"/>
      <c r="E62" s="436"/>
      <c r="F62" s="272"/>
      <c r="G62" s="273"/>
      <c r="H62" s="273"/>
      <c r="I62" s="273"/>
      <c r="J62" s="274">
        <v>1201.2</v>
      </c>
      <c r="K62" s="273"/>
      <c r="L62" s="275">
        <v>51.39</v>
      </c>
      <c r="M62" s="273"/>
      <c r="N62" s="276">
        <v>2148.1</v>
      </c>
      <c r="AF62" s="246"/>
      <c r="AG62" s="255"/>
      <c r="AH62" s="255"/>
      <c r="AM62" s="258" t="s">
        <v>573</v>
      </c>
      <c r="AN62" s="255"/>
    </row>
    <row r="63" spans="1:40" s="210" customFormat="1" ht="14.4" x14ac:dyDescent="0.3">
      <c r="A63" s="268"/>
      <c r="B63" s="260"/>
      <c r="C63" s="435" t="s">
        <v>574</v>
      </c>
      <c r="D63" s="435"/>
      <c r="E63" s="435"/>
      <c r="F63" s="261"/>
      <c r="G63" s="262"/>
      <c r="H63" s="262"/>
      <c r="I63" s="262"/>
      <c r="J63" s="269"/>
      <c r="K63" s="262"/>
      <c r="L63" s="263">
        <v>51.39</v>
      </c>
      <c r="M63" s="262"/>
      <c r="N63" s="265">
        <v>2148.1</v>
      </c>
      <c r="AF63" s="246"/>
      <c r="AG63" s="255"/>
      <c r="AH63" s="255"/>
      <c r="AL63" s="258" t="s">
        <v>574</v>
      </c>
      <c r="AN63" s="255"/>
    </row>
    <row r="64" spans="1:40" s="210" customFormat="1" ht="20.399999999999999" x14ac:dyDescent="0.3">
      <c r="A64" s="268"/>
      <c r="B64" s="260" t="s">
        <v>785</v>
      </c>
      <c r="C64" s="435" t="s">
        <v>786</v>
      </c>
      <c r="D64" s="435"/>
      <c r="E64" s="435"/>
      <c r="F64" s="261" t="s">
        <v>577</v>
      </c>
      <c r="G64" s="277">
        <v>89</v>
      </c>
      <c r="H64" s="262"/>
      <c r="I64" s="277">
        <v>89</v>
      </c>
      <c r="J64" s="269"/>
      <c r="K64" s="262"/>
      <c r="L64" s="263">
        <v>45.74</v>
      </c>
      <c r="M64" s="262"/>
      <c r="N64" s="265">
        <v>1911.81</v>
      </c>
      <c r="AF64" s="246"/>
      <c r="AG64" s="255"/>
      <c r="AH64" s="255"/>
      <c r="AL64" s="258" t="s">
        <v>786</v>
      </c>
      <c r="AN64" s="255"/>
    </row>
    <row r="65" spans="1:42" s="210" customFormat="1" ht="40.799999999999997" x14ac:dyDescent="0.3">
      <c r="A65" s="268"/>
      <c r="B65" s="260" t="s">
        <v>787</v>
      </c>
      <c r="C65" s="435" t="s">
        <v>788</v>
      </c>
      <c r="D65" s="435"/>
      <c r="E65" s="435"/>
      <c r="F65" s="261" t="s">
        <v>577</v>
      </c>
      <c r="G65" s="277">
        <v>40</v>
      </c>
      <c r="H65" s="267">
        <v>0.85</v>
      </c>
      <c r="I65" s="277">
        <v>34</v>
      </c>
      <c r="J65" s="269"/>
      <c r="K65" s="262"/>
      <c r="L65" s="263">
        <v>17.47</v>
      </c>
      <c r="M65" s="262"/>
      <c r="N65" s="284">
        <v>730.35</v>
      </c>
      <c r="AF65" s="246"/>
      <c r="AG65" s="255"/>
      <c r="AH65" s="255"/>
      <c r="AL65" s="258" t="s">
        <v>788</v>
      </c>
      <c r="AN65" s="255"/>
    </row>
    <row r="66" spans="1:42" s="210" customFormat="1" ht="14.4" x14ac:dyDescent="0.3">
      <c r="A66" s="278"/>
      <c r="B66" s="370"/>
      <c r="C66" s="441" t="s">
        <v>580</v>
      </c>
      <c r="D66" s="441"/>
      <c r="E66" s="441"/>
      <c r="F66" s="249"/>
      <c r="G66" s="250"/>
      <c r="H66" s="250"/>
      <c r="I66" s="250"/>
      <c r="J66" s="253"/>
      <c r="K66" s="250"/>
      <c r="L66" s="281">
        <v>114.6</v>
      </c>
      <c r="M66" s="273"/>
      <c r="N66" s="280">
        <v>4790.26</v>
      </c>
      <c r="AF66" s="246"/>
      <c r="AG66" s="255"/>
      <c r="AH66" s="255"/>
      <c r="AN66" s="255" t="s">
        <v>580</v>
      </c>
    </row>
    <row r="67" spans="1:42" s="210" customFormat="1" ht="21.6" x14ac:dyDescent="0.3">
      <c r="A67" s="247" t="s">
        <v>568</v>
      </c>
      <c r="B67" s="371" t="s">
        <v>789</v>
      </c>
      <c r="C67" s="441" t="s">
        <v>790</v>
      </c>
      <c r="D67" s="441"/>
      <c r="E67" s="441"/>
      <c r="F67" s="249" t="s">
        <v>181</v>
      </c>
      <c r="G67" s="250">
        <v>31.1</v>
      </c>
      <c r="H67" s="251">
        <v>1</v>
      </c>
      <c r="I67" s="290">
        <v>31.1</v>
      </c>
      <c r="J67" s="281">
        <v>162.38</v>
      </c>
      <c r="K67" s="250"/>
      <c r="L67" s="279">
        <v>5050.0200000000004</v>
      </c>
      <c r="M67" s="252">
        <v>8.92</v>
      </c>
      <c r="N67" s="280">
        <v>45046.18</v>
      </c>
      <c r="AF67" s="246"/>
      <c r="AG67" s="255"/>
      <c r="AH67" s="255" t="s">
        <v>790</v>
      </c>
      <c r="AN67" s="255"/>
    </row>
    <row r="68" spans="1:42" s="210" customFormat="1" ht="14.4" x14ac:dyDescent="0.3">
      <c r="A68" s="278"/>
      <c r="B68" s="370"/>
      <c r="C68" s="435" t="s">
        <v>583</v>
      </c>
      <c r="D68" s="435"/>
      <c r="E68" s="435"/>
      <c r="F68" s="435"/>
      <c r="G68" s="435"/>
      <c r="H68" s="435"/>
      <c r="I68" s="435"/>
      <c r="J68" s="435"/>
      <c r="K68" s="435"/>
      <c r="L68" s="435"/>
      <c r="M68" s="435"/>
      <c r="N68" s="442"/>
      <c r="AF68" s="246"/>
      <c r="AG68" s="255"/>
      <c r="AH68" s="255"/>
      <c r="AN68" s="255"/>
      <c r="AO68" s="258" t="s">
        <v>583</v>
      </c>
    </row>
    <row r="69" spans="1:42" s="210" customFormat="1" ht="14.4" x14ac:dyDescent="0.3">
      <c r="A69" s="256"/>
      <c r="B69" s="369"/>
      <c r="C69" s="435" t="s">
        <v>791</v>
      </c>
      <c r="D69" s="435"/>
      <c r="E69" s="435"/>
      <c r="F69" s="435"/>
      <c r="G69" s="435"/>
      <c r="H69" s="435"/>
      <c r="I69" s="435"/>
      <c r="J69" s="435"/>
      <c r="K69" s="435"/>
      <c r="L69" s="435"/>
      <c r="M69" s="435"/>
      <c r="N69" s="442"/>
      <c r="AF69" s="246"/>
      <c r="AG69" s="255"/>
      <c r="AH69" s="255"/>
      <c r="AI69" s="258" t="s">
        <v>791</v>
      </c>
      <c r="AN69" s="255"/>
    </row>
    <row r="70" spans="1:42" s="210" customFormat="1" ht="14.4" x14ac:dyDescent="0.3">
      <c r="A70" s="256"/>
      <c r="B70" s="369"/>
      <c r="C70" s="435" t="s">
        <v>792</v>
      </c>
      <c r="D70" s="435"/>
      <c r="E70" s="435"/>
      <c r="F70" s="435"/>
      <c r="G70" s="435"/>
      <c r="H70" s="435"/>
      <c r="I70" s="435"/>
      <c r="J70" s="435"/>
      <c r="K70" s="435"/>
      <c r="L70" s="435"/>
      <c r="M70" s="435"/>
      <c r="N70" s="442"/>
      <c r="AF70" s="246"/>
      <c r="AG70" s="255"/>
      <c r="AH70" s="255"/>
      <c r="AN70" s="255"/>
      <c r="AP70" s="258" t="s">
        <v>792</v>
      </c>
    </row>
    <row r="71" spans="1:42" s="210" customFormat="1" ht="14.4" x14ac:dyDescent="0.3">
      <c r="A71" s="278"/>
      <c r="B71" s="370"/>
      <c r="C71" s="441" t="s">
        <v>580</v>
      </c>
      <c r="D71" s="441"/>
      <c r="E71" s="441"/>
      <c r="F71" s="249"/>
      <c r="G71" s="250"/>
      <c r="H71" s="250"/>
      <c r="I71" s="250"/>
      <c r="J71" s="253"/>
      <c r="K71" s="250"/>
      <c r="L71" s="279">
        <v>5050.0200000000004</v>
      </c>
      <c r="M71" s="273"/>
      <c r="N71" s="280">
        <v>45046.18</v>
      </c>
      <c r="AF71" s="246"/>
      <c r="AG71" s="255"/>
      <c r="AH71" s="255"/>
      <c r="AN71" s="255" t="s">
        <v>580</v>
      </c>
    </row>
    <row r="72" spans="1:42" s="210" customFormat="1" ht="31.8" x14ac:dyDescent="0.3">
      <c r="A72" s="247" t="s">
        <v>592</v>
      </c>
      <c r="B72" s="371" t="s">
        <v>793</v>
      </c>
      <c r="C72" s="441" t="s">
        <v>794</v>
      </c>
      <c r="D72" s="441"/>
      <c r="E72" s="441"/>
      <c r="F72" s="249" t="s">
        <v>773</v>
      </c>
      <c r="G72" s="250">
        <v>0.03</v>
      </c>
      <c r="H72" s="251">
        <v>1</v>
      </c>
      <c r="I72" s="252">
        <v>0.03</v>
      </c>
      <c r="J72" s="253"/>
      <c r="K72" s="250"/>
      <c r="L72" s="253"/>
      <c r="M72" s="250"/>
      <c r="N72" s="254"/>
      <c r="AF72" s="246"/>
      <c r="AG72" s="255"/>
      <c r="AH72" s="255" t="s">
        <v>794</v>
      </c>
      <c r="AN72" s="255"/>
    </row>
    <row r="73" spans="1:42" s="210" customFormat="1" ht="14.4" x14ac:dyDescent="0.3">
      <c r="A73" s="256"/>
      <c r="B73" s="369"/>
      <c r="C73" s="435" t="s">
        <v>795</v>
      </c>
      <c r="D73" s="435"/>
      <c r="E73" s="435"/>
      <c r="F73" s="435"/>
      <c r="G73" s="435"/>
      <c r="H73" s="435"/>
      <c r="I73" s="435"/>
      <c r="J73" s="435"/>
      <c r="K73" s="435"/>
      <c r="L73" s="435"/>
      <c r="M73" s="435"/>
      <c r="N73" s="442"/>
      <c r="AF73" s="246"/>
      <c r="AG73" s="255"/>
      <c r="AH73" s="255"/>
      <c r="AI73" s="258" t="s">
        <v>795</v>
      </c>
      <c r="AN73" s="255"/>
    </row>
    <row r="74" spans="1:42" s="210" customFormat="1" ht="52.2" x14ac:dyDescent="0.3">
      <c r="A74" s="283"/>
      <c r="B74" s="260" t="s">
        <v>704</v>
      </c>
      <c r="C74" s="443" t="s">
        <v>705</v>
      </c>
      <c r="D74" s="443"/>
      <c r="E74" s="443"/>
      <c r="F74" s="443"/>
      <c r="G74" s="443"/>
      <c r="H74" s="443"/>
      <c r="I74" s="443"/>
      <c r="J74" s="443"/>
      <c r="K74" s="443"/>
      <c r="L74" s="443"/>
      <c r="M74" s="443"/>
      <c r="N74" s="444"/>
      <c r="AF74" s="246"/>
      <c r="AG74" s="255"/>
      <c r="AH74" s="255"/>
      <c r="AJ74" s="258" t="s">
        <v>705</v>
      </c>
      <c r="AN74" s="255"/>
    </row>
    <row r="75" spans="1:42" s="210" customFormat="1" ht="14.4" x14ac:dyDescent="0.3">
      <c r="A75" s="259"/>
      <c r="B75" s="260" t="s">
        <v>304</v>
      </c>
      <c r="C75" s="435" t="s">
        <v>567</v>
      </c>
      <c r="D75" s="435"/>
      <c r="E75" s="435"/>
      <c r="F75" s="261"/>
      <c r="G75" s="262"/>
      <c r="H75" s="262"/>
      <c r="I75" s="262"/>
      <c r="J75" s="263">
        <v>410.94</v>
      </c>
      <c r="K75" s="267">
        <v>1.1499999999999999</v>
      </c>
      <c r="L75" s="263">
        <v>14.18</v>
      </c>
      <c r="M75" s="267">
        <v>13.59</v>
      </c>
      <c r="N75" s="284">
        <v>192.71</v>
      </c>
      <c r="AF75" s="246"/>
      <c r="AG75" s="255"/>
      <c r="AH75" s="255"/>
      <c r="AK75" s="258" t="s">
        <v>567</v>
      </c>
      <c r="AN75" s="255"/>
    </row>
    <row r="76" spans="1:42" s="210" customFormat="1" ht="14.4" x14ac:dyDescent="0.3">
      <c r="A76" s="259"/>
      <c r="B76" s="260" t="s">
        <v>568</v>
      </c>
      <c r="C76" s="435" t="s">
        <v>569</v>
      </c>
      <c r="D76" s="435"/>
      <c r="E76" s="435"/>
      <c r="F76" s="261"/>
      <c r="G76" s="262"/>
      <c r="H76" s="262"/>
      <c r="I76" s="262"/>
      <c r="J76" s="263">
        <v>80.16</v>
      </c>
      <c r="K76" s="267">
        <v>1.1499999999999999</v>
      </c>
      <c r="L76" s="263">
        <v>2.77</v>
      </c>
      <c r="M76" s="264">
        <v>41.8</v>
      </c>
      <c r="N76" s="284">
        <v>115.79</v>
      </c>
      <c r="AF76" s="246"/>
      <c r="AG76" s="255"/>
      <c r="AH76" s="255"/>
      <c r="AK76" s="258" t="s">
        <v>569</v>
      </c>
      <c r="AN76" s="255"/>
    </row>
    <row r="77" spans="1:42" s="210" customFormat="1" ht="14.4" x14ac:dyDescent="0.3">
      <c r="A77" s="268"/>
      <c r="B77" s="260"/>
      <c r="C77" s="435" t="s">
        <v>572</v>
      </c>
      <c r="D77" s="435"/>
      <c r="E77" s="435"/>
      <c r="F77" s="261" t="s">
        <v>571</v>
      </c>
      <c r="G77" s="267">
        <v>6.91</v>
      </c>
      <c r="H77" s="267">
        <v>1.1499999999999999</v>
      </c>
      <c r="I77" s="285">
        <v>0.238395</v>
      </c>
      <c r="J77" s="269"/>
      <c r="K77" s="262"/>
      <c r="L77" s="269"/>
      <c r="M77" s="262"/>
      <c r="N77" s="270"/>
      <c r="AF77" s="246"/>
      <c r="AG77" s="255"/>
      <c r="AH77" s="255"/>
      <c r="AL77" s="258" t="s">
        <v>572</v>
      </c>
      <c r="AN77" s="255"/>
    </row>
    <row r="78" spans="1:42" s="210" customFormat="1" ht="14.4" x14ac:dyDescent="0.3">
      <c r="A78" s="259"/>
      <c r="B78" s="260"/>
      <c r="C78" s="436" t="s">
        <v>573</v>
      </c>
      <c r="D78" s="436"/>
      <c r="E78" s="436"/>
      <c r="F78" s="272"/>
      <c r="G78" s="273"/>
      <c r="H78" s="273"/>
      <c r="I78" s="273"/>
      <c r="J78" s="275">
        <v>410.94</v>
      </c>
      <c r="K78" s="273"/>
      <c r="L78" s="275">
        <v>14.18</v>
      </c>
      <c r="M78" s="273"/>
      <c r="N78" s="286">
        <v>192.71</v>
      </c>
      <c r="AF78" s="246"/>
      <c r="AG78" s="255"/>
      <c r="AH78" s="255"/>
      <c r="AM78" s="258" t="s">
        <v>573</v>
      </c>
      <c r="AN78" s="255"/>
    </row>
    <row r="79" spans="1:42" s="210" customFormat="1" ht="14.4" x14ac:dyDescent="0.3">
      <c r="A79" s="268"/>
      <c r="B79" s="260"/>
      <c r="C79" s="435" t="s">
        <v>574</v>
      </c>
      <c r="D79" s="435"/>
      <c r="E79" s="435"/>
      <c r="F79" s="261"/>
      <c r="G79" s="262"/>
      <c r="H79" s="262"/>
      <c r="I79" s="262"/>
      <c r="J79" s="269"/>
      <c r="K79" s="262"/>
      <c r="L79" s="263">
        <v>2.77</v>
      </c>
      <c r="M79" s="262"/>
      <c r="N79" s="284">
        <v>115.79</v>
      </c>
      <c r="AF79" s="246"/>
      <c r="AG79" s="255"/>
      <c r="AH79" s="255"/>
      <c r="AL79" s="258" t="s">
        <v>574</v>
      </c>
      <c r="AN79" s="255"/>
    </row>
    <row r="80" spans="1:42" s="210" customFormat="1" ht="21.6" x14ac:dyDescent="0.3">
      <c r="A80" s="268"/>
      <c r="B80" s="260" t="s">
        <v>775</v>
      </c>
      <c r="C80" s="435" t="s">
        <v>776</v>
      </c>
      <c r="D80" s="435"/>
      <c r="E80" s="435"/>
      <c r="F80" s="261" t="s">
        <v>577</v>
      </c>
      <c r="G80" s="277">
        <v>92</v>
      </c>
      <c r="H80" s="262"/>
      <c r="I80" s="277">
        <v>92</v>
      </c>
      <c r="J80" s="269"/>
      <c r="K80" s="262"/>
      <c r="L80" s="263">
        <v>2.5499999999999998</v>
      </c>
      <c r="M80" s="262"/>
      <c r="N80" s="284">
        <v>106.53</v>
      </c>
      <c r="AF80" s="246"/>
      <c r="AG80" s="255"/>
      <c r="AH80" s="255"/>
      <c r="AL80" s="258" t="s">
        <v>776</v>
      </c>
      <c r="AN80" s="255"/>
    </row>
    <row r="81" spans="1:42" s="210" customFormat="1" ht="40.799999999999997" x14ac:dyDescent="0.3">
      <c r="A81" s="268"/>
      <c r="B81" s="260" t="s">
        <v>777</v>
      </c>
      <c r="C81" s="435" t="s">
        <v>778</v>
      </c>
      <c r="D81" s="435"/>
      <c r="E81" s="435"/>
      <c r="F81" s="261" t="s">
        <v>577</v>
      </c>
      <c r="G81" s="277">
        <v>46</v>
      </c>
      <c r="H81" s="267">
        <v>0.85</v>
      </c>
      <c r="I81" s="264">
        <v>39.1</v>
      </c>
      <c r="J81" s="269"/>
      <c r="K81" s="262"/>
      <c r="L81" s="263">
        <v>1.08</v>
      </c>
      <c r="M81" s="262"/>
      <c r="N81" s="284">
        <v>45.27</v>
      </c>
      <c r="AF81" s="246"/>
      <c r="AG81" s="255"/>
      <c r="AH81" s="255"/>
      <c r="AL81" s="258" t="s">
        <v>778</v>
      </c>
      <c r="AN81" s="255"/>
    </row>
    <row r="82" spans="1:42" s="210" customFormat="1" ht="14.4" x14ac:dyDescent="0.3">
      <c r="A82" s="278"/>
      <c r="B82" s="370"/>
      <c r="C82" s="441" t="s">
        <v>580</v>
      </c>
      <c r="D82" s="441"/>
      <c r="E82" s="441"/>
      <c r="F82" s="249"/>
      <c r="G82" s="250"/>
      <c r="H82" s="250"/>
      <c r="I82" s="250"/>
      <c r="J82" s="253"/>
      <c r="K82" s="250"/>
      <c r="L82" s="281">
        <v>17.809999999999999</v>
      </c>
      <c r="M82" s="273"/>
      <c r="N82" s="486">
        <v>344.51</v>
      </c>
      <c r="AF82" s="246"/>
      <c r="AG82" s="255"/>
      <c r="AH82" s="255"/>
      <c r="AN82" s="255" t="s">
        <v>580</v>
      </c>
    </row>
    <row r="83" spans="1:42" s="210" customFormat="1" ht="20.399999999999999" x14ac:dyDescent="0.3">
      <c r="A83" s="247" t="s">
        <v>313</v>
      </c>
      <c r="B83" s="371" t="s">
        <v>796</v>
      </c>
      <c r="C83" s="441" t="s">
        <v>797</v>
      </c>
      <c r="D83" s="441"/>
      <c r="E83" s="441"/>
      <c r="F83" s="249" t="s">
        <v>181</v>
      </c>
      <c r="G83" s="250">
        <v>30</v>
      </c>
      <c r="H83" s="251">
        <v>1</v>
      </c>
      <c r="I83" s="251">
        <v>30</v>
      </c>
      <c r="J83" s="281">
        <v>141.59</v>
      </c>
      <c r="K83" s="250"/>
      <c r="L83" s="279">
        <v>4247.7</v>
      </c>
      <c r="M83" s="252">
        <v>8.92</v>
      </c>
      <c r="N83" s="280">
        <v>37889.480000000003</v>
      </c>
      <c r="AF83" s="246"/>
      <c r="AG83" s="255"/>
      <c r="AH83" s="255" t="s">
        <v>797</v>
      </c>
      <c r="AN83" s="255"/>
    </row>
    <row r="84" spans="1:42" s="210" customFormat="1" ht="14.4" x14ac:dyDescent="0.3">
      <c r="A84" s="278"/>
      <c r="B84" s="370"/>
      <c r="C84" s="435" t="s">
        <v>798</v>
      </c>
      <c r="D84" s="435"/>
      <c r="E84" s="435"/>
      <c r="F84" s="435"/>
      <c r="G84" s="435"/>
      <c r="H84" s="435"/>
      <c r="I84" s="435"/>
      <c r="J84" s="435"/>
      <c r="K84" s="435"/>
      <c r="L84" s="435"/>
      <c r="M84" s="435"/>
      <c r="N84" s="442"/>
      <c r="AF84" s="246"/>
      <c r="AG84" s="255"/>
      <c r="AH84" s="255"/>
      <c r="AN84" s="255"/>
      <c r="AO84" s="258" t="s">
        <v>798</v>
      </c>
    </row>
    <row r="85" spans="1:42" s="210" customFormat="1" ht="14.4" x14ac:dyDescent="0.3">
      <c r="A85" s="256"/>
      <c r="B85" s="369"/>
      <c r="C85" s="435" t="s">
        <v>799</v>
      </c>
      <c r="D85" s="435"/>
      <c r="E85" s="435"/>
      <c r="F85" s="435"/>
      <c r="G85" s="435"/>
      <c r="H85" s="435"/>
      <c r="I85" s="435"/>
      <c r="J85" s="435"/>
      <c r="K85" s="435"/>
      <c r="L85" s="435"/>
      <c r="M85" s="435"/>
      <c r="N85" s="442"/>
      <c r="AF85" s="246"/>
      <c r="AG85" s="255"/>
      <c r="AH85" s="255"/>
      <c r="AI85" s="258" t="s">
        <v>799</v>
      </c>
      <c r="AN85" s="255"/>
    </row>
    <row r="86" spans="1:42" s="210" customFormat="1" ht="14.4" x14ac:dyDescent="0.3">
      <c r="A86" s="256"/>
      <c r="B86" s="369"/>
      <c r="C86" s="435" t="s">
        <v>800</v>
      </c>
      <c r="D86" s="435"/>
      <c r="E86" s="435"/>
      <c r="F86" s="435"/>
      <c r="G86" s="435"/>
      <c r="H86" s="435"/>
      <c r="I86" s="435"/>
      <c r="J86" s="435"/>
      <c r="K86" s="435"/>
      <c r="L86" s="435"/>
      <c r="M86" s="435"/>
      <c r="N86" s="442"/>
      <c r="AF86" s="246"/>
      <c r="AG86" s="255"/>
      <c r="AH86" s="255"/>
      <c r="AN86" s="255"/>
      <c r="AP86" s="258" t="s">
        <v>800</v>
      </c>
    </row>
    <row r="87" spans="1:42" s="210" customFormat="1" ht="14.4" x14ac:dyDescent="0.3">
      <c r="A87" s="278"/>
      <c r="B87" s="370"/>
      <c r="C87" s="441" t="s">
        <v>580</v>
      </c>
      <c r="D87" s="441"/>
      <c r="E87" s="441"/>
      <c r="F87" s="249"/>
      <c r="G87" s="250"/>
      <c r="H87" s="250"/>
      <c r="I87" s="250"/>
      <c r="J87" s="253"/>
      <c r="K87" s="250"/>
      <c r="L87" s="279">
        <v>4247.7</v>
      </c>
      <c r="M87" s="273"/>
      <c r="N87" s="280">
        <v>37889.480000000003</v>
      </c>
      <c r="AF87" s="246"/>
      <c r="AG87" s="255"/>
      <c r="AH87" s="255"/>
      <c r="AN87" s="255" t="s">
        <v>580</v>
      </c>
    </row>
    <row r="88" spans="1:42" s="210" customFormat="1" ht="14.4" x14ac:dyDescent="0.3">
      <c r="A88" s="483" t="s">
        <v>801</v>
      </c>
      <c r="B88" s="484"/>
      <c r="C88" s="484"/>
      <c r="D88" s="484"/>
      <c r="E88" s="484"/>
      <c r="F88" s="484"/>
      <c r="G88" s="484"/>
      <c r="H88" s="484"/>
      <c r="I88" s="484"/>
      <c r="J88" s="484"/>
      <c r="K88" s="484"/>
      <c r="L88" s="484"/>
      <c r="M88" s="484"/>
      <c r="N88" s="485"/>
      <c r="AF88" s="246"/>
      <c r="AG88" s="255" t="s">
        <v>801</v>
      </c>
      <c r="AH88" s="255"/>
      <c r="AN88" s="255"/>
    </row>
    <row r="89" spans="1:42" s="210" customFormat="1" ht="21.6" x14ac:dyDescent="0.3">
      <c r="A89" s="247" t="s">
        <v>320</v>
      </c>
      <c r="B89" s="371" t="s">
        <v>802</v>
      </c>
      <c r="C89" s="441" t="s">
        <v>803</v>
      </c>
      <c r="D89" s="441"/>
      <c r="E89" s="441"/>
      <c r="F89" s="249" t="s">
        <v>181</v>
      </c>
      <c r="G89" s="250">
        <v>0.192</v>
      </c>
      <c r="H89" s="251">
        <v>1</v>
      </c>
      <c r="I89" s="287">
        <v>0.192</v>
      </c>
      <c r="J89" s="253"/>
      <c r="K89" s="250"/>
      <c r="L89" s="253"/>
      <c r="M89" s="250"/>
      <c r="N89" s="254"/>
      <c r="AF89" s="246"/>
      <c r="AG89" s="255"/>
      <c r="AH89" s="255" t="s">
        <v>803</v>
      </c>
      <c r="AN89" s="255"/>
    </row>
    <row r="90" spans="1:42" s="210" customFormat="1" ht="14.4" x14ac:dyDescent="0.3">
      <c r="A90" s="256"/>
      <c r="B90" s="369"/>
      <c r="C90" s="435" t="s">
        <v>804</v>
      </c>
      <c r="D90" s="435"/>
      <c r="E90" s="435"/>
      <c r="F90" s="435"/>
      <c r="G90" s="435"/>
      <c r="H90" s="435"/>
      <c r="I90" s="435"/>
      <c r="J90" s="435"/>
      <c r="K90" s="435"/>
      <c r="L90" s="435"/>
      <c r="M90" s="435"/>
      <c r="N90" s="442"/>
      <c r="AF90" s="246"/>
      <c r="AG90" s="255"/>
      <c r="AH90" s="255"/>
      <c r="AI90" s="258" t="s">
        <v>804</v>
      </c>
      <c r="AN90" s="255"/>
    </row>
    <row r="91" spans="1:42" s="210" customFormat="1" ht="52.2" x14ac:dyDescent="0.3">
      <c r="A91" s="283"/>
      <c r="B91" s="260" t="s">
        <v>704</v>
      </c>
      <c r="C91" s="443" t="s">
        <v>705</v>
      </c>
      <c r="D91" s="443"/>
      <c r="E91" s="443"/>
      <c r="F91" s="443"/>
      <c r="G91" s="443"/>
      <c r="H91" s="443"/>
      <c r="I91" s="443"/>
      <c r="J91" s="443"/>
      <c r="K91" s="443"/>
      <c r="L91" s="443"/>
      <c r="M91" s="443"/>
      <c r="N91" s="444"/>
      <c r="T91" s="210">
        <f>0.4*0.4*0.1*12</f>
        <v>0.19200000000000006</v>
      </c>
      <c r="AF91" s="246"/>
      <c r="AG91" s="255"/>
      <c r="AH91" s="255"/>
      <c r="AJ91" s="258" t="s">
        <v>705</v>
      </c>
      <c r="AN91" s="255"/>
    </row>
    <row r="92" spans="1:42" s="210" customFormat="1" ht="14.4" x14ac:dyDescent="0.3">
      <c r="A92" s="259"/>
      <c r="B92" s="260" t="s">
        <v>301</v>
      </c>
      <c r="C92" s="435" t="s">
        <v>566</v>
      </c>
      <c r="D92" s="435"/>
      <c r="E92" s="435"/>
      <c r="F92" s="261"/>
      <c r="G92" s="262"/>
      <c r="H92" s="262"/>
      <c r="I92" s="262"/>
      <c r="J92" s="263">
        <v>6.75</v>
      </c>
      <c r="K92" s="267">
        <v>1.1499999999999999</v>
      </c>
      <c r="L92" s="263">
        <v>1.49</v>
      </c>
      <c r="M92" s="264">
        <v>41.8</v>
      </c>
      <c r="N92" s="284">
        <v>62.28</v>
      </c>
      <c r="AF92" s="246"/>
      <c r="AG92" s="255"/>
      <c r="AH92" s="255"/>
      <c r="AK92" s="258" t="s">
        <v>566</v>
      </c>
      <c r="AN92" s="255"/>
    </row>
    <row r="93" spans="1:42" s="210" customFormat="1" ht="14.4" x14ac:dyDescent="0.3">
      <c r="A93" s="259"/>
      <c r="B93" s="260" t="s">
        <v>304</v>
      </c>
      <c r="C93" s="435" t="s">
        <v>567</v>
      </c>
      <c r="D93" s="435"/>
      <c r="E93" s="435"/>
      <c r="F93" s="261"/>
      <c r="G93" s="262"/>
      <c r="H93" s="262"/>
      <c r="I93" s="262"/>
      <c r="J93" s="263">
        <v>8.2899999999999991</v>
      </c>
      <c r="K93" s="267">
        <v>1.1499999999999999</v>
      </c>
      <c r="L93" s="263">
        <v>1.83</v>
      </c>
      <c r="M93" s="267">
        <v>13.59</v>
      </c>
      <c r="N93" s="284">
        <v>24.87</v>
      </c>
      <c r="AF93" s="246"/>
      <c r="AG93" s="255"/>
      <c r="AH93" s="255"/>
      <c r="AK93" s="258" t="s">
        <v>567</v>
      </c>
      <c r="AN93" s="255"/>
    </row>
    <row r="94" spans="1:42" s="210" customFormat="1" ht="14.4" x14ac:dyDescent="0.3">
      <c r="A94" s="259"/>
      <c r="B94" s="260" t="s">
        <v>568</v>
      </c>
      <c r="C94" s="435" t="s">
        <v>569</v>
      </c>
      <c r="D94" s="435"/>
      <c r="E94" s="435"/>
      <c r="F94" s="261"/>
      <c r="G94" s="262"/>
      <c r="H94" s="262"/>
      <c r="I94" s="262"/>
      <c r="J94" s="263">
        <v>0.81</v>
      </c>
      <c r="K94" s="267">
        <v>1.1499999999999999</v>
      </c>
      <c r="L94" s="263">
        <v>0.18</v>
      </c>
      <c r="M94" s="264">
        <v>41.8</v>
      </c>
      <c r="N94" s="284">
        <v>7.52</v>
      </c>
      <c r="AF94" s="246"/>
      <c r="AG94" s="255"/>
      <c r="AH94" s="255"/>
      <c r="AK94" s="258" t="s">
        <v>569</v>
      </c>
      <c r="AN94" s="255"/>
    </row>
    <row r="95" spans="1:42" s="210" customFormat="1" ht="14.4" x14ac:dyDescent="0.3">
      <c r="A95" s="259"/>
      <c r="B95" s="260" t="s">
        <v>592</v>
      </c>
      <c r="C95" s="435" t="s">
        <v>593</v>
      </c>
      <c r="D95" s="435"/>
      <c r="E95" s="435"/>
      <c r="F95" s="261"/>
      <c r="G95" s="262"/>
      <c r="H95" s="262"/>
      <c r="I95" s="262"/>
      <c r="J95" s="263">
        <v>0.37</v>
      </c>
      <c r="K95" s="262"/>
      <c r="L95" s="263">
        <v>7.0000000000000007E-2</v>
      </c>
      <c r="M95" s="267">
        <v>8.92</v>
      </c>
      <c r="N95" s="284">
        <v>0.62</v>
      </c>
      <c r="AF95" s="246"/>
      <c r="AG95" s="255"/>
      <c r="AH95" s="255"/>
      <c r="AK95" s="258" t="s">
        <v>593</v>
      </c>
      <c r="AN95" s="255"/>
    </row>
    <row r="96" spans="1:42" s="210" customFormat="1" ht="14.4" x14ac:dyDescent="0.3">
      <c r="A96" s="268"/>
      <c r="B96" s="260"/>
      <c r="C96" s="435" t="s">
        <v>570</v>
      </c>
      <c r="D96" s="435"/>
      <c r="E96" s="435"/>
      <c r="F96" s="261" t="s">
        <v>571</v>
      </c>
      <c r="G96" s="267">
        <v>0.85</v>
      </c>
      <c r="H96" s="267">
        <v>1.1499999999999999</v>
      </c>
      <c r="I96" s="289">
        <v>0.18768000000000001</v>
      </c>
      <c r="J96" s="269"/>
      <c r="K96" s="262"/>
      <c r="L96" s="269"/>
      <c r="M96" s="262"/>
      <c r="N96" s="270"/>
      <c r="AF96" s="246"/>
      <c r="AG96" s="255"/>
      <c r="AH96" s="255"/>
      <c r="AL96" s="258" t="s">
        <v>570</v>
      </c>
      <c r="AN96" s="255"/>
    </row>
    <row r="97" spans="1:42" s="210" customFormat="1" ht="14.4" x14ac:dyDescent="0.3">
      <c r="A97" s="268"/>
      <c r="B97" s="260"/>
      <c r="C97" s="435" t="s">
        <v>572</v>
      </c>
      <c r="D97" s="435"/>
      <c r="E97" s="435"/>
      <c r="F97" s="261" t="s">
        <v>571</v>
      </c>
      <c r="G97" s="267">
        <v>7.0000000000000007E-2</v>
      </c>
      <c r="H97" s="267">
        <v>1.1499999999999999</v>
      </c>
      <c r="I97" s="285">
        <v>1.5455999999999999E-2</v>
      </c>
      <c r="J97" s="269"/>
      <c r="K97" s="262"/>
      <c r="L97" s="269"/>
      <c r="M97" s="262"/>
      <c r="N97" s="270"/>
      <c r="AF97" s="246"/>
      <c r="AG97" s="255"/>
      <c r="AH97" s="255"/>
      <c r="AL97" s="258" t="s">
        <v>572</v>
      </c>
      <c r="AN97" s="255"/>
    </row>
    <row r="98" spans="1:42" s="210" customFormat="1" ht="14.4" x14ac:dyDescent="0.3">
      <c r="A98" s="259"/>
      <c r="B98" s="260"/>
      <c r="C98" s="436" t="s">
        <v>573</v>
      </c>
      <c r="D98" s="436"/>
      <c r="E98" s="436"/>
      <c r="F98" s="272"/>
      <c r="G98" s="273"/>
      <c r="H98" s="273"/>
      <c r="I98" s="273"/>
      <c r="J98" s="275">
        <v>15.41</v>
      </c>
      <c r="K98" s="273"/>
      <c r="L98" s="275">
        <v>3.39</v>
      </c>
      <c r="M98" s="273"/>
      <c r="N98" s="286">
        <v>87.77</v>
      </c>
      <c r="AF98" s="246"/>
      <c r="AG98" s="255"/>
      <c r="AH98" s="255"/>
      <c r="AM98" s="258" t="s">
        <v>573</v>
      </c>
      <c r="AN98" s="255"/>
    </row>
    <row r="99" spans="1:42" s="210" customFormat="1" ht="14.4" x14ac:dyDescent="0.3">
      <c r="A99" s="268"/>
      <c r="B99" s="260"/>
      <c r="C99" s="435" t="s">
        <v>574</v>
      </c>
      <c r="D99" s="435"/>
      <c r="E99" s="435"/>
      <c r="F99" s="261"/>
      <c r="G99" s="262"/>
      <c r="H99" s="262"/>
      <c r="I99" s="262"/>
      <c r="J99" s="269"/>
      <c r="K99" s="262"/>
      <c r="L99" s="263">
        <v>1.67</v>
      </c>
      <c r="M99" s="262"/>
      <c r="N99" s="284">
        <v>69.8</v>
      </c>
      <c r="AF99" s="246"/>
      <c r="AG99" s="255"/>
      <c r="AH99" s="255"/>
      <c r="AL99" s="258" t="s">
        <v>574</v>
      </c>
      <c r="AN99" s="255"/>
    </row>
    <row r="100" spans="1:42" s="210" customFormat="1" ht="20.399999999999999" x14ac:dyDescent="0.3">
      <c r="A100" s="268"/>
      <c r="B100" s="260" t="s">
        <v>805</v>
      </c>
      <c r="C100" s="435" t="s">
        <v>806</v>
      </c>
      <c r="D100" s="435"/>
      <c r="E100" s="435"/>
      <c r="F100" s="261" t="s">
        <v>577</v>
      </c>
      <c r="G100" s="277">
        <v>110</v>
      </c>
      <c r="H100" s="262"/>
      <c r="I100" s="277">
        <v>110</v>
      </c>
      <c r="J100" s="269"/>
      <c r="K100" s="262"/>
      <c r="L100" s="263">
        <v>1.84</v>
      </c>
      <c r="M100" s="262"/>
      <c r="N100" s="284">
        <v>76.78</v>
      </c>
      <c r="AF100" s="246"/>
      <c r="AG100" s="255"/>
      <c r="AH100" s="255"/>
      <c r="AL100" s="258" t="s">
        <v>806</v>
      </c>
      <c r="AN100" s="255"/>
    </row>
    <row r="101" spans="1:42" s="210" customFormat="1" ht="40.799999999999997" x14ac:dyDescent="0.3">
      <c r="A101" s="268"/>
      <c r="B101" s="260" t="s">
        <v>807</v>
      </c>
      <c r="C101" s="435" t="s">
        <v>808</v>
      </c>
      <c r="D101" s="435"/>
      <c r="E101" s="435"/>
      <c r="F101" s="261" t="s">
        <v>577</v>
      </c>
      <c r="G101" s="277">
        <v>69</v>
      </c>
      <c r="H101" s="267">
        <v>0.85</v>
      </c>
      <c r="I101" s="267">
        <v>58.65</v>
      </c>
      <c r="J101" s="269"/>
      <c r="K101" s="262"/>
      <c r="L101" s="263">
        <v>0.98</v>
      </c>
      <c r="M101" s="262"/>
      <c r="N101" s="284">
        <v>40.94</v>
      </c>
      <c r="AF101" s="246"/>
      <c r="AG101" s="255"/>
      <c r="AH101" s="255"/>
      <c r="AL101" s="258" t="s">
        <v>808</v>
      </c>
      <c r="AN101" s="255"/>
    </row>
    <row r="102" spans="1:42" s="210" customFormat="1" ht="14.4" x14ac:dyDescent="0.3">
      <c r="A102" s="278"/>
      <c r="B102" s="370"/>
      <c r="C102" s="441" t="s">
        <v>580</v>
      </c>
      <c r="D102" s="441"/>
      <c r="E102" s="441"/>
      <c r="F102" s="249"/>
      <c r="G102" s="250"/>
      <c r="H102" s="250"/>
      <c r="I102" s="250"/>
      <c r="J102" s="253"/>
      <c r="K102" s="250"/>
      <c r="L102" s="281">
        <v>6.21</v>
      </c>
      <c r="M102" s="273"/>
      <c r="N102" s="486">
        <v>205.49</v>
      </c>
      <c r="AF102" s="246"/>
      <c r="AG102" s="255"/>
      <c r="AH102" s="255"/>
      <c r="AN102" s="255" t="s">
        <v>580</v>
      </c>
    </row>
    <row r="103" spans="1:42" s="210" customFormat="1" ht="20.399999999999999" x14ac:dyDescent="0.3">
      <c r="A103" s="247" t="s">
        <v>610</v>
      </c>
      <c r="B103" s="371" t="s">
        <v>796</v>
      </c>
      <c r="C103" s="441" t="s">
        <v>809</v>
      </c>
      <c r="D103" s="441"/>
      <c r="E103" s="441"/>
      <c r="F103" s="249" t="s">
        <v>181</v>
      </c>
      <c r="G103" s="250">
        <v>0.22</v>
      </c>
      <c r="H103" s="251">
        <v>1</v>
      </c>
      <c r="I103" s="252">
        <v>0.22</v>
      </c>
      <c r="J103" s="281">
        <v>348.29</v>
      </c>
      <c r="K103" s="250"/>
      <c r="L103" s="281">
        <v>76.62</v>
      </c>
      <c r="M103" s="252">
        <v>8.92</v>
      </c>
      <c r="N103" s="486">
        <v>683.45</v>
      </c>
      <c r="AF103" s="246"/>
      <c r="AG103" s="255"/>
      <c r="AH103" s="255" t="s">
        <v>809</v>
      </c>
      <c r="AN103" s="255"/>
    </row>
    <row r="104" spans="1:42" s="210" customFormat="1" ht="14.4" x14ac:dyDescent="0.3">
      <c r="A104" s="278"/>
      <c r="B104" s="370"/>
      <c r="C104" s="435" t="s">
        <v>810</v>
      </c>
      <c r="D104" s="435"/>
      <c r="E104" s="435"/>
      <c r="F104" s="435"/>
      <c r="G104" s="435"/>
      <c r="H104" s="435"/>
      <c r="I104" s="435"/>
      <c r="J104" s="435"/>
      <c r="K104" s="435"/>
      <c r="L104" s="435"/>
      <c r="M104" s="435"/>
      <c r="N104" s="442"/>
      <c r="AF104" s="246"/>
      <c r="AG104" s="255"/>
      <c r="AH104" s="255"/>
      <c r="AN104" s="255"/>
      <c r="AO104" s="258" t="s">
        <v>810</v>
      </c>
    </row>
    <row r="105" spans="1:42" s="210" customFormat="1" ht="14.4" x14ac:dyDescent="0.3">
      <c r="A105" s="256"/>
      <c r="B105" s="369"/>
      <c r="C105" s="435" t="s">
        <v>811</v>
      </c>
      <c r="D105" s="435"/>
      <c r="E105" s="435"/>
      <c r="F105" s="435"/>
      <c r="G105" s="435"/>
      <c r="H105" s="435"/>
      <c r="I105" s="435"/>
      <c r="J105" s="435"/>
      <c r="K105" s="435"/>
      <c r="L105" s="435"/>
      <c r="M105" s="435"/>
      <c r="N105" s="442"/>
      <c r="AF105" s="246"/>
      <c r="AG105" s="255"/>
      <c r="AH105" s="255"/>
      <c r="AN105" s="255"/>
      <c r="AP105" s="258" t="s">
        <v>811</v>
      </c>
    </row>
    <row r="106" spans="1:42" s="210" customFormat="1" ht="14.4" x14ac:dyDescent="0.3">
      <c r="A106" s="278"/>
      <c r="B106" s="370"/>
      <c r="C106" s="441" t="s">
        <v>580</v>
      </c>
      <c r="D106" s="441"/>
      <c r="E106" s="441"/>
      <c r="F106" s="249"/>
      <c r="G106" s="250"/>
      <c r="H106" s="250"/>
      <c r="I106" s="250"/>
      <c r="J106" s="253"/>
      <c r="K106" s="250"/>
      <c r="L106" s="281">
        <v>76.62</v>
      </c>
      <c r="M106" s="273"/>
      <c r="N106" s="486">
        <v>683.45</v>
      </c>
      <c r="AF106" s="246"/>
      <c r="AG106" s="255"/>
      <c r="AH106" s="255"/>
      <c r="AN106" s="255" t="s">
        <v>580</v>
      </c>
    </row>
    <row r="107" spans="1:42" s="210" customFormat="1" ht="21.6" x14ac:dyDescent="0.3">
      <c r="A107" s="247" t="s">
        <v>617</v>
      </c>
      <c r="B107" s="371" t="s">
        <v>812</v>
      </c>
      <c r="C107" s="441" t="s">
        <v>813</v>
      </c>
      <c r="D107" s="441"/>
      <c r="E107" s="441"/>
      <c r="F107" s="249" t="s">
        <v>781</v>
      </c>
      <c r="G107" s="250">
        <v>3.5000000000000003E-2</v>
      </c>
      <c r="H107" s="251">
        <v>1</v>
      </c>
      <c r="I107" s="287">
        <v>3.5000000000000003E-2</v>
      </c>
      <c r="J107" s="253"/>
      <c r="K107" s="250"/>
      <c r="L107" s="253"/>
      <c r="M107" s="250"/>
      <c r="N107" s="254"/>
      <c r="AF107" s="246"/>
      <c r="AG107" s="255"/>
      <c r="AH107" s="255" t="s">
        <v>813</v>
      </c>
      <c r="AN107" s="255"/>
    </row>
    <row r="108" spans="1:42" s="210" customFormat="1" ht="14.4" x14ac:dyDescent="0.3">
      <c r="A108" s="256"/>
      <c r="B108" s="369"/>
      <c r="C108" s="435" t="s">
        <v>814</v>
      </c>
      <c r="D108" s="435"/>
      <c r="E108" s="435"/>
      <c r="F108" s="435"/>
      <c r="G108" s="435"/>
      <c r="H108" s="435"/>
      <c r="I108" s="435"/>
      <c r="J108" s="435"/>
      <c r="K108" s="435"/>
      <c r="L108" s="435"/>
      <c r="M108" s="435"/>
      <c r="N108" s="442"/>
      <c r="AF108" s="246"/>
      <c r="AG108" s="255"/>
      <c r="AH108" s="255"/>
      <c r="AI108" s="258" t="s">
        <v>814</v>
      </c>
      <c r="AN108" s="255"/>
    </row>
    <row r="109" spans="1:42" s="210" customFormat="1" ht="52.2" x14ac:dyDescent="0.3">
      <c r="A109" s="283"/>
      <c r="B109" s="260" t="s">
        <v>704</v>
      </c>
      <c r="C109" s="443" t="s">
        <v>705</v>
      </c>
      <c r="D109" s="443"/>
      <c r="E109" s="443"/>
      <c r="F109" s="443"/>
      <c r="G109" s="443"/>
      <c r="H109" s="443"/>
      <c r="I109" s="443"/>
      <c r="J109" s="443"/>
      <c r="K109" s="443"/>
      <c r="L109" s="443"/>
      <c r="M109" s="443"/>
      <c r="N109" s="444"/>
      <c r="AF109" s="246"/>
      <c r="AG109" s="255"/>
      <c r="AH109" s="255"/>
      <c r="AJ109" s="258" t="s">
        <v>705</v>
      </c>
      <c r="AN109" s="255"/>
    </row>
    <row r="110" spans="1:42" s="210" customFormat="1" ht="14.4" x14ac:dyDescent="0.3">
      <c r="A110" s="259"/>
      <c r="B110" s="260" t="s">
        <v>301</v>
      </c>
      <c r="C110" s="435" t="s">
        <v>566</v>
      </c>
      <c r="D110" s="435"/>
      <c r="E110" s="435"/>
      <c r="F110" s="261"/>
      <c r="G110" s="262"/>
      <c r="H110" s="262"/>
      <c r="I110" s="262"/>
      <c r="J110" s="266">
        <v>3426.3</v>
      </c>
      <c r="K110" s="267">
        <v>1.1499999999999999</v>
      </c>
      <c r="L110" s="263">
        <v>137.91</v>
      </c>
      <c r="M110" s="264">
        <v>41.8</v>
      </c>
      <c r="N110" s="265">
        <v>5764.64</v>
      </c>
      <c r="AF110" s="246"/>
      <c r="AG110" s="255"/>
      <c r="AH110" s="255"/>
      <c r="AK110" s="258" t="s">
        <v>566</v>
      </c>
      <c r="AN110" s="255"/>
    </row>
    <row r="111" spans="1:42" s="210" customFormat="1" ht="14.4" x14ac:dyDescent="0.3">
      <c r="A111" s="259"/>
      <c r="B111" s="260" t="s">
        <v>304</v>
      </c>
      <c r="C111" s="435" t="s">
        <v>567</v>
      </c>
      <c r="D111" s="435"/>
      <c r="E111" s="435"/>
      <c r="F111" s="261"/>
      <c r="G111" s="262"/>
      <c r="H111" s="262"/>
      <c r="I111" s="262"/>
      <c r="J111" s="266">
        <v>2470.5100000000002</v>
      </c>
      <c r="K111" s="267">
        <v>1.1499999999999999</v>
      </c>
      <c r="L111" s="263">
        <v>99.44</v>
      </c>
      <c r="M111" s="267">
        <v>13.59</v>
      </c>
      <c r="N111" s="265">
        <v>1351.39</v>
      </c>
      <c r="AF111" s="246"/>
      <c r="AG111" s="255"/>
      <c r="AH111" s="255"/>
      <c r="AK111" s="258" t="s">
        <v>567</v>
      </c>
      <c r="AN111" s="255"/>
    </row>
    <row r="112" spans="1:42" s="210" customFormat="1" ht="14.4" x14ac:dyDescent="0.3">
      <c r="A112" s="259"/>
      <c r="B112" s="260" t="s">
        <v>568</v>
      </c>
      <c r="C112" s="435" t="s">
        <v>569</v>
      </c>
      <c r="D112" s="435"/>
      <c r="E112" s="435"/>
      <c r="F112" s="261"/>
      <c r="G112" s="262"/>
      <c r="H112" s="262"/>
      <c r="I112" s="262"/>
      <c r="J112" s="263">
        <v>339.05</v>
      </c>
      <c r="K112" s="267">
        <v>1.1499999999999999</v>
      </c>
      <c r="L112" s="263">
        <v>13.65</v>
      </c>
      <c r="M112" s="264">
        <v>41.8</v>
      </c>
      <c r="N112" s="284">
        <v>570.57000000000005</v>
      </c>
      <c r="AF112" s="246"/>
      <c r="AG112" s="255"/>
      <c r="AH112" s="255"/>
      <c r="AK112" s="258" t="s">
        <v>569</v>
      </c>
      <c r="AN112" s="255"/>
    </row>
    <row r="113" spans="1:41" s="210" customFormat="1" ht="14.4" x14ac:dyDescent="0.3">
      <c r="A113" s="259"/>
      <c r="B113" s="260" t="s">
        <v>592</v>
      </c>
      <c r="C113" s="435" t="s">
        <v>593</v>
      </c>
      <c r="D113" s="435"/>
      <c r="E113" s="435"/>
      <c r="F113" s="261"/>
      <c r="G113" s="262"/>
      <c r="H113" s="262"/>
      <c r="I113" s="262"/>
      <c r="J113" s="266">
        <v>3932.21</v>
      </c>
      <c r="K113" s="262"/>
      <c r="L113" s="263">
        <v>137.63</v>
      </c>
      <c r="M113" s="267">
        <v>8.92</v>
      </c>
      <c r="N113" s="265">
        <v>1227.6600000000001</v>
      </c>
      <c r="AF113" s="246"/>
      <c r="AG113" s="255"/>
      <c r="AH113" s="255"/>
      <c r="AK113" s="258" t="s">
        <v>593</v>
      </c>
      <c r="AN113" s="255"/>
    </row>
    <row r="114" spans="1:41" s="210" customFormat="1" ht="14.4" x14ac:dyDescent="0.3">
      <c r="A114" s="268"/>
      <c r="B114" s="260"/>
      <c r="C114" s="435" t="s">
        <v>570</v>
      </c>
      <c r="D114" s="435"/>
      <c r="E114" s="435"/>
      <c r="F114" s="261" t="s">
        <v>571</v>
      </c>
      <c r="G114" s="277">
        <v>405</v>
      </c>
      <c r="H114" s="267">
        <v>1.1499999999999999</v>
      </c>
      <c r="I114" s="289">
        <v>16.30125</v>
      </c>
      <c r="J114" s="269"/>
      <c r="K114" s="262"/>
      <c r="L114" s="269"/>
      <c r="M114" s="262"/>
      <c r="N114" s="270"/>
      <c r="AF114" s="246"/>
      <c r="AG114" s="255"/>
      <c r="AH114" s="255"/>
      <c r="AL114" s="258" t="s">
        <v>570</v>
      </c>
      <c r="AN114" s="255"/>
    </row>
    <row r="115" spans="1:41" s="210" customFormat="1" ht="14.4" x14ac:dyDescent="0.3">
      <c r="A115" s="268"/>
      <c r="B115" s="260"/>
      <c r="C115" s="435" t="s">
        <v>572</v>
      </c>
      <c r="D115" s="435"/>
      <c r="E115" s="435"/>
      <c r="F115" s="261" t="s">
        <v>571</v>
      </c>
      <c r="G115" s="267">
        <v>25.39</v>
      </c>
      <c r="H115" s="267">
        <v>1.1499999999999999</v>
      </c>
      <c r="I115" s="334">
        <v>1.0219475</v>
      </c>
      <c r="J115" s="269"/>
      <c r="K115" s="262"/>
      <c r="L115" s="269"/>
      <c r="M115" s="262"/>
      <c r="N115" s="270"/>
      <c r="AF115" s="246"/>
      <c r="AG115" s="255"/>
      <c r="AH115" s="255"/>
      <c r="AL115" s="258" t="s">
        <v>572</v>
      </c>
      <c r="AN115" s="255"/>
    </row>
    <row r="116" spans="1:41" s="210" customFormat="1" ht="14.4" x14ac:dyDescent="0.3">
      <c r="A116" s="259"/>
      <c r="B116" s="260"/>
      <c r="C116" s="436" t="s">
        <v>573</v>
      </c>
      <c r="D116" s="436"/>
      <c r="E116" s="436"/>
      <c r="F116" s="272"/>
      <c r="G116" s="273"/>
      <c r="H116" s="273"/>
      <c r="I116" s="273"/>
      <c r="J116" s="274">
        <v>9829.02</v>
      </c>
      <c r="K116" s="273"/>
      <c r="L116" s="275">
        <v>374.98</v>
      </c>
      <c r="M116" s="273"/>
      <c r="N116" s="276">
        <v>8343.69</v>
      </c>
      <c r="AF116" s="246"/>
      <c r="AG116" s="255"/>
      <c r="AH116" s="255"/>
      <c r="AM116" s="258" t="s">
        <v>573</v>
      </c>
      <c r="AN116" s="255"/>
    </row>
    <row r="117" spans="1:41" s="210" customFormat="1" ht="14.4" x14ac:dyDescent="0.3">
      <c r="A117" s="268"/>
      <c r="B117" s="260"/>
      <c r="C117" s="435" t="s">
        <v>574</v>
      </c>
      <c r="D117" s="435"/>
      <c r="E117" s="435"/>
      <c r="F117" s="261"/>
      <c r="G117" s="262"/>
      <c r="H117" s="262"/>
      <c r="I117" s="262"/>
      <c r="J117" s="269"/>
      <c r="K117" s="262"/>
      <c r="L117" s="263">
        <v>151.56</v>
      </c>
      <c r="M117" s="262"/>
      <c r="N117" s="265">
        <v>6335.21</v>
      </c>
      <c r="AF117" s="246"/>
      <c r="AG117" s="255"/>
      <c r="AH117" s="255"/>
      <c r="AL117" s="258" t="s">
        <v>574</v>
      </c>
      <c r="AN117" s="255"/>
    </row>
    <row r="118" spans="1:41" s="210" customFormat="1" ht="21.6" x14ac:dyDescent="0.3">
      <c r="A118" s="268"/>
      <c r="B118" s="260" t="s">
        <v>815</v>
      </c>
      <c r="C118" s="435" t="s">
        <v>816</v>
      </c>
      <c r="D118" s="435"/>
      <c r="E118" s="435"/>
      <c r="F118" s="261" t="s">
        <v>577</v>
      </c>
      <c r="G118" s="277">
        <v>102</v>
      </c>
      <c r="H118" s="262"/>
      <c r="I118" s="277">
        <v>102</v>
      </c>
      <c r="J118" s="269"/>
      <c r="K118" s="262"/>
      <c r="L118" s="263">
        <v>154.59</v>
      </c>
      <c r="M118" s="262"/>
      <c r="N118" s="265">
        <v>6461.91</v>
      </c>
      <c r="AF118" s="246"/>
      <c r="AG118" s="255"/>
      <c r="AH118" s="255"/>
      <c r="AL118" s="258" t="s">
        <v>816</v>
      </c>
      <c r="AN118" s="255"/>
    </row>
    <row r="119" spans="1:41" s="210" customFormat="1" ht="40.799999999999997" x14ac:dyDescent="0.3">
      <c r="A119" s="268"/>
      <c r="B119" s="260" t="s">
        <v>817</v>
      </c>
      <c r="C119" s="435" t="s">
        <v>818</v>
      </c>
      <c r="D119" s="435"/>
      <c r="E119" s="435"/>
      <c r="F119" s="261" t="s">
        <v>577</v>
      </c>
      <c r="G119" s="277">
        <v>58</v>
      </c>
      <c r="H119" s="267">
        <v>0.85</v>
      </c>
      <c r="I119" s="264">
        <v>49.3</v>
      </c>
      <c r="J119" s="269"/>
      <c r="K119" s="262"/>
      <c r="L119" s="263">
        <v>74.72</v>
      </c>
      <c r="M119" s="262"/>
      <c r="N119" s="265">
        <v>3123.26</v>
      </c>
      <c r="AF119" s="246"/>
      <c r="AG119" s="255"/>
      <c r="AH119" s="255"/>
      <c r="AL119" s="258" t="s">
        <v>818</v>
      </c>
      <c r="AN119" s="255"/>
    </row>
    <row r="120" spans="1:41" s="210" customFormat="1" ht="14.4" x14ac:dyDescent="0.3">
      <c r="A120" s="278"/>
      <c r="B120" s="370"/>
      <c r="C120" s="441" t="s">
        <v>580</v>
      </c>
      <c r="D120" s="441"/>
      <c r="E120" s="441"/>
      <c r="F120" s="249"/>
      <c r="G120" s="250"/>
      <c r="H120" s="250"/>
      <c r="I120" s="250"/>
      <c r="J120" s="253"/>
      <c r="K120" s="250"/>
      <c r="L120" s="281">
        <v>604.29</v>
      </c>
      <c r="M120" s="273"/>
      <c r="N120" s="280">
        <v>17928.86</v>
      </c>
      <c r="AF120" s="246"/>
      <c r="AG120" s="255"/>
      <c r="AH120" s="255"/>
      <c r="AN120" s="255" t="s">
        <v>580</v>
      </c>
    </row>
    <row r="121" spans="1:41" s="210" customFormat="1" ht="21.6" x14ac:dyDescent="0.3">
      <c r="A121" s="247" t="s">
        <v>619</v>
      </c>
      <c r="B121" s="371" t="s">
        <v>819</v>
      </c>
      <c r="C121" s="441" t="s">
        <v>820</v>
      </c>
      <c r="D121" s="441"/>
      <c r="E121" s="441"/>
      <c r="F121" s="249" t="s">
        <v>181</v>
      </c>
      <c r="G121" s="250">
        <v>3.5525000000000002</v>
      </c>
      <c r="H121" s="251">
        <v>1</v>
      </c>
      <c r="I121" s="282">
        <v>3.5525000000000002</v>
      </c>
      <c r="J121" s="281">
        <v>700</v>
      </c>
      <c r="K121" s="250"/>
      <c r="L121" s="279">
        <v>2486.75</v>
      </c>
      <c r="M121" s="252">
        <v>8.92</v>
      </c>
      <c r="N121" s="280">
        <v>22181.81</v>
      </c>
      <c r="AF121" s="246"/>
      <c r="AG121" s="255"/>
      <c r="AH121" s="255" t="s">
        <v>820</v>
      </c>
      <c r="AN121" s="255"/>
    </row>
    <row r="122" spans="1:41" s="210" customFormat="1" ht="14.4" x14ac:dyDescent="0.3">
      <c r="A122" s="278"/>
      <c r="B122" s="370"/>
      <c r="C122" s="435" t="s">
        <v>583</v>
      </c>
      <c r="D122" s="435"/>
      <c r="E122" s="435"/>
      <c r="F122" s="435"/>
      <c r="G122" s="435"/>
      <c r="H122" s="435"/>
      <c r="I122" s="435"/>
      <c r="J122" s="435"/>
      <c r="K122" s="435"/>
      <c r="L122" s="435"/>
      <c r="M122" s="435"/>
      <c r="N122" s="442"/>
      <c r="AF122" s="246"/>
      <c r="AG122" s="255"/>
      <c r="AH122" s="255"/>
      <c r="AN122" s="255"/>
      <c r="AO122" s="258" t="s">
        <v>583</v>
      </c>
    </row>
    <row r="123" spans="1:41" s="210" customFormat="1" ht="14.4" x14ac:dyDescent="0.3">
      <c r="A123" s="278"/>
      <c r="B123" s="370"/>
      <c r="C123" s="441" t="s">
        <v>580</v>
      </c>
      <c r="D123" s="441"/>
      <c r="E123" s="441"/>
      <c r="F123" s="249"/>
      <c r="G123" s="250"/>
      <c r="H123" s="250"/>
      <c r="I123" s="250"/>
      <c r="J123" s="253"/>
      <c r="K123" s="250"/>
      <c r="L123" s="279">
        <v>2486.75</v>
      </c>
      <c r="M123" s="273"/>
      <c r="N123" s="280">
        <v>22181.81</v>
      </c>
      <c r="AF123" s="246"/>
      <c r="AG123" s="255"/>
      <c r="AH123" s="255"/>
      <c r="AN123" s="255" t="s">
        <v>580</v>
      </c>
    </row>
    <row r="124" spans="1:41" s="210" customFormat="1" ht="21.6" x14ac:dyDescent="0.3">
      <c r="A124" s="247" t="s">
        <v>252</v>
      </c>
      <c r="B124" s="371" t="s">
        <v>821</v>
      </c>
      <c r="C124" s="441" t="s">
        <v>822</v>
      </c>
      <c r="D124" s="441"/>
      <c r="E124" s="441"/>
      <c r="F124" s="249" t="s">
        <v>218</v>
      </c>
      <c r="G124" s="250">
        <v>3.5000000000000003E-2</v>
      </c>
      <c r="H124" s="251">
        <v>1</v>
      </c>
      <c r="I124" s="287">
        <v>3.5000000000000003E-2</v>
      </c>
      <c r="J124" s="279">
        <v>7997.23</v>
      </c>
      <c r="K124" s="250"/>
      <c r="L124" s="281">
        <v>279.89999999999998</v>
      </c>
      <c r="M124" s="252">
        <v>8.92</v>
      </c>
      <c r="N124" s="280">
        <v>2496.71</v>
      </c>
      <c r="AF124" s="246"/>
      <c r="AG124" s="255"/>
      <c r="AH124" s="255" t="s">
        <v>822</v>
      </c>
      <c r="AN124" s="255"/>
    </row>
    <row r="125" spans="1:41" s="210" customFormat="1" ht="14.4" x14ac:dyDescent="0.3">
      <c r="A125" s="278"/>
      <c r="B125" s="370"/>
      <c r="C125" s="435" t="s">
        <v>810</v>
      </c>
      <c r="D125" s="435"/>
      <c r="E125" s="435"/>
      <c r="F125" s="435"/>
      <c r="G125" s="435"/>
      <c r="H125" s="435"/>
      <c r="I125" s="435"/>
      <c r="J125" s="435"/>
      <c r="K125" s="435"/>
      <c r="L125" s="435"/>
      <c r="M125" s="435"/>
      <c r="N125" s="442"/>
      <c r="AF125" s="246"/>
      <c r="AG125" s="255"/>
      <c r="AH125" s="255"/>
      <c r="AN125" s="255"/>
      <c r="AO125" s="258" t="s">
        <v>810</v>
      </c>
    </row>
    <row r="126" spans="1:41" s="210" customFormat="1" ht="14.4" x14ac:dyDescent="0.3">
      <c r="A126" s="278"/>
      <c r="B126" s="370"/>
      <c r="C126" s="441" t="s">
        <v>580</v>
      </c>
      <c r="D126" s="441"/>
      <c r="E126" s="441"/>
      <c r="F126" s="249"/>
      <c r="G126" s="250"/>
      <c r="H126" s="250"/>
      <c r="I126" s="250"/>
      <c r="J126" s="253"/>
      <c r="K126" s="250"/>
      <c r="L126" s="281">
        <v>279.89999999999998</v>
      </c>
      <c r="M126" s="273"/>
      <c r="N126" s="280">
        <v>2496.71</v>
      </c>
      <c r="AF126" s="246"/>
      <c r="AG126" s="255"/>
      <c r="AH126" s="255"/>
      <c r="AN126" s="255" t="s">
        <v>580</v>
      </c>
    </row>
    <row r="127" spans="1:41" s="210" customFormat="1" ht="31.8" x14ac:dyDescent="0.3">
      <c r="A127" s="247" t="s">
        <v>625</v>
      </c>
      <c r="B127" s="371" t="s">
        <v>823</v>
      </c>
      <c r="C127" s="441" t="s">
        <v>824</v>
      </c>
      <c r="D127" s="441"/>
      <c r="E127" s="441"/>
      <c r="F127" s="249" t="s">
        <v>604</v>
      </c>
      <c r="G127" s="250">
        <v>0.34560000000000002</v>
      </c>
      <c r="H127" s="251">
        <v>1</v>
      </c>
      <c r="I127" s="282">
        <v>0.34560000000000002</v>
      </c>
      <c r="J127" s="253"/>
      <c r="K127" s="250"/>
      <c r="L127" s="253"/>
      <c r="M127" s="250"/>
      <c r="N127" s="254"/>
      <c r="AF127" s="246"/>
      <c r="AG127" s="255"/>
      <c r="AH127" s="255" t="s">
        <v>824</v>
      </c>
      <c r="AN127" s="255"/>
    </row>
    <row r="128" spans="1:41" s="210" customFormat="1" ht="14.4" x14ac:dyDescent="0.3">
      <c r="A128" s="256"/>
      <c r="B128" s="369"/>
      <c r="C128" s="435" t="s">
        <v>825</v>
      </c>
      <c r="D128" s="435"/>
      <c r="E128" s="435"/>
      <c r="F128" s="435"/>
      <c r="G128" s="435"/>
      <c r="H128" s="435"/>
      <c r="I128" s="435"/>
      <c r="J128" s="435"/>
      <c r="K128" s="435"/>
      <c r="L128" s="435"/>
      <c r="M128" s="435"/>
      <c r="N128" s="442"/>
      <c r="AF128" s="246"/>
      <c r="AG128" s="255"/>
      <c r="AH128" s="255"/>
      <c r="AI128" s="258" t="s">
        <v>825</v>
      </c>
      <c r="AN128" s="255"/>
    </row>
    <row r="129" spans="1:40" s="210" customFormat="1" ht="52.2" x14ac:dyDescent="0.3">
      <c r="A129" s="283"/>
      <c r="B129" s="260" t="s">
        <v>704</v>
      </c>
      <c r="C129" s="443" t="s">
        <v>705</v>
      </c>
      <c r="D129" s="443"/>
      <c r="E129" s="443"/>
      <c r="F129" s="443"/>
      <c r="G129" s="443"/>
      <c r="H129" s="443"/>
      <c r="I129" s="443"/>
      <c r="J129" s="443"/>
      <c r="K129" s="443"/>
      <c r="L129" s="443"/>
      <c r="M129" s="443"/>
      <c r="N129" s="444"/>
      <c r="AF129" s="246"/>
      <c r="AG129" s="255"/>
      <c r="AH129" s="255"/>
      <c r="AJ129" s="258" t="s">
        <v>705</v>
      </c>
      <c r="AN129" s="255"/>
    </row>
    <row r="130" spans="1:40" s="210" customFormat="1" ht="14.4" x14ac:dyDescent="0.3">
      <c r="A130" s="259"/>
      <c r="B130" s="260" t="s">
        <v>301</v>
      </c>
      <c r="C130" s="435" t="s">
        <v>566</v>
      </c>
      <c r="D130" s="435"/>
      <c r="E130" s="435"/>
      <c r="F130" s="261"/>
      <c r="G130" s="262"/>
      <c r="H130" s="262"/>
      <c r="I130" s="262"/>
      <c r="J130" s="263">
        <v>201.61</v>
      </c>
      <c r="K130" s="267">
        <v>1.1499999999999999</v>
      </c>
      <c r="L130" s="263">
        <v>80.13</v>
      </c>
      <c r="M130" s="264">
        <v>41.8</v>
      </c>
      <c r="N130" s="265">
        <v>3349.43</v>
      </c>
      <c r="AF130" s="246"/>
      <c r="AG130" s="255"/>
      <c r="AH130" s="255"/>
      <c r="AK130" s="258" t="s">
        <v>566</v>
      </c>
      <c r="AN130" s="255"/>
    </row>
    <row r="131" spans="1:40" s="210" customFormat="1" ht="14.4" x14ac:dyDescent="0.3">
      <c r="A131" s="259"/>
      <c r="B131" s="260" t="s">
        <v>304</v>
      </c>
      <c r="C131" s="435" t="s">
        <v>567</v>
      </c>
      <c r="D131" s="435"/>
      <c r="E131" s="435"/>
      <c r="F131" s="261"/>
      <c r="G131" s="262"/>
      <c r="H131" s="262"/>
      <c r="I131" s="262"/>
      <c r="J131" s="263">
        <v>71.64</v>
      </c>
      <c r="K131" s="267">
        <v>1.1499999999999999</v>
      </c>
      <c r="L131" s="263">
        <v>28.47</v>
      </c>
      <c r="M131" s="267">
        <v>13.59</v>
      </c>
      <c r="N131" s="284">
        <v>386.91</v>
      </c>
      <c r="AF131" s="246"/>
      <c r="AG131" s="255"/>
      <c r="AH131" s="255"/>
      <c r="AK131" s="258" t="s">
        <v>567</v>
      </c>
      <c r="AN131" s="255"/>
    </row>
    <row r="132" spans="1:40" s="210" customFormat="1" ht="14.4" x14ac:dyDescent="0.3">
      <c r="A132" s="259"/>
      <c r="B132" s="260" t="s">
        <v>568</v>
      </c>
      <c r="C132" s="435" t="s">
        <v>569</v>
      </c>
      <c r="D132" s="435"/>
      <c r="E132" s="435"/>
      <c r="F132" s="261"/>
      <c r="G132" s="262"/>
      <c r="H132" s="262"/>
      <c r="I132" s="262"/>
      <c r="J132" s="263">
        <v>2.3199999999999998</v>
      </c>
      <c r="K132" s="267">
        <v>1.1499999999999999</v>
      </c>
      <c r="L132" s="263">
        <v>0.92</v>
      </c>
      <c r="M132" s="264">
        <v>41.8</v>
      </c>
      <c r="N132" s="284">
        <v>38.46</v>
      </c>
      <c r="AF132" s="246"/>
      <c r="AG132" s="255"/>
      <c r="AH132" s="255"/>
      <c r="AK132" s="258" t="s">
        <v>569</v>
      </c>
      <c r="AN132" s="255"/>
    </row>
    <row r="133" spans="1:40" s="210" customFormat="1" ht="14.4" x14ac:dyDescent="0.3">
      <c r="A133" s="259"/>
      <c r="B133" s="260" t="s">
        <v>592</v>
      </c>
      <c r="C133" s="435" t="s">
        <v>593</v>
      </c>
      <c r="D133" s="435"/>
      <c r="E133" s="435"/>
      <c r="F133" s="261"/>
      <c r="G133" s="262"/>
      <c r="H133" s="262"/>
      <c r="I133" s="262"/>
      <c r="J133" s="263">
        <v>62.75</v>
      </c>
      <c r="K133" s="262"/>
      <c r="L133" s="263">
        <v>21.69</v>
      </c>
      <c r="M133" s="267">
        <v>8.92</v>
      </c>
      <c r="N133" s="284">
        <v>193.47</v>
      </c>
      <c r="AF133" s="246"/>
      <c r="AG133" s="255"/>
      <c r="AH133" s="255"/>
      <c r="AK133" s="258" t="s">
        <v>593</v>
      </c>
      <c r="AN133" s="255"/>
    </row>
    <row r="134" spans="1:40" s="210" customFormat="1" ht="14.4" x14ac:dyDescent="0.3">
      <c r="A134" s="268"/>
      <c r="B134" s="260"/>
      <c r="C134" s="435" t="s">
        <v>570</v>
      </c>
      <c r="D134" s="435"/>
      <c r="E134" s="435"/>
      <c r="F134" s="261" t="s">
        <v>571</v>
      </c>
      <c r="G134" s="264">
        <v>21.2</v>
      </c>
      <c r="H134" s="267">
        <v>1.1499999999999999</v>
      </c>
      <c r="I134" s="285">
        <v>8.4257279999999994</v>
      </c>
      <c r="J134" s="269"/>
      <c r="K134" s="262"/>
      <c r="L134" s="269"/>
      <c r="M134" s="262"/>
      <c r="N134" s="270"/>
      <c r="AF134" s="246"/>
      <c r="AG134" s="255"/>
      <c r="AH134" s="255"/>
      <c r="AL134" s="258" t="s">
        <v>570</v>
      </c>
      <c r="AN134" s="255"/>
    </row>
    <row r="135" spans="1:40" s="210" customFormat="1" ht="14.4" x14ac:dyDescent="0.3">
      <c r="A135" s="268"/>
      <c r="B135" s="260"/>
      <c r="C135" s="435" t="s">
        <v>572</v>
      </c>
      <c r="D135" s="435"/>
      <c r="E135" s="435"/>
      <c r="F135" s="261" t="s">
        <v>571</v>
      </c>
      <c r="G135" s="264">
        <v>0.2</v>
      </c>
      <c r="H135" s="267">
        <v>1.1499999999999999</v>
      </c>
      <c r="I135" s="285">
        <v>7.9488000000000003E-2</v>
      </c>
      <c r="J135" s="269"/>
      <c r="K135" s="262"/>
      <c r="L135" s="269"/>
      <c r="M135" s="262"/>
      <c r="N135" s="270"/>
      <c r="AF135" s="246"/>
      <c r="AG135" s="255"/>
      <c r="AH135" s="255"/>
      <c r="AL135" s="258" t="s">
        <v>572</v>
      </c>
      <c r="AN135" s="255"/>
    </row>
    <row r="136" spans="1:40" s="210" customFormat="1" ht="14.4" x14ac:dyDescent="0.3">
      <c r="A136" s="259"/>
      <c r="B136" s="260"/>
      <c r="C136" s="436" t="s">
        <v>573</v>
      </c>
      <c r="D136" s="436"/>
      <c r="E136" s="436"/>
      <c r="F136" s="272"/>
      <c r="G136" s="273"/>
      <c r="H136" s="273"/>
      <c r="I136" s="273"/>
      <c r="J136" s="275">
        <v>336</v>
      </c>
      <c r="K136" s="273"/>
      <c r="L136" s="275">
        <v>130.29</v>
      </c>
      <c r="M136" s="273"/>
      <c r="N136" s="276">
        <v>3929.81</v>
      </c>
      <c r="AF136" s="246"/>
      <c r="AG136" s="255"/>
      <c r="AH136" s="255"/>
      <c r="AM136" s="258" t="s">
        <v>573</v>
      </c>
      <c r="AN136" s="255"/>
    </row>
    <row r="137" spans="1:40" s="210" customFormat="1" ht="14.4" x14ac:dyDescent="0.3">
      <c r="A137" s="268"/>
      <c r="B137" s="260"/>
      <c r="C137" s="435" t="s">
        <v>574</v>
      </c>
      <c r="D137" s="435"/>
      <c r="E137" s="435"/>
      <c r="F137" s="261"/>
      <c r="G137" s="262"/>
      <c r="H137" s="262"/>
      <c r="I137" s="262"/>
      <c r="J137" s="269"/>
      <c r="K137" s="262"/>
      <c r="L137" s="263">
        <v>81.05</v>
      </c>
      <c r="M137" s="262"/>
      <c r="N137" s="265">
        <v>3387.89</v>
      </c>
      <c r="AF137" s="246"/>
      <c r="AG137" s="255"/>
      <c r="AH137" s="255"/>
      <c r="AL137" s="258" t="s">
        <v>574</v>
      </c>
      <c r="AN137" s="255"/>
    </row>
    <row r="138" spans="1:40" s="210" customFormat="1" ht="20.399999999999999" x14ac:dyDescent="0.3">
      <c r="A138" s="268"/>
      <c r="B138" s="260" t="s">
        <v>805</v>
      </c>
      <c r="C138" s="435" t="s">
        <v>806</v>
      </c>
      <c r="D138" s="435"/>
      <c r="E138" s="435"/>
      <c r="F138" s="261" t="s">
        <v>577</v>
      </c>
      <c r="G138" s="277">
        <v>110</v>
      </c>
      <c r="H138" s="262"/>
      <c r="I138" s="277">
        <v>110</v>
      </c>
      <c r="J138" s="269"/>
      <c r="K138" s="262"/>
      <c r="L138" s="263">
        <v>89.16</v>
      </c>
      <c r="M138" s="262"/>
      <c r="N138" s="265">
        <v>3726.68</v>
      </c>
      <c r="AF138" s="246"/>
      <c r="AG138" s="255"/>
      <c r="AH138" s="255"/>
      <c r="AL138" s="258" t="s">
        <v>806</v>
      </c>
      <c r="AN138" s="255"/>
    </row>
    <row r="139" spans="1:40" s="210" customFormat="1" ht="40.799999999999997" x14ac:dyDescent="0.3">
      <c r="A139" s="268"/>
      <c r="B139" s="260" t="s">
        <v>807</v>
      </c>
      <c r="C139" s="435" t="s">
        <v>808</v>
      </c>
      <c r="D139" s="435"/>
      <c r="E139" s="435"/>
      <c r="F139" s="261" t="s">
        <v>577</v>
      </c>
      <c r="G139" s="277">
        <v>69</v>
      </c>
      <c r="H139" s="267">
        <v>0.85</v>
      </c>
      <c r="I139" s="267">
        <v>58.65</v>
      </c>
      <c r="J139" s="269"/>
      <c r="K139" s="262"/>
      <c r="L139" s="263">
        <v>47.54</v>
      </c>
      <c r="M139" s="262"/>
      <c r="N139" s="265">
        <v>1987</v>
      </c>
      <c r="AF139" s="246"/>
      <c r="AG139" s="255"/>
      <c r="AH139" s="255"/>
      <c r="AL139" s="258" t="s">
        <v>808</v>
      </c>
      <c r="AN139" s="255"/>
    </row>
    <row r="140" spans="1:40" s="210" customFormat="1" ht="14.4" x14ac:dyDescent="0.3">
      <c r="A140" s="278"/>
      <c r="B140" s="370"/>
      <c r="C140" s="441" t="s">
        <v>580</v>
      </c>
      <c r="D140" s="441"/>
      <c r="E140" s="441"/>
      <c r="F140" s="249"/>
      <c r="G140" s="250"/>
      <c r="H140" s="250"/>
      <c r="I140" s="250"/>
      <c r="J140" s="253"/>
      <c r="K140" s="250"/>
      <c r="L140" s="281">
        <v>266.99</v>
      </c>
      <c r="M140" s="273"/>
      <c r="N140" s="280">
        <v>9643.49</v>
      </c>
      <c r="AF140" s="246"/>
      <c r="AG140" s="255"/>
      <c r="AH140" s="255"/>
      <c r="AN140" s="255" t="s">
        <v>580</v>
      </c>
    </row>
    <row r="141" spans="1:40" s="210" customFormat="1" ht="31.8" x14ac:dyDescent="0.3">
      <c r="A141" s="247" t="s">
        <v>335</v>
      </c>
      <c r="B141" s="371" t="s">
        <v>562</v>
      </c>
      <c r="C141" s="441" t="s">
        <v>563</v>
      </c>
      <c r="D141" s="441"/>
      <c r="E141" s="441"/>
      <c r="F141" s="249" t="s">
        <v>564</v>
      </c>
      <c r="G141" s="250">
        <v>0.22</v>
      </c>
      <c r="H141" s="251">
        <v>1</v>
      </c>
      <c r="I141" s="252">
        <v>0.22</v>
      </c>
      <c r="J141" s="253"/>
      <c r="K141" s="250"/>
      <c r="L141" s="253"/>
      <c r="M141" s="250"/>
      <c r="N141" s="254"/>
      <c r="AF141" s="246"/>
      <c r="AG141" s="255"/>
      <c r="AH141" s="255" t="s">
        <v>563</v>
      </c>
      <c r="AN141" s="255"/>
    </row>
    <row r="142" spans="1:40" s="210" customFormat="1" ht="14.4" x14ac:dyDescent="0.3">
      <c r="A142" s="256"/>
      <c r="B142" s="369"/>
      <c r="C142" s="435" t="s">
        <v>565</v>
      </c>
      <c r="D142" s="435"/>
      <c r="E142" s="435"/>
      <c r="F142" s="435"/>
      <c r="G142" s="435"/>
      <c r="H142" s="435"/>
      <c r="I142" s="435"/>
      <c r="J142" s="435"/>
      <c r="K142" s="435"/>
      <c r="L142" s="435"/>
      <c r="M142" s="435"/>
      <c r="N142" s="442"/>
      <c r="AF142" s="246"/>
      <c r="AG142" s="255"/>
      <c r="AH142" s="255"/>
      <c r="AI142" s="258" t="s">
        <v>565</v>
      </c>
      <c r="AN142" s="255"/>
    </row>
    <row r="143" spans="1:40" s="210" customFormat="1" ht="52.2" x14ac:dyDescent="0.3">
      <c r="A143" s="283"/>
      <c r="B143" s="260" t="s">
        <v>704</v>
      </c>
      <c r="C143" s="443" t="s">
        <v>705</v>
      </c>
      <c r="D143" s="443"/>
      <c r="E143" s="443"/>
      <c r="F143" s="443"/>
      <c r="G143" s="443"/>
      <c r="H143" s="443"/>
      <c r="I143" s="443"/>
      <c r="J143" s="443"/>
      <c r="K143" s="443"/>
      <c r="L143" s="443"/>
      <c r="M143" s="443"/>
      <c r="N143" s="444"/>
      <c r="AF143" s="246"/>
      <c r="AG143" s="255"/>
      <c r="AH143" s="255"/>
      <c r="AJ143" s="258" t="s">
        <v>705</v>
      </c>
      <c r="AN143" s="255"/>
    </row>
    <row r="144" spans="1:40" s="210" customFormat="1" ht="14.4" x14ac:dyDescent="0.3">
      <c r="A144" s="259"/>
      <c r="B144" s="260" t="s">
        <v>301</v>
      </c>
      <c r="C144" s="435" t="s">
        <v>566</v>
      </c>
      <c r="D144" s="435"/>
      <c r="E144" s="435"/>
      <c r="F144" s="261"/>
      <c r="G144" s="262"/>
      <c r="H144" s="262"/>
      <c r="I144" s="262"/>
      <c r="J144" s="263">
        <v>730.95</v>
      </c>
      <c r="K144" s="267">
        <v>1.1499999999999999</v>
      </c>
      <c r="L144" s="263">
        <v>184.93</v>
      </c>
      <c r="M144" s="264">
        <v>41.8</v>
      </c>
      <c r="N144" s="265">
        <v>7730.07</v>
      </c>
      <c r="AF144" s="246"/>
      <c r="AG144" s="255"/>
      <c r="AH144" s="255"/>
      <c r="AK144" s="258" t="s">
        <v>566</v>
      </c>
      <c r="AN144" s="255"/>
    </row>
    <row r="145" spans="1:42" s="210" customFormat="1" ht="14.4" x14ac:dyDescent="0.3">
      <c r="A145" s="259"/>
      <c r="B145" s="260" t="s">
        <v>304</v>
      </c>
      <c r="C145" s="435" t="s">
        <v>567</v>
      </c>
      <c r="D145" s="435"/>
      <c r="E145" s="435"/>
      <c r="F145" s="261"/>
      <c r="G145" s="262"/>
      <c r="H145" s="262"/>
      <c r="I145" s="262"/>
      <c r="J145" s="266">
        <v>3309.83</v>
      </c>
      <c r="K145" s="267">
        <v>1.1499999999999999</v>
      </c>
      <c r="L145" s="263">
        <v>837.39</v>
      </c>
      <c r="M145" s="267">
        <v>13.59</v>
      </c>
      <c r="N145" s="265">
        <v>11380.13</v>
      </c>
      <c r="AF145" s="246"/>
      <c r="AG145" s="255"/>
      <c r="AH145" s="255"/>
      <c r="AK145" s="258" t="s">
        <v>567</v>
      </c>
      <c r="AN145" s="255"/>
    </row>
    <row r="146" spans="1:42" s="210" customFormat="1" ht="14.4" x14ac:dyDescent="0.3">
      <c r="A146" s="259"/>
      <c r="B146" s="260" t="s">
        <v>568</v>
      </c>
      <c r="C146" s="435" t="s">
        <v>569</v>
      </c>
      <c r="D146" s="435"/>
      <c r="E146" s="435"/>
      <c r="F146" s="261"/>
      <c r="G146" s="262"/>
      <c r="H146" s="262"/>
      <c r="I146" s="262"/>
      <c r="J146" s="263">
        <v>446.48</v>
      </c>
      <c r="K146" s="267">
        <v>1.1499999999999999</v>
      </c>
      <c r="L146" s="263">
        <v>112.96</v>
      </c>
      <c r="M146" s="264">
        <v>41.8</v>
      </c>
      <c r="N146" s="265">
        <v>4721.7299999999996</v>
      </c>
      <c r="AF146" s="246"/>
      <c r="AG146" s="255"/>
      <c r="AH146" s="255"/>
      <c r="AK146" s="258" t="s">
        <v>569</v>
      </c>
      <c r="AN146" s="255"/>
    </row>
    <row r="147" spans="1:42" s="210" customFormat="1" ht="14.4" x14ac:dyDescent="0.3">
      <c r="A147" s="268"/>
      <c r="B147" s="260"/>
      <c r="C147" s="435" t="s">
        <v>570</v>
      </c>
      <c r="D147" s="435"/>
      <c r="E147" s="435"/>
      <c r="F147" s="261" t="s">
        <v>571</v>
      </c>
      <c r="G147" s="264">
        <v>82.5</v>
      </c>
      <c r="H147" s="267">
        <v>1.1499999999999999</v>
      </c>
      <c r="I147" s="271">
        <v>20.872499999999999</v>
      </c>
      <c r="J147" s="269"/>
      <c r="K147" s="262"/>
      <c r="L147" s="269"/>
      <c r="M147" s="262"/>
      <c r="N147" s="270"/>
      <c r="AF147" s="246"/>
      <c r="AG147" s="255"/>
      <c r="AH147" s="255"/>
      <c r="AL147" s="258" t="s">
        <v>570</v>
      </c>
      <c r="AN147" s="255"/>
    </row>
    <row r="148" spans="1:42" s="210" customFormat="1" ht="14.4" x14ac:dyDescent="0.3">
      <c r="A148" s="268"/>
      <c r="B148" s="260"/>
      <c r="C148" s="435" t="s">
        <v>572</v>
      </c>
      <c r="D148" s="435"/>
      <c r="E148" s="435"/>
      <c r="F148" s="261" t="s">
        <v>571</v>
      </c>
      <c r="G148" s="267">
        <v>34.17</v>
      </c>
      <c r="H148" s="267">
        <v>1.1499999999999999</v>
      </c>
      <c r="I148" s="289">
        <v>8.6450099999999992</v>
      </c>
      <c r="J148" s="269"/>
      <c r="K148" s="262"/>
      <c r="L148" s="269"/>
      <c r="M148" s="262"/>
      <c r="N148" s="270"/>
      <c r="AF148" s="246"/>
      <c r="AG148" s="255"/>
      <c r="AH148" s="255"/>
      <c r="AL148" s="258" t="s">
        <v>572</v>
      </c>
      <c r="AN148" s="255"/>
    </row>
    <row r="149" spans="1:42" s="210" customFormat="1" ht="14.4" x14ac:dyDescent="0.3">
      <c r="A149" s="259"/>
      <c r="B149" s="260"/>
      <c r="C149" s="436" t="s">
        <v>573</v>
      </c>
      <c r="D149" s="436"/>
      <c r="E149" s="436"/>
      <c r="F149" s="272"/>
      <c r="G149" s="273"/>
      <c r="H149" s="273"/>
      <c r="I149" s="273"/>
      <c r="J149" s="274">
        <v>4040.78</v>
      </c>
      <c r="K149" s="273"/>
      <c r="L149" s="274">
        <v>1022.32</v>
      </c>
      <c r="M149" s="273"/>
      <c r="N149" s="276">
        <v>19110.2</v>
      </c>
      <c r="AF149" s="246"/>
      <c r="AG149" s="255"/>
      <c r="AH149" s="255"/>
      <c r="AM149" s="258" t="s">
        <v>573</v>
      </c>
      <c r="AN149" s="255"/>
    </row>
    <row r="150" spans="1:42" s="210" customFormat="1" ht="14.4" x14ac:dyDescent="0.3">
      <c r="A150" s="268"/>
      <c r="B150" s="260"/>
      <c r="C150" s="435" t="s">
        <v>574</v>
      </c>
      <c r="D150" s="435"/>
      <c r="E150" s="435"/>
      <c r="F150" s="261"/>
      <c r="G150" s="262"/>
      <c r="H150" s="262"/>
      <c r="I150" s="262"/>
      <c r="J150" s="269"/>
      <c r="K150" s="262"/>
      <c r="L150" s="263">
        <v>297.89</v>
      </c>
      <c r="M150" s="262"/>
      <c r="N150" s="265">
        <v>12451.8</v>
      </c>
      <c r="AF150" s="246"/>
      <c r="AG150" s="255"/>
      <c r="AH150" s="255"/>
      <c r="AL150" s="258" t="s">
        <v>574</v>
      </c>
      <c r="AN150" s="255"/>
    </row>
    <row r="151" spans="1:42" s="210" customFormat="1" ht="21.6" x14ac:dyDescent="0.3">
      <c r="A151" s="268"/>
      <c r="B151" s="260" t="s">
        <v>575</v>
      </c>
      <c r="C151" s="435" t="s">
        <v>576</v>
      </c>
      <c r="D151" s="435"/>
      <c r="E151" s="435"/>
      <c r="F151" s="261" t="s">
        <v>577</v>
      </c>
      <c r="G151" s="277">
        <v>110</v>
      </c>
      <c r="H151" s="262"/>
      <c r="I151" s="277">
        <v>110</v>
      </c>
      <c r="J151" s="269"/>
      <c r="K151" s="262"/>
      <c r="L151" s="263">
        <v>327.68</v>
      </c>
      <c r="M151" s="262"/>
      <c r="N151" s="265">
        <v>13696.98</v>
      </c>
      <c r="AF151" s="246"/>
      <c r="AG151" s="255"/>
      <c r="AH151" s="255"/>
      <c r="AL151" s="258" t="s">
        <v>576</v>
      </c>
      <c r="AN151" s="255"/>
    </row>
    <row r="152" spans="1:42" s="210" customFormat="1" ht="40.799999999999997" x14ac:dyDescent="0.3">
      <c r="A152" s="268"/>
      <c r="B152" s="260" t="s">
        <v>578</v>
      </c>
      <c r="C152" s="435" t="s">
        <v>579</v>
      </c>
      <c r="D152" s="435"/>
      <c r="E152" s="435"/>
      <c r="F152" s="261" t="s">
        <v>577</v>
      </c>
      <c r="G152" s="277">
        <v>73</v>
      </c>
      <c r="H152" s="267">
        <v>0.85</v>
      </c>
      <c r="I152" s="267">
        <v>62.05</v>
      </c>
      <c r="J152" s="269"/>
      <c r="K152" s="262"/>
      <c r="L152" s="263">
        <v>184.84</v>
      </c>
      <c r="M152" s="262"/>
      <c r="N152" s="265">
        <v>7726.34</v>
      </c>
      <c r="AF152" s="246"/>
      <c r="AG152" s="255"/>
      <c r="AH152" s="255"/>
      <c r="AL152" s="258" t="s">
        <v>579</v>
      </c>
      <c r="AN152" s="255"/>
    </row>
    <row r="153" spans="1:42" s="210" customFormat="1" ht="14.4" x14ac:dyDescent="0.3">
      <c r="A153" s="278"/>
      <c r="B153" s="370"/>
      <c r="C153" s="441" t="s">
        <v>580</v>
      </c>
      <c r="D153" s="441"/>
      <c r="E153" s="441"/>
      <c r="F153" s="249"/>
      <c r="G153" s="250"/>
      <c r="H153" s="250"/>
      <c r="I153" s="250"/>
      <c r="J153" s="253"/>
      <c r="K153" s="250"/>
      <c r="L153" s="279">
        <v>1534.84</v>
      </c>
      <c r="M153" s="273"/>
      <c r="N153" s="280">
        <v>40533.519999999997</v>
      </c>
      <c r="AF153" s="246"/>
      <c r="AG153" s="255"/>
      <c r="AH153" s="255"/>
      <c r="AN153" s="255" t="s">
        <v>580</v>
      </c>
    </row>
    <row r="154" spans="1:42" s="210" customFormat="1" ht="20.399999999999999" x14ac:dyDescent="0.3">
      <c r="A154" s="247" t="s">
        <v>629</v>
      </c>
      <c r="B154" s="371" t="s">
        <v>796</v>
      </c>
      <c r="C154" s="441" t="s">
        <v>797</v>
      </c>
      <c r="D154" s="441"/>
      <c r="E154" s="441"/>
      <c r="F154" s="249" t="s">
        <v>181</v>
      </c>
      <c r="G154" s="250">
        <v>4.84</v>
      </c>
      <c r="H154" s="251">
        <v>1</v>
      </c>
      <c r="I154" s="252">
        <v>4.84</v>
      </c>
      <c r="J154" s="281">
        <v>141.59</v>
      </c>
      <c r="K154" s="250"/>
      <c r="L154" s="281">
        <v>685.3</v>
      </c>
      <c r="M154" s="252">
        <v>8.92</v>
      </c>
      <c r="N154" s="280">
        <v>6112.88</v>
      </c>
      <c r="AF154" s="246"/>
      <c r="AG154" s="255"/>
      <c r="AH154" s="255" t="s">
        <v>797</v>
      </c>
      <c r="AN154" s="255"/>
    </row>
    <row r="155" spans="1:42" s="210" customFormat="1" ht="14.4" x14ac:dyDescent="0.3">
      <c r="A155" s="278"/>
      <c r="B155" s="370"/>
      <c r="C155" s="435" t="s">
        <v>798</v>
      </c>
      <c r="D155" s="435"/>
      <c r="E155" s="435"/>
      <c r="F155" s="435"/>
      <c r="G155" s="435"/>
      <c r="H155" s="435"/>
      <c r="I155" s="435"/>
      <c r="J155" s="435"/>
      <c r="K155" s="435"/>
      <c r="L155" s="435"/>
      <c r="M155" s="435"/>
      <c r="N155" s="442"/>
      <c r="AF155" s="246"/>
      <c r="AG155" s="255"/>
      <c r="AH155" s="255"/>
      <c r="AN155" s="255"/>
      <c r="AO155" s="258" t="s">
        <v>798</v>
      </c>
    </row>
    <row r="156" spans="1:42" s="210" customFormat="1" ht="14.4" x14ac:dyDescent="0.3">
      <c r="A156" s="256"/>
      <c r="B156" s="369"/>
      <c r="C156" s="435" t="s">
        <v>800</v>
      </c>
      <c r="D156" s="435"/>
      <c r="E156" s="435"/>
      <c r="F156" s="435"/>
      <c r="G156" s="435"/>
      <c r="H156" s="435"/>
      <c r="I156" s="435"/>
      <c r="J156" s="435"/>
      <c r="K156" s="435"/>
      <c r="L156" s="435"/>
      <c r="M156" s="435"/>
      <c r="N156" s="442"/>
      <c r="AF156" s="246"/>
      <c r="AG156" s="255"/>
      <c r="AH156" s="255"/>
      <c r="AN156" s="255"/>
      <c r="AP156" s="258" t="s">
        <v>800</v>
      </c>
    </row>
    <row r="157" spans="1:42" s="210" customFormat="1" ht="14.4" x14ac:dyDescent="0.3">
      <c r="A157" s="278"/>
      <c r="B157" s="370"/>
      <c r="C157" s="441" t="s">
        <v>580</v>
      </c>
      <c r="D157" s="441"/>
      <c r="E157" s="441"/>
      <c r="F157" s="249"/>
      <c r="G157" s="250"/>
      <c r="H157" s="250"/>
      <c r="I157" s="250"/>
      <c r="J157" s="253"/>
      <c r="K157" s="250"/>
      <c r="L157" s="281">
        <v>685.3</v>
      </c>
      <c r="M157" s="273"/>
      <c r="N157" s="280">
        <v>6112.88</v>
      </c>
      <c r="AF157" s="246"/>
      <c r="AG157" s="255"/>
      <c r="AH157" s="255"/>
      <c r="AN157" s="255" t="s">
        <v>580</v>
      </c>
    </row>
    <row r="158" spans="1:42" s="210" customFormat="1" ht="14.4" x14ac:dyDescent="0.3">
      <c r="A158" s="247" t="s">
        <v>638</v>
      </c>
      <c r="B158" s="371" t="s">
        <v>581</v>
      </c>
      <c r="C158" s="441" t="s">
        <v>582</v>
      </c>
      <c r="D158" s="441"/>
      <c r="E158" s="441"/>
      <c r="F158" s="249" t="s">
        <v>178</v>
      </c>
      <c r="G158" s="250">
        <v>22</v>
      </c>
      <c r="H158" s="251">
        <v>1</v>
      </c>
      <c r="I158" s="251">
        <v>22</v>
      </c>
      <c r="J158" s="281">
        <v>384.04</v>
      </c>
      <c r="K158" s="282">
        <v>1.0506</v>
      </c>
      <c r="L158" s="279">
        <v>8876.39</v>
      </c>
      <c r="M158" s="252">
        <v>8.92</v>
      </c>
      <c r="N158" s="280">
        <v>79177.399999999994</v>
      </c>
      <c r="AF158" s="246"/>
      <c r="AG158" s="255"/>
      <c r="AH158" s="255" t="s">
        <v>582</v>
      </c>
      <c r="AN158" s="255"/>
    </row>
    <row r="159" spans="1:42" s="210" customFormat="1" ht="14.4" x14ac:dyDescent="0.3">
      <c r="A159" s="278"/>
      <c r="B159" s="370"/>
      <c r="C159" s="435" t="s">
        <v>583</v>
      </c>
      <c r="D159" s="435"/>
      <c r="E159" s="435"/>
      <c r="F159" s="435"/>
      <c r="G159" s="435"/>
      <c r="H159" s="435"/>
      <c r="I159" s="435"/>
      <c r="J159" s="435"/>
      <c r="K159" s="435"/>
      <c r="L159" s="435"/>
      <c r="M159" s="435"/>
      <c r="N159" s="442"/>
      <c r="AF159" s="246"/>
      <c r="AG159" s="255"/>
      <c r="AH159" s="255"/>
      <c r="AN159" s="255"/>
      <c r="AO159" s="258" t="s">
        <v>583</v>
      </c>
    </row>
    <row r="160" spans="1:42" s="210" customFormat="1" ht="14.4" x14ac:dyDescent="0.3">
      <c r="A160" s="256"/>
      <c r="B160" s="369"/>
      <c r="C160" s="435" t="s">
        <v>584</v>
      </c>
      <c r="D160" s="435"/>
      <c r="E160" s="435"/>
      <c r="F160" s="435"/>
      <c r="G160" s="435"/>
      <c r="H160" s="435"/>
      <c r="I160" s="435"/>
      <c r="J160" s="435"/>
      <c r="K160" s="435"/>
      <c r="L160" s="435"/>
      <c r="M160" s="435"/>
      <c r="N160" s="442"/>
      <c r="AF160" s="246"/>
      <c r="AG160" s="255"/>
      <c r="AH160" s="255"/>
      <c r="AN160" s="255"/>
      <c r="AP160" s="258" t="s">
        <v>584</v>
      </c>
    </row>
    <row r="161" spans="1:40" s="210" customFormat="1" ht="20.399999999999999" x14ac:dyDescent="0.3">
      <c r="A161" s="283"/>
      <c r="B161" s="260" t="s">
        <v>585</v>
      </c>
      <c r="C161" s="443" t="s">
        <v>586</v>
      </c>
      <c r="D161" s="443"/>
      <c r="E161" s="443"/>
      <c r="F161" s="443"/>
      <c r="G161" s="443"/>
      <c r="H161" s="443"/>
      <c r="I161" s="443"/>
      <c r="J161" s="443"/>
      <c r="K161" s="443"/>
      <c r="L161" s="443"/>
      <c r="M161" s="443"/>
      <c r="N161" s="444"/>
      <c r="AF161" s="246"/>
      <c r="AG161" s="255"/>
      <c r="AH161" s="255"/>
      <c r="AJ161" s="258" t="s">
        <v>586</v>
      </c>
      <c r="AN161" s="255"/>
    </row>
    <row r="162" spans="1:40" s="210" customFormat="1" ht="14.4" x14ac:dyDescent="0.3">
      <c r="A162" s="283"/>
      <c r="B162" s="260"/>
      <c r="C162" s="443" t="s">
        <v>587</v>
      </c>
      <c r="D162" s="443"/>
      <c r="E162" s="443"/>
      <c r="F162" s="443"/>
      <c r="G162" s="443"/>
      <c r="H162" s="443"/>
      <c r="I162" s="443"/>
      <c r="J162" s="443"/>
      <c r="K162" s="443"/>
      <c r="L162" s="443"/>
      <c r="M162" s="443"/>
      <c r="N162" s="444"/>
      <c r="AF162" s="246"/>
      <c r="AG162" s="255"/>
      <c r="AH162" s="255"/>
      <c r="AJ162" s="258" t="s">
        <v>587</v>
      </c>
      <c r="AN162" s="255"/>
    </row>
    <row r="163" spans="1:40" s="210" customFormat="1" ht="14.4" x14ac:dyDescent="0.3">
      <c r="A163" s="278"/>
      <c r="B163" s="370"/>
      <c r="C163" s="441" t="s">
        <v>580</v>
      </c>
      <c r="D163" s="441"/>
      <c r="E163" s="441"/>
      <c r="F163" s="249"/>
      <c r="G163" s="250"/>
      <c r="H163" s="250"/>
      <c r="I163" s="250"/>
      <c r="J163" s="253"/>
      <c r="K163" s="250"/>
      <c r="L163" s="279">
        <v>8876.39</v>
      </c>
      <c r="M163" s="273"/>
      <c r="N163" s="280">
        <v>79177.399999999994</v>
      </c>
      <c r="AF163" s="246"/>
      <c r="AG163" s="255"/>
      <c r="AH163" s="255"/>
      <c r="AN163" s="255" t="s">
        <v>580</v>
      </c>
    </row>
    <row r="164" spans="1:40" s="210" customFormat="1" ht="14.4" x14ac:dyDescent="0.3">
      <c r="A164" s="483" t="s">
        <v>826</v>
      </c>
      <c r="B164" s="484"/>
      <c r="C164" s="484"/>
      <c r="D164" s="484"/>
      <c r="E164" s="484"/>
      <c r="F164" s="484"/>
      <c r="G164" s="484"/>
      <c r="H164" s="484"/>
      <c r="I164" s="484"/>
      <c r="J164" s="484"/>
      <c r="K164" s="484"/>
      <c r="L164" s="484"/>
      <c r="M164" s="484"/>
      <c r="N164" s="485"/>
      <c r="AF164" s="246"/>
      <c r="AG164" s="255" t="s">
        <v>826</v>
      </c>
      <c r="AH164" s="255"/>
      <c r="AN164" s="255"/>
    </row>
    <row r="165" spans="1:40" s="210" customFormat="1" ht="21.6" x14ac:dyDescent="0.3">
      <c r="A165" s="247" t="s">
        <v>377</v>
      </c>
      <c r="B165" s="371" t="s">
        <v>827</v>
      </c>
      <c r="C165" s="441" t="s">
        <v>828</v>
      </c>
      <c r="D165" s="441"/>
      <c r="E165" s="441"/>
      <c r="F165" s="249" t="s">
        <v>218</v>
      </c>
      <c r="G165" s="250">
        <v>2.3210000000000002</v>
      </c>
      <c r="H165" s="251">
        <v>1</v>
      </c>
      <c r="I165" s="287">
        <v>2.3210000000000002</v>
      </c>
      <c r="J165" s="253"/>
      <c r="K165" s="250"/>
      <c r="L165" s="253"/>
      <c r="M165" s="250"/>
      <c r="N165" s="254"/>
      <c r="AF165" s="246"/>
      <c r="AG165" s="255"/>
      <c r="AH165" s="255" t="s">
        <v>828</v>
      </c>
      <c r="AN165" s="255"/>
    </row>
    <row r="166" spans="1:40" s="210" customFormat="1" ht="14.4" x14ac:dyDescent="0.3">
      <c r="A166" s="256"/>
      <c r="B166" s="369"/>
      <c r="C166" s="435" t="s">
        <v>829</v>
      </c>
      <c r="D166" s="435"/>
      <c r="E166" s="435"/>
      <c r="F166" s="435"/>
      <c r="G166" s="435"/>
      <c r="H166" s="435"/>
      <c r="I166" s="435"/>
      <c r="J166" s="435"/>
      <c r="K166" s="435"/>
      <c r="L166" s="435"/>
      <c r="M166" s="435"/>
      <c r="N166" s="442"/>
      <c r="AF166" s="246"/>
      <c r="AG166" s="255"/>
      <c r="AH166" s="255"/>
      <c r="AI166" s="258" t="s">
        <v>829</v>
      </c>
      <c r="AN166" s="255"/>
    </row>
    <row r="167" spans="1:40" s="210" customFormat="1" ht="52.2" x14ac:dyDescent="0.3">
      <c r="A167" s="283"/>
      <c r="B167" s="260" t="s">
        <v>704</v>
      </c>
      <c r="C167" s="443" t="s">
        <v>705</v>
      </c>
      <c r="D167" s="443"/>
      <c r="E167" s="443"/>
      <c r="F167" s="443"/>
      <c r="G167" s="443"/>
      <c r="H167" s="443"/>
      <c r="I167" s="443"/>
      <c r="J167" s="443"/>
      <c r="K167" s="443"/>
      <c r="L167" s="443"/>
      <c r="M167" s="443"/>
      <c r="N167" s="444"/>
      <c r="AF167" s="246"/>
      <c r="AG167" s="255"/>
      <c r="AH167" s="255"/>
      <c r="AJ167" s="258" t="s">
        <v>705</v>
      </c>
      <c r="AN167" s="255"/>
    </row>
    <row r="168" spans="1:40" s="210" customFormat="1" ht="14.4" x14ac:dyDescent="0.3">
      <c r="A168" s="259"/>
      <c r="B168" s="260" t="s">
        <v>301</v>
      </c>
      <c r="C168" s="435" t="s">
        <v>566</v>
      </c>
      <c r="D168" s="435"/>
      <c r="E168" s="435"/>
      <c r="F168" s="261"/>
      <c r="G168" s="262"/>
      <c r="H168" s="262"/>
      <c r="I168" s="262"/>
      <c r="J168" s="263">
        <v>408.85</v>
      </c>
      <c r="K168" s="267">
        <v>1.1499999999999999</v>
      </c>
      <c r="L168" s="266">
        <v>1091.28</v>
      </c>
      <c r="M168" s="264">
        <v>41.8</v>
      </c>
      <c r="N168" s="265">
        <v>45615.5</v>
      </c>
      <c r="AF168" s="246"/>
      <c r="AG168" s="255"/>
      <c r="AH168" s="255"/>
      <c r="AK168" s="258" t="s">
        <v>566</v>
      </c>
      <c r="AN168" s="255"/>
    </row>
    <row r="169" spans="1:40" s="210" customFormat="1" ht="14.4" x14ac:dyDescent="0.3">
      <c r="A169" s="259"/>
      <c r="B169" s="260" t="s">
        <v>304</v>
      </c>
      <c r="C169" s="435" t="s">
        <v>567</v>
      </c>
      <c r="D169" s="435"/>
      <c r="E169" s="435"/>
      <c r="F169" s="261"/>
      <c r="G169" s="262"/>
      <c r="H169" s="262"/>
      <c r="I169" s="262"/>
      <c r="J169" s="263">
        <v>425.84</v>
      </c>
      <c r="K169" s="267">
        <v>1.1499999999999999</v>
      </c>
      <c r="L169" s="266">
        <v>1136.6300000000001</v>
      </c>
      <c r="M169" s="267">
        <v>13.59</v>
      </c>
      <c r="N169" s="265">
        <v>15446.8</v>
      </c>
      <c r="AF169" s="246"/>
      <c r="AG169" s="255"/>
      <c r="AH169" s="255"/>
      <c r="AK169" s="258" t="s">
        <v>567</v>
      </c>
      <c r="AN169" s="255"/>
    </row>
    <row r="170" spans="1:40" s="210" customFormat="1" ht="14.4" x14ac:dyDescent="0.3">
      <c r="A170" s="259"/>
      <c r="B170" s="260" t="s">
        <v>568</v>
      </c>
      <c r="C170" s="435" t="s">
        <v>569</v>
      </c>
      <c r="D170" s="435"/>
      <c r="E170" s="435"/>
      <c r="F170" s="261"/>
      <c r="G170" s="262"/>
      <c r="H170" s="262"/>
      <c r="I170" s="262"/>
      <c r="J170" s="263">
        <v>51.59</v>
      </c>
      <c r="K170" s="267">
        <v>1.1499999999999999</v>
      </c>
      <c r="L170" s="263">
        <v>137.69999999999999</v>
      </c>
      <c r="M170" s="264">
        <v>41.8</v>
      </c>
      <c r="N170" s="265">
        <v>5755.86</v>
      </c>
      <c r="AF170" s="246"/>
      <c r="AG170" s="255"/>
      <c r="AH170" s="255"/>
      <c r="AK170" s="258" t="s">
        <v>569</v>
      </c>
      <c r="AN170" s="255"/>
    </row>
    <row r="171" spans="1:40" s="210" customFormat="1" ht="14.4" x14ac:dyDescent="0.3">
      <c r="A171" s="259"/>
      <c r="B171" s="260" t="s">
        <v>592</v>
      </c>
      <c r="C171" s="435" t="s">
        <v>593</v>
      </c>
      <c r="D171" s="435"/>
      <c r="E171" s="435"/>
      <c r="F171" s="261"/>
      <c r="G171" s="262"/>
      <c r="H171" s="262"/>
      <c r="I171" s="262"/>
      <c r="J171" s="263">
        <v>72.209999999999994</v>
      </c>
      <c r="K171" s="262"/>
      <c r="L171" s="263">
        <v>167.6</v>
      </c>
      <c r="M171" s="267">
        <v>8.92</v>
      </c>
      <c r="N171" s="265">
        <v>1494.99</v>
      </c>
      <c r="AF171" s="246"/>
      <c r="AG171" s="255"/>
      <c r="AH171" s="255"/>
      <c r="AK171" s="258" t="s">
        <v>593</v>
      </c>
      <c r="AN171" s="255"/>
    </row>
    <row r="172" spans="1:40" s="210" customFormat="1" ht="14.4" x14ac:dyDescent="0.3">
      <c r="A172" s="268"/>
      <c r="B172" s="260"/>
      <c r="C172" s="435" t="s">
        <v>570</v>
      </c>
      <c r="D172" s="435"/>
      <c r="E172" s="435"/>
      <c r="F172" s="261" t="s">
        <v>571</v>
      </c>
      <c r="G172" s="264">
        <v>42.5</v>
      </c>
      <c r="H172" s="267">
        <v>1.1499999999999999</v>
      </c>
      <c r="I172" s="285">
        <v>113.438875</v>
      </c>
      <c r="J172" s="269"/>
      <c r="K172" s="262"/>
      <c r="L172" s="269"/>
      <c r="M172" s="262"/>
      <c r="N172" s="270"/>
      <c r="AF172" s="246"/>
      <c r="AG172" s="255"/>
      <c r="AH172" s="255"/>
      <c r="AL172" s="258" t="s">
        <v>570</v>
      </c>
      <c r="AN172" s="255"/>
    </row>
    <row r="173" spans="1:40" s="210" customFormat="1" ht="14.4" x14ac:dyDescent="0.3">
      <c r="A173" s="268"/>
      <c r="B173" s="260"/>
      <c r="C173" s="435" t="s">
        <v>572</v>
      </c>
      <c r="D173" s="435"/>
      <c r="E173" s="435"/>
      <c r="F173" s="261" t="s">
        <v>571</v>
      </c>
      <c r="G173" s="267">
        <v>4.16</v>
      </c>
      <c r="H173" s="267">
        <v>1.1499999999999999</v>
      </c>
      <c r="I173" s="285">
        <v>11.103664</v>
      </c>
      <c r="J173" s="269"/>
      <c r="K173" s="262"/>
      <c r="L173" s="269"/>
      <c r="M173" s="262"/>
      <c r="N173" s="270"/>
      <c r="AF173" s="246"/>
      <c r="AG173" s="255"/>
      <c r="AH173" s="255"/>
      <c r="AL173" s="258" t="s">
        <v>572</v>
      </c>
      <c r="AN173" s="255"/>
    </row>
    <row r="174" spans="1:40" s="210" customFormat="1" ht="14.4" x14ac:dyDescent="0.3">
      <c r="A174" s="259"/>
      <c r="B174" s="260"/>
      <c r="C174" s="436" t="s">
        <v>573</v>
      </c>
      <c r="D174" s="436"/>
      <c r="E174" s="436"/>
      <c r="F174" s="272"/>
      <c r="G174" s="273"/>
      <c r="H174" s="273"/>
      <c r="I174" s="273"/>
      <c r="J174" s="275">
        <v>906.9</v>
      </c>
      <c r="K174" s="273"/>
      <c r="L174" s="274">
        <v>2395.5100000000002</v>
      </c>
      <c r="M174" s="273"/>
      <c r="N174" s="276">
        <v>62557.29</v>
      </c>
      <c r="AF174" s="246"/>
      <c r="AG174" s="255"/>
      <c r="AH174" s="255"/>
      <c r="AM174" s="258" t="s">
        <v>573</v>
      </c>
      <c r="AN174" s="255"/>
    </row>
    <row r="175" spans="1:40" s="210" customFormat="1" ht="14.4" x14ac:dyDescent="0.3">
      <c r="A175" s="268"/>
      <c r="B175" s="260"/>
      <c r="C175" s="435" t="s">
        <v>574</v>
      </c>
      <c r="D175" s="435"/>
      <c r="E175" s="435"/>
      <c r="F175" s="261"/>
      <c r="G175" s="262"/>
      <c r="H175" s="262"/>
      <c r="I175" s="262"/>
      <c r="J175" s="269"/>
      <c r="K175" s="262"/>
      <c r="L175" s="266">
        <v>1228.98</v>
      </c>
      <c r="M175" s="262"/>
      <c r="N175" s="265">
        <v>51371.360000000001</v>
      </c>
      <c r="AF175" s="246"/>
      <c r="AG175" s="255"/>
      <c r="AH175" s="255"/>
      <c r="AL175" s="258" t="s">
        <v>574</v>
      </c>
      <c r="AN175" s="255"/>
    </row>
    <row r="176" spans="1:40" s="210" customFormat="1" ht="21.6" x14ac:dyDescent="0.3">
      <c r="A176" s="268"/>
      <c r="B176" s="260" t="s">
        <v>815</v>
      </c>
      <c r="C176" s="435" t="s">
        <v>816</v>
      </c>
      <c r="D176" s="435"/>
      <c r="E176" s="435"/>
      <c r="F176" s="261" t="s">
        <v>577</v>
      </c>
      <c r="G176" s="277">
        <v>102</v>
      </c>
      <c r="H176" s="262"/>
      <c r="I176" s="277">
        <v>102</v>
      </c>
      <c r="J176" s="269"/>
      <c r="K176" s="262"/>
      <c r="L176" s="266">
        <v>1253.56</v>
      </c>
      <c r="M176" s="262"/>
      <c r="N176" s="265">
        <v>52398.79</v>
      </c>
      <c r="AF176" s="246"/>
      <c r="AG176" s="255"/>
      <c r="AH176" s="255"/>
      <c r="AL176" s="258" t="s">
        <v>816</v>
      </c>
      <c r="AN176" s="255"/>
    </row>
    <row r="177" spans="1:42" s="210" customFormat="1" ht="40.799999999999997" x14ac:dyDescent="0.3">
      <c r="A177" s="268"/>
      <c r="B177" s="260" t="s">
        <v>817</v>
      </c>
      <c r="C177" s="435" t="s">
        <v>818</v>
      </c>
      <c r="D177" s="435"/>
      <c r="E177" s="435"/>
      <c r="F177" s="261" t="s">
        <v>577</v>
      </c>
      <c r="G177" s="277">
        <v>58</v>
      </c>
      <c r="H177" s="267">
        <v>0.85</v>
      </c>
      <c r="I177" s="264">
        <v>49.3</v>
      </c>
      <c r="J177" s="269"/>
      <c r="K177" s="262"/>
      <c r="L177" s="263">
        <v>605.89</v>
      </c>
      <c r="M177" s="262"/>
      <c r="N177" s="265">
        <v>25326.080000000002</v>
      </c>
      <c r="AF177" s="246"/>
      <c r="AG177" s="255"/>
      <c r="AH177" s="255"/>
      <c r="AL177" s="258" t="s">
        <v>818</v>
      </c>
      <c r="AN177" s="255"/>
    </row>
    <row r="178" spans="1:42" s="210" customFormat="1" ht="14.4" x14ac:dyDescent="0.3">
      <c r="A178" s="278"/>
      <c r="B178" s="370"/>
      <c r="C178" s="441" t="s">
        <v>580</v>
      </c>
      <c r="D178" s="441"/>
      <c r="E178" s="441"/>
      <c r="F178" s="249"/>
      <c r="G178" s="250"/>
      <c r="H178" s="250"/>
      <c r="I178" s="250"/>
      <c r="J178" s="253"/>
      <c r="K178" s="250"/>
      <c r="L178" s="279">
        <v>4254.96</v>
      </c>
      <c r="M178" s="273"/>
      <c r="N178" s="280">
        <v>140282.16</v>
      </c>
      <c r="AF178" s="246"/>
      <c r="AG178" s="255"/>
      <c r="AH178" s="255"/>
      <c r="AN178" s="255" t="s">
        <v>580</v>
      </c>
    </row>
    <row r="179" spans="1:42" s="210" customFormat="1" ht="14.4" x14ac:dyDescent="0.3">
      <c r="A179" s="247" t="s">
        <v>647</v>
      </c>
      <c r="B179" s="371" t="s">
        <v>581</v>
      </c>
      <c r="C179" s="441" t="s">
        <v>482</v>
      </c>
      <c r="D179" s="441"/>
      <c r="E179" s="441"/>
      <c r="F179" s="249" t="s">
        <v>182</v>
      </c>
      <c r="G179" s="250">
        <v>48</v>
      </c>
      <c r="H179" s="251">
        <v>1</v>
      </c>
      <c r="I179" s="251">
        <v>48</v>
      </c>
      <c r="J179" s="281">
        <v>66.290000000000006</v>
      </c>
      <c r="K179" s="282">
        <v>1.0506</v>
      </c>
      <c r="L179" s="279">
        <v>3342.93</v>
      </c>
      <c r="M179" s="252">
        <v>8.92</v>
      </c>
      <c r="N179" s="280">
        <v>29818.94</v>
      </c>
      <c r="AF179" s="246"/>
      <c r="AG179" s="255"/>
      <c r="AH179" s="255" t="s">
        <v>482</v>
      </c>
      <c r="AN179" s="255"/>
    </row>
    <row r="180" spans="1:42" s="210" customFormat="1" ht="14.4" x14ac:dyDescent="0.3">
      <c r="A180" s="278"/>
      <c r="B180" s="370"/>
      <c r="C180" s="435" t="s">
        <v>583</v>
      </c>
      <c r="D180" s="435"/>
      <c r="E180" s="435"/>
      <c r="F180" s="435"/>
      <c r="G180" s="435"/>
      <c r="H180" s="435"/>
      <c r="I180" s="435"/>
      <c r="J180" s="435"/>
      <c r="K180" s="435"/>
      <c r="L180" s="435"/>
      <c r="M180" s="435"/>
      <c r="N180" s="442"/>
      <c r="AF180" s="246"/>
      <c r="AG180" s="255"/>
      <c r="AH180" s="255"/>
      <c r="AN180" s="255"/>
      <c r="AO180" s="258" t="s">
        <v>583</v>
      </c>
    </row>
    <row r="181" spans="1:42" s="210" customFormat="1" ht="14.4" x14ac:dyDescent="0.3">
      <c r="A181" s="256"/>
      <c r="B181" s="369"/>
      <c r="C181" s="435" t="s">
        <v>830</v>
      </c>
      <c r="D181" s="435"/>
      <c r="E181" s="435"/>
      <c r="F181" s="435"/>
      <c r="G181" s="435"/>
      <c r="H181" s="435"/>
      <c r="I181" s="435"/>
      <c r="J181" s="435"/>
      <c r="K181" s="435"/>
      <c r="L181" s="435"/>
      <c r="M181" s="435"/>
      <c r="N181" s="442"/>
      <c r="AF181" s="246"/>
      <c r="AG181" s="255"/>
      <c r="AH181" s="255"/>
      <c r="AN181" s="255"/>
      <c r="AP181" s="258" t="s">
        <v>830</v>
      </c>
    </row>
    <row r="182" spans="1:42" s="210" customFormat="1" ht="20.399999999999999" x14ac:dyDescent="0.3">
      <c r="A182" s="283"/>
      <c r="B182" s="260" t="s">
        <v>585</v>
      </c>
      <c r="C182" s="443" t="s">
        <v>586</v>
      </c>
      <c r="D182" s="443"/>
      <c r="E182" s="443"/>
      <c r="F182" s="443"/>
      <c r="G182" s="443"/>
      <c r="H182" s="443"/>
      <c r="I182" s="443"/>
      <c r="J182" s="443"/>
      <c r="K182" s="443"/>
      <c r="L182" s="443"/>
      <c r="M182" s="443"/>
      <c r="N182" s="444"/>
      <c r="AF182" s="246"/>
      <c r="AG182" s="255"/>
      <c r="AH182" s="255"/>
      <c r="AJ182" s="258" t="s">
        <v>586</v>
      </c>
      <c r="AN182" s="255"/>
    </row>
    <row r="183" spans="1:42" s="210" customFormat="1" ht="14.4" x14ac:dyDescent="0.3">
      <c r="A183" s="283"/>
      <c r="B183" s="260"/>
      <c r="C183" s="443" t="s">
        <v>587</v>
      </c>
      <c r="D183" s="443"/>
      <c r="E183" s="443"/>
      <c r="F183" s="443"/>
      <c r="G183" s="443"/>
      <c r="H183" s="443"/>
      <c r="I183" s="443"/>
      <c r="J183" s="443"/>
      <c r="K183" s="443"/>
      <c r="L183" s="443"/>
      <c r="M183" s="443"/>
      <c r="N183" s="444"/>
      <c r="AF183" s="246"/>
      <c r="AG183" s="255"/>
      <c r="AH183" s="255"/>
      <c r="AJ183" s="258" t="s">
        <v>587</v>
      </c>
      <c r="AN183" s="255"/>
    </row>
    <row r="184" spans="1:42" s="210" customFormat="1" ht="14.4" x14ac:dyDescent="0.3">
      <c r="A184" s="278"/>
      <c r="B184" s="370"/>
      <c r="C184" s="441" t="s">
        <v>580</v>
      </c>
      <c r="D184" s="441"/>
      <c r="E184" s="441"/>
      <c r="F184" s="249"/>
      <c r="G184" s="250"/>
      <c r="H184" s="250"/>
      <c r="I184" s="250"/>
      <c r="J184" s="253"/>
      <c r="K184" s="250"/>
      <c r="L184" s="279">
        <v>3342.93</v>
      </c>
      <c r="M184" s="273"/>
      <c r="N184" s="280">
        <v>29818.94</v>
      </c>
      <c r="AF184" s="246"/>
      <c r="AG184" s="255"/>
      <c r="AH184" s="255"/>
      <c r="AN184" s="255" t="s">
        <v>580</v>
      </c>
    </row>
    <row r="185" spans="1:42" s="210" customFormat="1" ht="14.4" x14ac:dyDescent="0.3">
      <c r="A185" s="247" t="s">
        <v>656</v>
      </c>
      <c r="B185" s="371" t="s">
        <v>581</v>
      </c>
      <c r="C185" s="441" t="s">
        <v>481</v>
      </c>
      <c r="D185" s="441"/>
      <c r="E185" s="441"/>
      <c r="F185" s="249" t="s">
        <v>182</v>
      </c>
      <c r="G185" s="250">
        <v>60</v>
      </c>
      <c r="H185" s="251">
        <v>1</v>
      </c>
      <c r="I185" s="251">
        <v>60</v>
      </c>
      <c r="J185" s="281">
        <v>51.05</v>
      </c>
      <c r="K185" s="282">
        <v>1.0506</v>
      </c>
      <c r="L185" s="279">
        <v>3217.99</v>
      </c>
      <c r="M185" s="252">
        <v>8.92</v>
      </c>
      <c r="N185" s="280">
        <v>28704.47</v>
      </c>
      <c r="AF185" s="246"/>
      <c r="AG185" s="255"/>
      <c r="AH185" s="255" t="s">
        <v>481</v>
      </c>
      <c r="AN185" s="255"/>
    </row>
    <row r="186" spans="1:42" s="210" customFormat="1" ht="14.4" x14ac:dyDescent="0.3">
      <c r="A186" s="278"/>
      <c r="B186" s="370"/>
      <c r="C186" s="435" t="s">
        <v>583</v>
      </c>
      <c r="D186" s="435"/>
      <c r="E186" s="435"/>
      <c r="F186" s="435"/>
      <c r="G186" s="435"/>
      <c r="H186" s="435"/>
      <c r="I186" s="435"/>
      <c r="J186" s="435"/>
      <c r="K186" s="435"/>
      <c r="L186" s="435"/>
      <c r="M186" s="435"/>
      <c r="N186" s="442"/>
      <c r="AF186" s="246"/>
      <c r="AG186" s="255"/>
      <c r="AH186" s="255"/>
      <c r="AN186" s="255"/>
      <c r="AO186" s="258" t="s">
        <v>583</v>
      </c>
    </row>
    <row r="187" spans="1:42" s="210" customFormat="1" ht="14.4" x14ac:dyDescent="0.3">
      <c r="A187" s="256"/>
      <c r="B187" s="369"/>
      <c r="C187" s="435" t="s">
        <v>831</v>
      </c>
      <c r="D187" s="435"/>
      <c r="E187" s="435"/>
      <c r="F187" s="435"/>
      <c r="G187" s="435"/>
      <c r="H187" s="435"/>
      <c r="I187" s="435"/>
      <c r="J187" s="435"/>
      <c r="K187" s="435"/>
      <c r="L187" s="435"/>
      <c r="M187" s="435"/>
      <c r="N187" s="442"/>
      <c r="AF187" s="246"/>
      <c r="AG187" s="255"/>
      <c r="AH187" s="255"/>
      <c r="AN187" s="255"/>
      <c r="AP187" s="258" t="s">
        <v>831</v>
      </c>
    </row>
    <row r="188" spans="1:42" s="210" customFormat="1" ht="20.399999999999999" x14ac:dyDescent="0.3">
      <c r="A188" s="283"/>
      <c r="B188" s="260" t="s">
        <v>585</v>
      </c>
      <c r="C188" s="443" t="s">
        <v>586</v>
      </c>
      <c r="D188" s="443"/>
      <c r="E188" s="443"/>
      <c r="F188" s="443"/>
      <c r="G188" s="443"/>
      <c r="H188" s="443"/>
      <c r="I188" s="443"/>
      <c r="J188" s="443"/>
      <c r="K188" s="443"/>
      <c r="L188" s="443"/>
      <c r="M188" s="443"/>
      <c r="N188" s="444"/>
      <c r="AF188" s="246"/>
      <c r="AG188" s="255"/>
      <c r="AH188" s="255"/>
      <c r="AJ188" s="258" t="s">
        <v>586</v>
      </c>
      <c r="AN188" s="255"/>
    </row>
    <row r="189" spans="1:42" s="210" customFormat="1" ht="14.4" x14ac:dyDescent="0.3">
      <c r="A189" s="283"/>
      <c r="B189" s="260"/>
      <c r="C189" s="443" t="s">
        <v>587</v>
      </c>
      <c r="D189" s="443"/>
      <c r="E189" s="443"/>
      <c r="F189" s="443"/>
      <c r="G189" s="443"/>
      <c r="H189" s="443"/>
      <c r="I189" s="443"/>
      <c r="J189" s="443"/>
      <c r="K189" s="443"/>
      <c r="L189" s="443"/>
      <c r="M189" s="443"/>
      <c r="N189" s="444"/>
      <c r="AF189" s="246"/>
      <c r="AG189" s="255"/>
      <c r="AH189" s="255"/>
      <c r="AJ189" s="258" t="s">
        <v>587</v>
      </c>
      <c r="AN189" s="255"/>
    </row>
    <row r="190" spans="1:42" s="210" customFormat="1" ht="14.4" x14ac:dyDescent="0.3">
      <c r="A190" s="278"/>
      <c r="B190" s="370"/>
      <c r="C190" s="441" t="s">
        <v>580</v>
      </c>
      <c r="D190" s="441"/>
      <c r="E190" s="441"/>
      <c r="F190" s="249"/>
      <c r="G190" s="250"/>
      <c r="H190" s="250"/>
      <c r="I190" s="250"/>
      <c r="J190" s="253"/>
      <c r="K190" s="250"/>
      <c r="L190" s="279">
        <v>3217.99</v>
      </c>
      <c r="M190" s="273"/>
      <c r="N190" s="280">
        <v>28704.47</v>
      </c>
      <c r="AF190" s="246"/>
      <c r="AG190" s="255"/>
      <c r="AH190" s="255"/>
      <c r="AN190" s="255" t="s">
        <v>580</v>
      </c>
    </row>
    <row r="191" spans="1:42" s="210" customFormat="1" ht="14.4" x14ac:dyDescent="0.3">
      <c r="A191" s="247" t="s">
        <v>663</v>
      </c>
      <c r="B191" s="371" t="s">
        <v>581</v>
      </c>
      <c r="C191" s="441" t="s">
        <v>487</v>
      </c>
      <c r="D191" s="441"/>
      <c r="E191" s="441"/>
      <c r="F191" s="249" t="s">
        <v>182</v>
      </c>
      <c r="G191" s="250">
        <v>57.6</v>
      </c>
      <c r="H191" s="251">
        <v>1</v>
      </c>
      <c r="I191" s="290">
        <v>57.6</v>
      </c>
      <c r="J191" s="281">
        <v>364.73</v>
      </c>
      <c r="K191" s="282">
        <v>1.0506</v>
      </c>
      <c r="L191" s="279">
        <v>22071.48</v>
      </c>
      <c r="M191" s="252">
        <v>8.92</v>
      </c>
      <c r="N191" s="280">
        <v>196877.6</v>
      </c>
      <c r="AF191" s="246"/>
      <c r="AG191" s="255"/>
      <c r="AH191" s="255" t="s">
        <v>487</v>
      </c>
      <c r="AN191" s="255"/>
    </row>
    <row r="192" spans="1:42" s="210" customFormat="1" ht="14.4" x14ac:dyDescent="0.3">
      <c r="A192" s="278"/>
      <c r="B192" s="370"/>
      <c r="C192" s="435" t="s">
        <v>583</v>
      </c>
      <c r="D192" s="435"/>
      <c r="E192" s="435"/>
      <c r="F192" s="435"/>
      <c r="G192" s="435"/>
      <c r="H192" s="435"/>
      <c r="I192" s="435"/>
      <c r="J192" s="435"/>
      <c r="K192" s="435"/>
      <c r="L192" s="435"/>
      <c r="M192" s="435"/>
      <c r="N192" s="442"/>
      <c r="AF192" s="246"/>
      <c r="AG192" s="255"/>
      <c r="AH192" s="255"/>
      <c r="AN192" s="255"/>
      <c r="AO192" s="258" t="s">
        <v>583</v>
      </c>
    </row>
    <row r="193" spans="1:42" s="210" customFormat="1" ht="14.4" x14ac:dyDescent="0.3">
      <c r="A193" s="256"/>
      <c r="B193" s="369"/>
      <c r="C193" s="435" t="s">
        <v>832</v>
      </c>
      <c r="D193" s="435"/>
      <c r="E193" s="435"/>
      <c r="F193" s="435"/>
      <c r="G193" s="435"/>
      <c r="H193" s="435"/>
      <c r="I193" s="435"/>
      <c r="J193" s="435"/>
      <c r="K193" s="435"/>
      <c r="L193" s="435"/>
      <c r="M193" s="435"/>
      <c r="N193" s="442"/>
      <c r="AF193" s="246"/>
      <c r="AG193" s="255"/>
      <c r="AH193" s="255"/>
      <c r="AN193" s="255"/>
      <c r="AP193" s="258" t="s">
        <v>832</v>
      </c>
    </row>
    <row r="194" spans="1:42" s="210" customFormat="1" ht="20.399999999999999" x14ac:dyDescent="0.3">
      <c r="A194" s="283"/>
      <c r="B194" s="260" t="s">
        <v>585</v>
      </c>
      <c r="C194" s="443" t="s">
        <v>586</v>
      </c>
      <c r="D194" s="443"/>
      <c r="E194" s="443"/>
      <c r="F194" s="443"/>
      <c r="G194" s="443"/>
      <c r="H194" s="443"/>
      <c r="I194" s="443"/>
      <c r="J194" s="443"/>
      <c r="K194" s="443"/>
      <c r="L194" s="443"/>
      <c r="M194" s="443"/>
      <c r="N194" s="444"/>
      <c r="AF194" s="246"/>
      <c r="AG194" s="255"/>
      <c r="AH194" s="255"/>
      <c r="AJ194" s="258" t="s">
        <v>586</v>
      </c>
      <c r="AN194" s="255"/>
    </row>
    <row r="195" spans="1:42" s="210" customFormat="1" ht="14.4" x14ac:dyDescent="0.3">
      <c r="A195" s="283"/>
      <c r="B195" s="260"/>
      <c r="C195" s="443" t="s">
        <v>587</v>
      </c>
      <c r="D195" s="443"/>
      <c r="E195" s="443"/>
      <c r="F195" s="443"/>
      <c r="G195" s="443"/>
      <c r="H195" s="443"/>
      <c r="I195" s="443"/>
      <c r="J195" s="443"/>
      <c r="K195" s="443"/>
      <c r="L195" s="443"/>
      <c r="M195" s="443"/>
      <c r="N195" s="444"/>
      <c r="AF195" s="246"/>
      <c r="AG195" s="255"/>
      <c r="AH195" s="255"/>
      <c r="AJ195" s="258" t="s">
        <v>587</v>
      </c>
      <c r="AN195" s="255"/>
    </row>
    <row r="196" spans="1:42" s="210" customFormat="1" ht="14.4" x14ac:dyDescent="0.3">
      <c r="A196" s="278"/>
      <c r="B196" s="370"/>
      <c r="C196" s="441" t="s">
        <v>580</v>
      </c>
      <c r="D196" s="441"/>
      <c r="E196" s="441"/>
      <c r="F196" s="249"/>
      <c r="G196" s="250"/>
      <c r="H196" s="250"/>
      <c r="I196" s="250"/>
      <c r="J196" s="253"/>
      <c r="K196" s="250"/>
      <c r="L196" s="279">
        <v>22071.48</v>
      </c>
      <c r="M196" s="273"/>
      <c r="N196" s="280">
        <v>196877.6</v>
      </c>
      <c r="AF196" s="246"/>
      <c r="AG196" s="255"/>
      <c r="AH196" s="255"/>
      <c r="AN196" s="255" t="s">
        <v>580</v>
      </c>
    </row>
    <row r="197" spans="1:42" s="210" customFormat="1" ht="21.6" x14ac:dyDescent="0.3">
      <c r="A197" s="247" t="s">
        <v>833</v>
      </c>
      <c r="B197" s="371" t="s">
        <v>834</v>
      </c>
      <c r="C197" s="441" t="s">
        <v>835</v>
      </c>
      <c r="D197" s="441"/>
      <c r="E197" s="441"/>
      <c r="F197" s="249" t="s">
        <v>604</v>
      </c>
      <c r="G197" s="250">
        <v>0.40810000000000002</v>
      </c>
      <c r="H197" s="251">
        <v>1</v>
      </c>
      <c r="I197" s="282">
        <v>0.40810000000000002</v>
      </c>
      <c r="J197" s="253"/>
      <c r="K197" s="250"/>
      <c r="L197" s="253"/>
      <c r="M197" s="250"/>
      <c r="N197" s="254"/>
      <c r="AF197" s="246"/>
      <c r="AG197" s="255"/>
      <c r="AH197" s="255" t="s">
        <v>835</v>
      </c>
      <c r="AN197" s="255"/>
    </row>
    <row r="198" spans="1:42" s="210" customFormat="1" ht="14.4" x14ac:dyDescent="0.3">
      <c r="A198" s="256"/>
      <c r="B198" s="369"/>
      <c r="C198" s="435" t="s">
        <v>605</v>
      </c>
      <c r="D198" s="435"/>
      <c r="E198" s="435"/>
      <c r="F198" s="435"/>
      <c r="G198" s="435"/>
      <c r="H198" s="435"/>
      <c r="I198" s="435"/>
      <c r="J198" s="435"/>
      <c r="K198" s="435"/>
      <c r="L198" s="435"/>
      <c r="M198" s="435"/>
      <c r="N198" s="442"/>
      <c r="AF198" s="246"/>
      <c r="AG198" s="255"/>
      <c r="AH198" s="255"/>
      <c r="AI198" s="258" t="s">
        <v>605</v>
      </c>
      <c r="AN198" s="255"/>
    </row>
    <row r="199" spans="1:42" s="210" customFormat="1" ht="52.2" x14ac:dyDescent="0.3">
      <c r="A199" s="283"/>
      <c r="B199" s="260" t="s">
        <v>704</v>
      </c>
      <c r="C199" s="443" t="s">
        <v>705</v>
      </c>
      <c r="D199" s="443"/>
      <c r="E199" s="443"/>
      <c r="F199" s="443"/>
      <c r="G199" s="443"/>
      <c r="H199" s="443"/>
      <c r="I199" s="443"/>
      <c r="J199" s="443"/>
      <c r="K199" s="443"/>
      <c r="L199" s="443"/>
      <c r="M199" s="443"/>
      <c r="N199" s="444"/>
      <c r="AF199" s="246"/>
      <c r="AG199" s="255"/>
      <c r="AH199" s="255"/>
      <c r="AJ199" s="258" t="s">
        <v>705</v>
      </c>
      <c r="AN199" s="255"/>
    </row>
    <row r="200" spans="1:42" s="210" customFormat="1" ht="14.4" x14ac:dyDescent="0.3">
      <c r="A200" s="259"/>
      <c r="B200" s="260" t="s">
        <v>301</v>
      </c>
      <c r="C200" s="435" t="s">
        <v>566</v>
      </c>
      <c r="D200" s="435"/>
      <c r="E200" s="435"/>
      <c r="F200" s="261"/>
      <c r="G200" s="262"/>
      <c r="H200" s="262"/>
      <c r="I200" s="262"/>
      <c r="J200" s="263">
        <v>56.55</v>
      </c>
      <c r="K200" s="267">
        <v>1.1499999999999999</v>
      </c>
      <c r="L200" s="263">
        <v>26.54</v>
      </c>
      <c r="M200" s="264">
        <v>41.8</v>
      </c>
      <c r="N200" s="265">
        <v>1109.3699999999999</v>
      </c>
      <c r="AF200" s="246"/>
      <c r="AG200" s="255"/>
      <c r="AH200" s="255"/>
      <c r="AK200" s="258" t="s">
        <v>566</v>
      </c>
      <c r="AN200" s="255"/>
    </row>
    <row r="201" spans="1:42" s="210" customFormat="1" ht="14.4" x14ac:dyDescent="0.3">
      <c r="A201" s="259"/>
      <c r="B201" s="260" t="s">
        <v>304</v>
      </c>
      <c r="C201" s="435" t="s">
        <v>567</v>
      </c>
      <c r="D201" s="435"/>
      <c r="E201" s="435"/>
      <c r="F201" s="261"/>
      <c r="G201" s="262"/>
      <c r="H201" s="262"/>
      <c r="I201" s="262"/>
      <c r="J201" s="263">
        <v>9.2200000000000006</v>
      </c>
      <c r="K201" s="267">
        <v>1.1499999999999999</v>
      </c>
      <c r="L201" s="263">
        <v>4.33</v>
      </c>
      <c r="M201" s="267">
        <v>13.59</v>
      </c>
      <c r="N201" s="284">
        <v>58.84</v>
      </c>
      <c r="AF201" s="246"/>
      <c r="AG201" s="255"/>
      <c r="AH201" s="255"/>
      <c r="AK201" s="258" t="s">
        <v>567</v>
      </c>
      <c r="AN201" s="255"/>
    </row>
    <row r="202" spans="1:42" s="210" customFormat="1" ht="14.4" x14ac:dyDescent="0.3">
      <c r="A202" s="259"/>
      <c r="B202" s="260" t="s">
        <v>568</v>
      </c>
      <c r="C202" s="435" t="s">
        <v>569</v>
      </c>
      <c r="D202" s="435"/>
      <c r="E202" s="435"/>
      <c r="F202" s="261"/>
      <c r="G202" s="262"/>
      <c r="H202" s="262"/>
      <c r="I202" s="262"/>
      <c r="J202" s="263">
        <v>0.22</v>
      </c>
      <c r="K202" s="267">
        <v>1.1499999999999999</v>
      </c>
      <c r="L202" s="263">
        <v>0.1</v>
      </c>
      <c r="M202" s="264">
        <v>41.8</v>
      </c>
      <c r="N202" s="284">
        <v>4.18</v>
      </c>
      <c r="AF202" s="246"/>
      <c r="AG202" s="255"/>
      <c r="AH202" s="255"/>
      <c r="AK202" s="258" t="s">
        <v>569</v>
      </c>
      <c r="AN202" s="255"/>
    </row>
    <row r="203" spans="1:42" s="210" customFormat="1" ht="14.4" x14ac:dyDescent="0.3">
      <c r="A203" s="259"/>
      <c r="B203" s="260" t="s">
        <v>592</v>
      </c>
      <c r="C203" s="435" t="s">
        <v>593</v>
      </c>
      <c r="D203" s="435"/>
      <c r="E203" s="435"/>
      <c r="F203" s="261"/>
      <c r="G203" s="262"/>
      <c r="H203" s="262"/>
      <c r="I203" s="262"/>
      <c r="J203" s="263">
        <v>152.04</v>
      </c>
      <c r="K203" s="262"/>
      <c r="L203" s="263">
        <v>62.05</v>
      </c>
      <c r="M203" s="267">
        <v>8.92</v>
      </c>
      <c r="N203" s="284">
        <v>553.49</v>
      </c>
      <c r="AF203" s="246"/>
      <c r="AG203" s="255"/>
      <c r="AH203" s="255"/>
      <c r="AK203" s="258" t="s">
        <v>593</v>
      </c>
      <c r="AN203" s="255"/>
    </row>
    <row r="204" spans="1:42" s="210" customFormat="1" ht="14.4" x14ac:dyDescent="0.3">
      <c r="A204" s="268"/>
      <c r="B204" s="260"/>
      <c r="C204" s="435" t="s">
        <v>570</v>
      </c>
      <c r="D204" s="435"/>
      <c r="E204" s="435"/>
      <c r="F204" s="261" t="s">
        <v>571</v>
      </c>
      <c r="G204" s="267">
        <v>5.31</v>
      </c>
      <c r="H204" s="267">
        <v>1.1499999999999999</v>
      </c>
      <c r="I204" s="334">
        <v>2.4920627</v>
      </c>
      <c r="J204" s="269"/>
      <c r="K204" s="262"/>
      <c r="L204" s="269"/>
      <c r="M204" s="262"/>
      <c r="N204" s="270"/>
      <c r="AF204" s="246"/>
      <c r="AG204" s="255"/>
      <c r="AH204" s="255"/>
      <c r="AL204" s="258" t="s">
        <v>570</v>
      </c>
      <c r="AN204" s="255"/>
    </row>
    <row r="205" spans="1:42" s="210" customFormat="1" ht="14.4" x14ac:dyDescent="0.3">
      <c r="A205" s="268"/>
      <c r="B205" s="260"/>
      <c r="C205" s="435" t="s">
        <v>572</v>
      </c>
      <c r="D205" s="435"/>
      <c r="E205" s="435"/>
      <c r="F205" s="261" t="s">
        <v>571</v>
      </c>
      <c r="G205" s="267">
        <v>0.02</v>
      </c>
      <c r="H205" s="267">
        <v>1.1499999999999999</v>
      </c>
      <c r="I205" s="334">
        <v>9.3863000000000002E-3</v>
      </c>
      <c r="J205" s="269"/>
      <c r="K205" s="262"/>
      <c r="L205" s="269"/>
      <c r="M205" s="262"/>
      <c r="N205" s="270"/>
      <c r="AF205" s="246"/>
      <c r="AG205" s="255"/>
      <c r="AH205" s="255"/>
      <c r="AL205" s="258" t="s">
        <v>572</v>
      </c>
      <c r="AN205" s="255"/>
    </row>
    <row r="206" spans="1:42" s="210" customFormat="1" ht="14.4" x14ac:dyDescent="0.3">
      <c r="A206" s="259"/>
      <c r="B206" s="260"/>
      <c r="C206" s="436" t="s">
        <v>573</v>
      </c>
      <c r="D206" s="436"/>
      <c r="E206" s="436"/>
      <c r="F206" s="272"/>
      <c r="G206" s="273"/>
      <c r="H206" s="273"/>
      <c r="I206" s="273"/>
      <c r="J206" s="275">
        <v>217.81</v>
      </c>
      <c r="K206" s="273"/>
      <c r="L206" s="275">
        <v>92.92</v>
      </c>
      <c r="M206" s="273"/>
      <c r="N206" s="276">
        <v>1721.7</v>
      </c>
      <c r="AF206" s="246"/>
      <c r="AG206" s="255"/>
      <c r="AH206" s="255"/>
      <c r="AM206" s="258" t="s">
        <v>573</v>
      </c>
      <c r="AN206" s="255"/>
    </row>
    <row r="207" spans="1:42" s="210" customFormat="1" ht="14.4" x14ac:dyDescent="0.3">
      <c r="A207" s="268"/>
      <c r="B207" s="260"/>
      <c r="C207" s="435" t="s">
        <v>574</v>
      </c>
      <c r="D207" s="435"/>
      <c r="E207" s="435"/>
      <c r="F207" s="261"/>
      <c r="G207" s="262"/>
      <c r="H207" s="262"/>
      <c r="I207" s="262"/>
      <c r="J207" s="269"/>
      <c r="K207" s="262"/>
      <c r="L207" s="263">
        <v>26.64</v>
      </c>
      <c r="M207" s="262"/>
      <c r="N207" s="265">
        <v>1113.55</v>
      </c>
      <c r="AF207" s="246"/>
      <c r="AG207" s="255"/>
      <c r="AH207" s="255"/>
      <c r="AL207" s="258" t="s">
        <v>574</v>
      </c>
      <c r="AN207" s="255"/>
    </row>
    <row r="208" spans="1:42" s="210" customFormat="1" ht="21.6" x14ac:dyDescent="0.3">
      <c r="A208" s="268"/>
      <c r="B208" s="260" t="s">
        <v>606</v>
      </c>
      <c r="C208" s="435" t="s">
        <v>607</v>
      </c>
      <c r="D208" s="435"/>
      <c r="E208" s="435"/>
      <c r="F208" s="261" t="s">
        <v>577</v>
      </c>
      <c r="G208" s="277">
        <v>94</v>
      </c>
      <c r="H208" s="262"/>
      <c r="I208" s="277">
        <v>94</v>
      </c>
      <c r="J208" s="269"/>
      <c r="K208" s="262"/>
      <c r="L208" s="263">
        <v>25.04</v>
      </c>
      <c r="M208" s="262"/>
      <c r="N208" s="265">
        <v>1046.74</v>
      </c>
      <c r="AF208" s="246"/>
      <c r="AG208" s="255"/>
      <c r="AH208" s="255"/>
      <c r="AL208" s="258" t="s">
        <v>607</v>
      </c>
      <c r="AN208" s="255"/>
    </row>
    <row r="209" spans="1:40" s="210" customFormat="1" ht="40.799999999999997" x14ac:dyDescent="0.3">
      <c r="A209" s="268"/>
      <c r="B209" s="260" t="s">
        <v>608</v>
      </c>
      <c r="C209" s="435" t="s">
        <v>609</v>
      </c>
      <c r="D209" s="435"/>
      <c r="E209" s="435"/>
      <c r="F209" s="261" t="s">
        <v>577</v>
      </c>
      <c r="G209" s="277">
        <v>51</v>
      </c>
      <c r="H209" s="267">
        <v>0.85</v>
      </c>
      <c r="I209" s="267">
        <v>43.35</v>
      </c>
      <c r="J209" s="269"/>
      <c r="K209" s="262"/>
      <c r="L209" s="263">
        <v>11.55</v>
      </c>
      <c r="M209" s="262"/>
      <c r="N209" s="284">
        <v>482.72</v>
      </c>
      <c r="AF209" s="246"/>
      <c r="AG209" s="255"/>
      <c r="AH209" s="255"/>
      <c r="AL209" s="258" t="s">
        <v>609</v>
      </c>
      <c r="AN209" s="255"/>
    </row>
    <row r="210" spans="1:40" s="210" customFormat="1" ht="14.4" x14ac:dyDescent="0.3">
      <c r="A210" s="278"/>
      <c r="B210" s="370"/>
      <c r="C210" s="441" t="s">
        <v>580</v>
      </c>
      <c r="D210" s="441"/>
      <c r="E210" s="441"/>
      <c r="F210" s="249"/>
      <c r="G210" s="250"/>
      <c r="H210" s="250"/>
      <c r="I210" s="250"/>
      <c r="J210" s="253"/>
      <c r="K210" s="250"/>
      <c r="L210" s="281">
        <v>129.51</v>
      </c>
      <c r="M210" s="273"/>
      <c r="N210" s="280">
        <v>3251.16</v>
      </c>
      <c r="AF210" s="246"/>
      <c r="AG210" s="255"/>
      <c r="AH210" s="255"/>
      <c r="AN210" s="255" t="s">
        <v>580</v>
      </c>
    </row>
    <row r="211" spans="1:40" s="210" customFormat="1" ht="21.6" x14ac:dyDescent="0.3">
      <c r="A211" s="247" t="s">
        <v>836</v>
      </c>
      <c r="B211" s="371" t="s">
        <v>602</v>
      </c>
      <c r="C211" s="441" t="s">
        <v>603</v>
      </c>
      <c r="D211" s="441"/>
      <c r="E211" s="441"/>
      <c r="F211" s="249" t="s">
        <v>604</v>
      </c>
      <c r="G211" s="250">
        <v>0.40810000000000002</v>
      </c>
      <c r="H211" s="251">
        <v>1</v>
      </c>
      <c r="I211" s="282">
        <v>0.40810000000000002</v>
      </c>
      <c r="J211" s="253"/>
      <c r="K211" s="250"/>
      <c r="L211" s="253"/>
      <c r="M211" s="250"/>
      <c r="N211" s="254"/>
      <c r="AF211" s="246"/>
      <c r="AG211" s="255"/>
      <c r="AH211" s="255" t="s">
        <v>603</v>
      </c>
      <c r="AN211" s="255"/>
    </row>
    <row r="212" spans="1:40" s="210" customFormat="1" ht="14.4" x14ac:dyDescent="0.3">
      <c r="A212" s="256"/>
      <c r="B212" s="369"/>
      <c r="C212" s="435" t="s">
        <v>605</v>
      </c>
      <c r="D212" s="435"/>
      <c r="E212" s="435"/>
      <c r="F212" s="435"/>
      <c r="G212" s="435"/>
      <c r="H212" s="435"/>
      <c r="I212" s="435"/>
      <c r="J212" s="435"/>
      <c r="K212" s="435"/>
      <c r="L212" s="435"/>
      <c r="M212" s="435"/>
      <c r="N212" s="442"/>
      <c r="AF212" s="246"/>
      <c r="AG212" s="255"/>
      <c r="AH212" s="255"/>
      <c r="AI212" s="258" t="s">
        <v>605</v>
      </c>
      <c r="AN212" s="255"/>
    </row>
    <row r="213" spans="1:40" s="210" customFormat="1" ht="52.2" x14ac:dyDescent="0.3">
      <c r="A213" s="283"/>
      <c r="B213" s="260" t="s">
        <v>704</v>
      </c>
      <c r="C213" s="443" t="s">
        <v>705</v>
      </c>
      <c r="D213" s="443"/>
      <c r="E213" s="443"/>
      <c r="F213" s="443"/>
      <c r="G213" s="443"/>
      <c r="H213" s="443"/>
      <c r="I213" s="443"/>
      <c r="J213" s="443"/>
      <c r="K213" s="443"/>
      <c r="L213" s="443"/>
      <c r="M213" s="443"/>
      <c r="N213" s="444"/>
      <c r="AF213" s="246"/>
      <c r="AG213" s="255"/>
      <c r="AH213" s="255"/>
      <c r="AJ213" s="258" t="s">
        <v>705</v>
      </c>
      <c r="AN213" s="255"/>
    </row>
    <row r="214" spans="1:40" s="210" customFormat="1" ht="14.4" x14ac:dyDescent="0.3">
      <c r="A214" s="259"/>
      <c r="B214" s="260" t="s">
        <v>301</v>
      </c>
      <c r="C214" s="435" t="s">
        <v>566</v>
      </c>
      <c r="D214" s="435"/>
      <c r="E214" s="435"/>
      <c r="F214" s="261"/>
      <c r="G214" s="262"/>
      <c r="H214" s="262"/>
      <c r="I214" s="262"/>
      <c r="J214" s="263">
        <v>19.32</v>
      </c>
      <c r="K214" s="267">
        <v>1.1499999999999999</v>
      </c>
      <c r="L214" s="263">
        <v>9.07</v>
      </c>
      <c r="M214" s="264">
        <v>41.8</v>
      </c>
      <c r="N214" s="284">
        <v>379.13</v>
      </c>
      <c r="AF214" s="246"/>
      <c r="AG214" s="255"/>
      <c r="AH214" s="255"/>
      <c r="AK214" s="258" t="s">
        <v>566</v>
      </c>
      <c r="AN214" s="255"/>
    </row>
    <row r="215" spans="1:40" s="210" customFormat="1" ht="14.4" x14ac:dyDescent="0.3">
      <c r="A215" s="259"/>
      <c r="B215" s="260" t="s">
        <v>304</v>
      </c>
      <c r="C215" s="435" t="s">
        <v>567</v>
      </c>
      <c r="D215" s="435"/>
      <c r="E215" s="435"/>
      <c r="F215" s="261"/>
      <c r="G215" s="262"/>
      <c r="H215" s="262"/>
      <c r="I215" s="262"/>
      <c r="J215" s="263">
        <v>6.01</v>
      </c>
      <c r="K215" s="267">
        <v>1.1499999999999999</v>
      </c>
      <c r="L215" s="263">
        <v>2.82</v>
      </c>
      <c r="M215" s="267">
        <v>13.59</v>
      </c>
      <c r="N215" s="284">
        <v>38.32</v>
      </c>
      <c r="AF215" s="246"/>
      <c r="AG215" s="255"/>
      <c r="AH215" s="255"/>
      <c r="AK215" s="258" t="s">
        <v>567</v>
      </c>
      <c r="AN215" s="255"/>
    </row>
    <row r="216" spans="1:40" s="210" customFormat="1" ht="14.4" x14ac:dyDescent="0.3">
      <c r="A216" s="259"/>
      <c r="B216" s="260" t="s">
        <v>568</v>
      </c>
      <c r="C216" s="435" t="s">
        <v>569</v>
      </c>
      <c r="D216" s="435"/>
      <c r="E216" s="435"/>
      <c r="F216" s="261"/>
      <c r="G216" s="262"/>
      <c r="H216" s="262"/>
      <c r="I216" s="262"/>
      <c r="J216" s="263">
        <v>0.22</v>
      </c>
      <c r="K216" s="267">
        <v>1.1499999999999999</v>
      </c>
      <c r="L216" s="263">
        <v>0.1</v>
      </c>
      <c r="M216" s="264">
        <v>41.8</v>
      </c>
      <c r="N216" s="284">
        <v>4.18</v>
      </c>
      <c r="AF216" s="246"/>
      <c r="AG216" s="255"/>
      <c r="AH216" s="255"/>
      <c r="AK216" s="258" t="s">
        <v>569</v>
      </c>
      <c r="AN216" s="255"/>
    </row>
    <row r="217" spans="1:40" s="210" customFormat="1" ht="14.4" x14ac:dyDescent="0.3">
      <c r="A217" s="259"/>
      <c r="B217" s="260" t="s">
        <v>592</v>
      </c>
      <c r="C217" s="435" t="s">
        <v>593</v>
      </c>
      <c r="D217" s="435"/>
      <c r="E217" s="435"/>
      <c r="F217" s="261"/>
      <c r="G217" s="262"/>
      <c r="H217" s="262"/>
      <c r="I217" s="262"/>
      <c r="J217" s="263">
        <v>138.16</v>
      </c>
      <c r="K217" s="262"/>
      <c r="L217" s="263">
        <v>56.38</v>
      </c>
      <c r="M217" s="267">
        <v>8.92</v>
      </c>
      <c r="N217" s="284">
        <v>502.91</v>
      </c>
      <c r="AF217" s="246"/>
      <c r="AG217" s="255"/>
      <c r="AH217" s="255"/>
      <c r="AK217" s="258" t="s">
        <v>593</v>
      </c>
      <c r="AN217" s="255"/>
    </row>
    <row r="218" spans="1:40" s="210" customFormat="1" ht="14.4" x14ac:dyDescent="0.3">
      <c r="A218" s="268"/>
      <c r="B218" s="260"/>
      <c r="C218" s="435" t="s">
        <v>570</v>
      </c>
      <c r="D218" s="435"/>
      <c r="E218" s="435"/>
      <c r="F218" s="261" t="s">
        <v>571</v>
      </c>
      <c r="G218" s="267">
        <v>2.13</v>
      </c>
      <c r="H218" s="267">
        <v>1.1499999999999999</v>
      </c>
      <c r="I218" s="285">
        <v>0.999641</v>
      </c>
      <c r="J218" s="269"/>
      <c r="K218" s="262"/>
      <c r="L218" s="269"/>
      <c r="M218" s="262"/>
      <c r="N218" s="270"/>
      <c r="AF218" s="246"/>
      <c r="AG218" s="255"/>
      <c r="AH218" s="255"/>
      <c r="AL218" s="258" t="s">
        <v>570</v>
      </c>
      <c r="AN218" s="255"/>
    </row>
    <row r="219" spans="1:40" s="210" customFormat="1" ht="14.4" x14ac:dyDescent="0.3">
      <c r="A219" s="268"/>
      <c r="B219" s="260"/>
      <c r="C219" s="435" t="s">
        <v>572</v>
      </c>
      <c r="D219" s="435"/>
      <c r="E219" s="435"/>
      <c r="F219" s="261" t="s">
        <v>571</v>
      </c>
      <c r="G219" s="267">
        <v>0.02</v>
      </c>
      <c r="H219" s="267">
        <v>1.1499999999999999</v>
      </c>
      <c r="I219" s="334">
        <v>9.3863000000000002E-3</v>
      </c>
      <c r="J219" s="269"/>
      <c r="K219" s="262"/>
      <c r="L219" s="269"/>
      <c r="M219" s="262"/>
      <c r="N219" s="270"/>
      <c r="AF219" s="246"/>
      <c r="AG219" s="255"/>
      <c r="AH219" s="255"/>
      <c r="AL219" s="258" t="s">
        <v>572</v>
      </c>
      <c r="AN219" s="255"/>
    </row>
    <row r="220" spans="1:40" s="210" customFormat="1" ht="14.4" x14ac:dyDescent="0.3">
      <c r="A220" s="259"/>
      <c r="B220" s="260"/>
      <c r="C220" s="436" t="s">
        <v>573</v>
      </c>
      <c r="D220" s="436"/>
      <c r="E220" s="436"/>
      <c r="F220" s="272"/>
      <c r="G220" s="273"/>
      <c r="H220" s="273"/>
      <c r="I220" s="273"/>
      <c r="J220" s="275">
        <v>163.49</v>
      </c>
      <c r="K220" s="273"/>
      <c r="L220" s="275">
        <v>68.27</v>
      </c>
      <c r="M220" s="273"/>
      <c r="N220" s="286">
        <v>920.36</v>
      </c>
      <c r="AF220" s="246"/>
      <c r="AG220" s="255"/>
      <c r="AH220" s="255"/>
      <c r="AM220" s="258" t="s">
        <v>573</v>
      </c>
      <c r="AN220" s="255"/>
    </row>
    <row r="221" spans="1:40" s="210" customFormat="1" ht="14.4" x14ac:dyDescent="0.3">
      <c r="A221" s="268"/>
      <c r="B221" s="260"/>
      <c r="C221" s="435" t="s">
        <v>574</v>
      </c>
      <c r="D221" s="435"/>
      <c r="E221" s="435"/>
      <c r="F221" s="261"/>
      <c r="G221" s="262"/>
      <c r="H221" s="262"/>
      <c r="I221" s="262"/>
      <c r="J221" s="269"/>
      <c r="K221" s="262"/>
      <c r="L221" s="263">
        <v>9.17</v>
      </c>
      <c r="M221" s="262"/>
      <c r="N221" s="284">
        <v>383.31</v>
      </c>
      <c r="AF221" s="246"/>
      <c r="AG221" s="255"/>
      <c r="AH221" s="255"/>
      <c r="AL221" s="258" t="s">
        <v>574</v>
      </c>
      <c r="AN221" s="255"/>
    </row>
    <row r="222" spans="1:40" s="210" customFormat="1" ht="21.6" x14ac:dyDescent="0.3">
      <c r="A222" s="268"/>
      <c r="B222" s="260" t="s">
        <v>606</v>
      </c>
      <c r="C222" s="435" t="s">
        <v>607</v>
      </c>
      <c r="D222" s="435"/>
      <c r="E222" s="435"/>
      <c r="F222" s="261" t="s">
        <v>577</v>
      </c>
      <c r="G222" s="277">
        <v>94</v>
      </c>
      <c r="H222" s="262"/>
      <c r="I222" s="277">
        <v>94</v>
      </c>
      <c r="J222" s="269"/>
      <c r="K222" s="262"/>
      <c r="L222" s="263">
        <v>8.6199999999999992</v>
      </c>
      <c r="M222" s="262"/>
      <c r="N222" s="284">
        <v>360.31</v>
      </c>
      <c r="AF222" s="246"/>
      <c r="AG222" s="255"/>
      <c r="AH222" s="255"/>
      <c r="AL222" s="258" t="s">
        <v>607</v>
      </c>
      <c r="AN222" s="255"/>
    </row>
    <row r="223" spans="1:40" s="210" customFormat="1" ht="40.799999999999997" x14ac:dyDescent="0.3">
      <c r="A223" s="268"/>
      <c r="B223" s="260" t="s">
        <v>608</v>
      </c>
      <c r="C223" s="435" t="s">
        <v>609</v>
      </c>
      <c r="D223" s="435"/>
      <c r="E223" s="435"/>
      <c r="F223" s="261" t="s">
        <v>577</v>
      </c>
      <c r="G223" s="277">
        <v>51</v>
      </c>
      <c r="H223" s="267">
        <v>0.85</v>
      </c>
      <c r="I223" s="267">
        <v>43.35</v>
      </c>
      <c r="J223" s="269"/>
      <c r="K223" s="262"/>
      <c r="L223" s="263">
        <v>3.98</v>
      </c>
      <c r="M223" s="262"/>
      <c r="N223" s="284">
        <v>166.16</v>
      </c>
      <c r="AF223" s="246"/>
      <c r="AG223" s="255"/>
      <c r="AH223" s="255"/>
      <c r="AL223" s="258" t="s">
        <v>609</v>
      </c>
      <c r="AN223" s="255"/>
    </row>
    <row r="224" spans="1:40" s="210" customFormat="1" ht="14.4" x14ac:dyDescent="0.3">
      <c r="A224" s="278"/>
      <c r="B224" s="370"/>
      <c r="C224" s="441" t="s">
        <v>580</v>
      </c>
      <c r="D224" s="441"/>
      <c r="E224" s="441"/>
      <c r="F224" s="249"/>
      <c r="G224" s="250"/>
      <c r="H224" s="250"/>
      <c r="I224" s="250"/>
      <c r="J224" s="253"/>
      <c r="K224" s="250"/>
      <c r="L224" s="281">
        <v>80.87</v>
      </c>
      <c r="M224" s="273"/>
      <c r="N224" s="280">
        <v>1446.83</v>
      </c>
      <c r="AF224" s="246"/>
      <c r="AG224" s="255"/>
      <c r="AH224" s="255"/>
      <c r="AN224" s="255" t="s">
        <v>580</v>
      </c>
    </row>
    <row r="225" spans="1:40" s="210" customFormat="1" ht="14.4" x14ac:dyDescent="0.3">
      <c r="A225" s="483" t="s">
        <v>837</v>
      </c>
      <c r="B225" s="484"/>
      <c r="C225" s="484"/>
      <c r="D225" s="484"/>
      <c r="E225" s="484"/>
      <c r="F225" s="484"/>
      <c r="G225" s="484"/>
      <c r="H225" s="484"/>
      <c r="I225" s="484"/>
      <c r="J225" s="484"/>
      <c r="K225" s="484"/>
      <c r="L225" s="484"/>
      <c r="M225" s="484"/>
      <c r="N225" s="485"/>
      <c r="AF225" s="246"/>
      <c r="AG225" s="255" t="s">
        <v>837</v>
      </c>
      <c r="AH225" s="255"/>
      <c r="AN225" s="255"/>
    </row>
    <row r="226" spans="1:40" s="210" customFormat="1" ht="42" x14ac:dyDescent="0.3">
      <c r="A226" s="247" t="s">
        <v>359</v>
      </c>
      <c r="B226" s="371" t="s">
        <v>588</v>
      </c>
      <c r="C226" s="441" t="s">
        <v>589</v>
      </c>
      <c r="D226" s="441"/>
      <c r="E226" s="441"/>
      <c r="F226" s="249" t="s">
        <v>590</v>
      </c>
      <c r="G226" s="250">
        <v>0.48</v>
      </c>
      <c r="H226" s="251">
        <v>1</v>
      </c>
      <c r="I226" s="252">
        <v>0.48</v>
      </c>
      <c r="J226" s="253"/>
      <c r="K226" s="250"/>
      <c r="L226" s="253"/>
      <c r="M226" s="250"/>
      <c r="N226" s="254"/>
      <c r="AF226" s="246"/>
      <c r="AG226" s="255"/>
      <c r="AH226" s="255" t="s">
        <v>589</v>
      </c>
      <c r="AN226" s="255"/>
    </row>
    <row r="227" spans="1:40" s="210" customFormat="1" ht="14.4" x14ac:dyDescent="0.3">
      <c r="A227" s="256"/>
      <c r="B227" s="369"/>
      <c r="C227" s="435" t="s">
        <v>591</v>
      </c>
      <c r="D227" s="435"/>
      <c r="E227" s="435"/>
      <c r="F227" s="435"/>
      <c r="G227" s="435"/>
      <c r="H227" s="435"/>
      <c r="I227" s="435"/>
      <c r="J227" s="435"/>
      <c r="K227" s="435"/>
      <c r="L227" s="435"/>
      <c r="M227" s="435"/>
      <c r="N227" s="442"/>
      <c r="AF227" s="246"/>
      <c r="AG227" s="255"/>
      <c r="AH227" s="255"/>
      <c r="AI227" s="258" t="s">
        <v>591</v>
      </c>
      <c r="AN227" s="255"/>
    </row>
    <row r="228" spans="1:40" s="210" customFormat="1" ht="52.2" x14ac:dyDescent="0.3">
      <c r="A228" s="283"/>
      <c r="B228" s="260" t="s">
        <v>704</v>
      </c>
      <c r="C228" s="443" t="s">
        <v>705</v>
      </c>
      <c r="D228" s="443"/>
      <c r="E228" s="443"/>
      <c r="F228" s="443"/>
      <c r="G228" s="443"/>
      <c r="H228" s="443"/>
      <c r="I228" s="443"/>
      <c r="J228" s="443"/>
      <c r="K228" s="443"/>
      <c r="L228" s="443"/>
      <c r="M228" s="443"/>
      <c r="N228" s="444"/>
      <c r="AF228" s="246"/>
      <c r="AG228" s="255"/>
      <c r="AH228" s="255"/>
      <c r="AJ228" s="258" t="s">
        <v>705</v>
      </c>
      <c r="AN228" s="255"/>
    </row>
    <row r="229" spans="1:40" s="210" customFormat="1" ht="14.4" x14ac:dyDescent="0.3">
      <c r="A229" s="259"/>
      <c r="B229" s="260" t="s">
        <v>301</v>
      </c>
      <c r="C229" s="435" t="s">
        <v>566</v>
      </c>
      <c r="D229" s="435"/>
      <c r="E229" s="435"/>
      <c r="F229" s="261"/>
      <c r="G229" s="262"/>
      <c r="H229" s="262"/>
      <c r="I229" s="262"/>
      <c r="J229" s="266">
        <v>8507.94</v>
      </c>
      <c r="K229" s="267">
        <v>1.1499999999999999</v>
      </c>
      <c r="L229" s="266">
        <v>4696.38</v>
      </c>
      <c r="M229" s="264">
        <v>41.8</v>
      </c>
      <c r="N229" s="265">
        <v>196308.68</v>
      </c>
      <c r="AF229" s="246"/>
      <c r="AG229" s="255"/>
      <c r="AH229" s="255"/>
      <c r="AK229" s="258" t="s">
        <v>566</v>
      </c>
      <c r="AN229" s="255"/>
    </row>
    <row r="230" spans="1:40" s="210" customFormat="1" ht="14.4" x14ac:dyDescent="0.3">
      <c r="A230" s="259"/>
      <c r="B230" s="260" t="s">
        <v>304</v>
      </c>
      <c r="C230" s="435" t="s">
        <v>567</v>
      </c>
      <c r="D230" s="435"/>
      <c r="E230" s="435"/>
      <c r="F230" s="261"/>
      <c r="G230" s="262"/>
      <c r="H230" s="262"/>
      <c r="I230" s="262"/>
      <c r="J230" s="266">
        <v>18710.8</v>
      </c>
      <c r="K230" s="267">
        <v>1.1499999999999999</v>
      </c>
      <c r="L230" s="266">
        <v>10328.36</v>
      </c>
      <c r="M230" s="267">
        <v>13.59</v>
      </c>
      <c r="N230" s="265">
        <v>140362.41</v>
      </c>
      <c r="AF230" s="246"/>
      <c r="AG230" s="255"/>
      <c r="AH230" s="255"/>
      <c r="AK230" s="258" t="s">
        <v>567</v>
      </c>
      <c r="AN230" s="255"/>
    </row>
    <row r="231" spans="1:40" s="210" customFormat="1" ht="14.4" x14ac:dyDescent="0.3">
      <c r="A231" s="259"/>
      <c r="B231" s="260" t="s">
        <v>568</v>
      </c>
      <c r="C231" s="435" t="s">
        <v>569</v>
      </c>
      <c r="D231" s="435"/>
      <c r="E231" s="435"/>
      <c r="F231" s="261"/>
      <c r="G231" s="262"/>
      <c r="H231" s="262"/>
      <c r="I231" s="262"/>
      <c r="J231" s="266">
        <v>1848.3</v>
      </c>
      <c r="K231" s="267">
        <v>1.1499999999999999</v>
      </c>
      <c r="L231" s="266">
        <v>1020.26</v>
      </c>
      <c r="M231" s="264">
        <v>41.8</v>
      </c>
      <c r="N231" s="265">
        <v>42646.87</v>
      </c>
      <c r="AF231" s="246"/>
      <c r="AG231" s="255"/>
      <c r="AH231" s="255"/>
      <c r="AK231" s="258" t="s">
        <v>569</v>
      </c>
      <c r="AN231" s="255"/>
    </row>
    <row r="232" spans="1:40" s="210" customFormat="1" ht="14.4" x14ac:dyDescent="0.3">
      <c r="A232" s="259"/>
      <c r="B232" s="260" t="s">
        <v>592</v>
      </c>
      <c r="C232" s="435" t="s">
        <v>593</v>
      </c>
      <c r="D232" s="435"/>
      <c r="E232" s="435"/>
      <c r="F232" s="261"/>
      <c r="G232" s="262"/>
      <c r="H232" s="262"/>
      <c r="I232" s="262"/>
      <c r="J232" s="266">
        <v>21932.11</v>
      </c>
      <c r="K232" s="262"/>
      <c r="L232" s="266">
        <v>10527.41</v>
      </c>
      <c r="M232" s="267">
        <v>8.92</v>
      </c>
      <c r="N232" s="265">
        <v>93904.5</v>
      </c>
      <c r="AF232" s="246"/>
      <c r="AG232" s="255"/>
      <c r="AH232" s="255"/>
      <c r="AK232" s="258" t="s">
        <v>593</v>
      </c>
      <c r="AN232" s="255"/>
    </row>
    <row r="233" spans="1:40" s="210" customFormat="1" ht="14.4" x14ac:dyDescent="0.3">
      <c r="A233" s="268"/>
      <c r="B233" s="260"/>
      <c r="C233" s="435" t="s">
        <v>570</v>
      </c>
      <c r="D233" s="435"/>
      <c r="E233" s="435"/>
      <c r="F233" s="261" t="s">
        <v>571</v>
      </c>
      <c r="G233" s="267">
        <v>845.72</v>
      </c>
      <c r="H233" s="267">
        <v>1.1499999999999999</v>
      </c>
      <c r="I233" s="289">
        <v>466.83744000000002</v>
      </c>
      <c r="J233" s="269"/>
      <c r="K233" s="262"/>
      <c r="L233" s="269"/>
      <c r="M233" s="262"/>
      <c r="N233" s="270"/>
      <c r="AF233" s="246"/>
      <c r="AG233" s="255"/>
      <c r="AH233" s="255"/>
      <c r="AL233" s="258" t="s">
        <v>570</v>
      </c>
      <c r="AN233" s="255"/>
    </row>
    <row r="234" spans="1:40" s="210" customFormat="1" ht="14.4" x14ac:dyDescent="0.3">
      <c r="A234" s="268"/>
      <c r="B234" s="260"/>
      <c r="C234" s="435" t="s">
        <v>572</v>
      </c>
      <c r="D234" s="435"/>
      <c r="E234" s="435"/>
      <c r="F234" s="261" t="s">
        <v>571</v>
      </c>
      <c r="G234" s="267">
        <v>150.28</v>
      </c>
      <c r="H234" s="267">
        <v>1.1499999999999999</v>
      </c>
      <c r="I234" s="289">
        <v>82.954560000000001</v>
      </c>
      <c r="J234" s="269"/>
      <c r="K234" s="262"/>
      <c r="L234" s="269"/>
      <c r="M234" s="262"/>
      <c r="N234" s="270"/>
      <c r="AF234" s="246"/>
      <c r="AG234" s="255"/>
      <c r="AH234" s="255"/>
      <c r="AL234" s="258" t="s">
        <v>572</v>
      </c>
      <c r="AN234" s="255"/>
    </row>
    <row r="235" spans="1:40" s="210" customFormat="1" ht="14.4" x14ac:dyDescent="0.3">
      <c r="A235" s="259"/>
      <c r="B235" s="260"/>
      <c r="C235" s="436" t="s">
        <v>573</v>
      </c>
      <c r="D235" s="436"/>
      <c r="E235" s="436"/>
      <c r="F235" s="272"/>
      <c r="G235" s="273"/>
      <c r="H235" s="273"/>
      <c r="I235" s="273"/>
      <c r="J235" s="274">
        <v>49150.85</v>
      </c>
      <c r="K235" s="273"/>
      <c r="L235" s="274">
        <v>25552.15</v>
      </c>
      <c r="M235" s="273"/>
      <c r="N235" s="276">
        <v>430575.59</v>
      </c>
      <c r="AF235" s="246"/>
      <c r="AG235" s="255"/>
      <c r="AH235" s="255"/>
      <c r="AM235" s="258" t="s">
        <v>573</v>
      </c>
      <c r="AN235" s="255"/>
    </row>
    <row r="236" spans="1:40" s="210" customFormat="1" ht="14.4" x14ac:dyDescent="0.3">
      <c r="A236" s="268"/>
      <c r="B236" s="260"/>
      <c r="C236" s="435" t="s">
        <v>574</v>
      </c>
      <c r="D236" s="435"/>
      <c r="E236" s="435"/>
      <c r="F236" s="261"/>
      <c r="G236" s="262"/>
      <c r="H236" s="262"/>
      <c r="I236" s="262"/>
      <c r="J236" s="269"/>
      <c r="K236" s="262"/>
      <c r="L236" s="266">
        <v>5716.64</v>
      </c>
      <c r="M236" s="262"/>
      <c r="N236" s="265">
        <v>238955.55</v>
      </c>
      <c r="AF236" s="246"/>
      <c r="AG236" s="255"/>
      <c r="AH236" s="255"/>
      <c r="AL236" s="258" t="s">
        <v>574</v>
      </c>
      <c r="AN236" s="255"/>
    </row>
    <row r="237" spans="1:40" s="210" customFormat="1" ht="21.6" x14ac:dyDescent="0.3">
      <c r="A237" s="268"/>
      <c r="B237" s="260" t="s">
        <v>594</v>
      </c>
      <c r="C237" s="435" t="s">
        <v>595</v>
      </c>
      <c r="D237" s="435"/>
      <c r="E237" s="435"/>
      <c r="F237" s="261" t="s">
        <v>577</v>
      </c>
      <c r="G237" s="277">
        <v>117</v>
      </c>
      <c r="H237" s="262"/>
      <c r="I237" s="277">
        <v>117</v>
      </c>
      <c r="J237" s="269"/>
      <c r="K237" s="262"/>
      <c r="L237" s="266">
        <v>6688.47</v>
      </c>
      <c r="M237" s="262"/>
      <c r="N237" s="265">
        <v>279577.99</v>
      </c>
      <c r="AF237" s="246"/>
      <c r="AG237" s="255"/>
      <c r="AH237" s="255"/>
      <c r="AL237" s="258" t="s">
        <v>595</v>
      </c>
      <c r="AN237" s="255"/>
    </row>
    <row r="238" spans="1:40" s="210" customFormat="1" ht="40.799999999999997" x14ac:dyDescent="0.3">
      <c r="A238" s="268"/>
      <c r="B238" s="260" t="s">
        <v>596</v>
      </c>
      <c r="C238" s="435" t="s">
        <v>597</v>
      </c>
      <c r="D238" s="435"/>
      <c r="E238" s="435"/>
      <c r="F238" s="261" t="s">
        <v>577</v>
      </c>
      <c r="G238" s="277">
        <v>74</v>
      </c>
      <c r="H238" s="267">
        <v>0.85</v>
      </c>
      <c r="I238" s="264">
        <v>62.9</v>
      </c>
      <c r="J238" s="269"/>
      <c r="K238" s="262"/>
      <c r="L238" s="266">
        <v>3595.77</v>
      </c>
      <c r="M238" s="262"/>
      <c r="N238" s="265">
        <v>150303.04000000001</v>
      </c>
      <c r="AF238" s="246"/>
      <c r="AG238" s="255"/>
      <c r="AH238" s="255"/>
      <c r="AL238" s="258" t="s">
        <v>597</v>
      </c>
      <c r="AN238" s="255"/>
    </row>
    <row r="239" spans="1:40" s="210" customFormat="1" ht="14.4" x14ac:dyDescent="0.3">
      <c r="A239" s="278"/>
      <c r="B239" s="370"/>
      <c r="C239" s="441" t="s">
        <v>580</v>
      </c>
      <c r="D239" s="441"/>
      <c r="E239" s="441"/>
      <c r="F239" s="249"/>
      <c r="G239" s="250"/>
      <c r="H239" s="250"/>
      <c r="I239" s="250"/>
      <c r="J239" s="253"/>
      <c r="K239" s="250"/>
      <c r="L239" s="279">
        <v>35836.39</v>
      </c>
      <c r="M239" s="273"/>
      <c r="N239" s="280">
        <v>860456.62</v>
      </c>
      <c r="AF239" s="246"/>
      <c r="AG239" s="255"/>
      <c r="AH239" s="255"/>
      <c r="AN239" s="255" t="s">
        <v>580</v>
      </c>
    </row>
    <row r="240" spans="1:40" s="210" customFormat="1" ht="62.4" x14ac:dyDescent="0.3">
      <c r="A240" s="247" t="s">
        <v>838</v>
      </c>
      <c r="B240" s="371" t="s">
        <v>598</v>
      </c>
      <c r="C240" s="441" t="s">
        <v>599</v>
      </c>
      <c r="D240" s="441"/>
      <c r="E240" s="441"/>
      <c r="F240" s="249" t="s">
        <v>182</v>
      </c>
      <c r="G240" s="250">
        <v>480</v>
      </c>
      <c r="H240" s="251">
        <v>1</v>
      </c>
      <c r="I240" s="251">
        <v>480</v>
      </c>
      <c r="J240" s="281">
        <v>373.66</v>
      </c>
      <c r="K240" s="250"/>
      <c r="L240" s="279">
        <v>179356.79999999999</v>
      </c>
      <c r="M240" s="252">
        <v>8.92</v>
      </c>
      <c r="N240" s="280">
        <v>1599862.66</v>
      </c>
      <c r="AF240" s="246"/>
      <c r="AG240" s="255"/>
      <c r="AH240" s="255" t="s">
        <v>599</v>
      </c>
      <c r="AN240" s="255"/>
    </row>
    <row r="241" spans="1:41" s="210" customFormat="1" ht="14.4" x14ac:dyDescent="0.3">
      <c r="A241" s="278"/>
      <c r="B241" s="370"/>
      <c r="C241" s="435" t="s">
        <v>583</v>
      </c>
      <c r="D241" s="435"/>
      <c r="E241" s="435"/>
      <c r="F241" s="435"/>
      <c r="G241" s="435"/>
      <c r="H241" s="435"/>
      <c r="I241" s="435"/>
      <c r="J241" s="435"/>
      <c r="K241" s="435"/>
      <c r="L241" s="435"/>
      <c r="M241" s="435"/>
      <c r="N241" s="442"/>
      <c r="AF241" s="246"/>
      <c r="AG241" s="255"/>
      <c r="AH241" s="255"/>
      <c r="AN241" s="255"/>
      <c r="AO241" s="258" t="s">
        <v>583</v>
      </c>
    </row>
    <row r="242" spans="1:41" s="210" customFormat="1" ht="14.4" x14ac:dyDescent="0.3">
      <c r="A242" s="278"/>
      <c r="B242" s="370"/>
      <c r="C242" s="441" t="s">
        <v>580</v>
      </c>
      <c r="D242" s="441"/>
      <c r="E242" s="441"/>
      <c r="F242" s="249"/>
      <c r="G242" s="250"/>
      <c r="H242" s="250"/>
      <c r="I242" s="250"/>
      <c r="J242" s="253"/>
      <c r="K242" s="250"/>
      <c r="L242" s="279">
        <v>179356.79999999999</v>
      </c>
      <c r="M242" s="273"/>
      <c r="N242" s="280">
        <v>1599862.66</v>
      </c>
      <c r="AF242" s="246"/>
      <c r="AG242" s="255"/>
      <c r="AH242" s="255"/>
      <c r="AN242" s="255" t="s">
        <v>580</v>
      </c>
    </row>
    <row r="243" spans="1:41" s="210" customFormat="1" ht="42" x14ac:dyDescent="0.3">
      <c r="A243" s="247" t="s">
        <v>309</v>
      </c>
      <c r="B243" s="371" t="s">
        <v>600</v>
      </c>
      <c r="C243" s="441" t="s">
        <v>601</v>
      </c>
      <c r="D243" s="441"/>
      <c r="E243" s="441"/>
      <c r="F243" s="249" t="s">
        <v>178</v>
      </c>
      <c r="G243" s="250">
        <v>32</v>
      </c>
      <c r="H243" s="251">
        <v>1</v>
      </c>
      <c r="I243" s="251">
        <v>32</v>
      </c>
      <c r="J243" s="281">
        <v>205</v>
      </c>
      <c r="K243" s="250"/>
      <c r="L243" s="279">
        <v>6560</v>
      </c>
      <c r="M243" s="252">
        <v>8.92</v>
      </c>
      <c r="N243" s="280">
        <v>58515.199999999997</v>
      </c>
      <c r="AF243" s="246"/>
      <c r="AG243" s="255"/>
      <c r="AH243" s="255" t="s">
        <v>601</v>
      </c>
      <c r="AN243" s="255"/>
    </row>
    <row r="244" spans="1:41" s="210" customFormat="1" ht="14.4" x14ac:dyDescent="0.3">
      <c r="A244" s="278"/>
      <c r="B244" s="370"/>
      <c r="C244" s="435" t="s">
        <v>583</v>
      </c>
      <c r="D244" s="435"/>
      <c r="E244" s="435"/>
      <c r="F244" s="435"/>
      <c r="G244" s="435"/>
      <c r="H244" s="435"/>
      <c r="I244" s="435"/>
      <c r="J244" s="435"/>
      <c r="K244" s="435"/>
      <c r="L244" s="435"/>
      <c r="M244" s="435"/>
      <c r="N244" s="442"/>
      <c r="AF244" s="246"/>
      <c r="AG244" s="255"/>
      <c r="AH244" s="255"/>
      <c r="AN244" s="255"/>
      <c r="AO244" s="258" t="s">
        <v>583</v>
      </c>
    </row>
    <row r="245" spans="1:41" s="210" customFormat="1" ht="14.4" x14ac:dyDescent="0.3">
      <c r="A245" s="278"/>
      <c r="B245" s="370"/>
      <c r="C245" s="441" t="s">
        <v>580</v>
      </c>
      <c r="D245" s="441"/>
      <c r="E245" s="441"/>
      <c r="F245" s="249"/>
      <c r="G245" s="250"/>
      <c r="H245" s="250"/>
      <c r="I245" s="250"/>
      <c r="J245" s="253"/>
      <c r="K245" s="250"/>
      <c r="L245" s="279">
        <v>6560</v>
      </c>
      <c r="M245" s="273"/>
      <c r="N245" s="280">
        <v>58515.199999999997</v>
      </c>
      <c r="AF245" s="246"/>
      <c r="AG245" s="255"/>
      <c r="AH245" s="255"/>
      <c r="AN245" s="255" t="s">
        <v>580</v>
      </c>
    </row>
    <row r="246" spans="1:41" s="210" customFormat="1" ht="31.8" x14ac:dyDescent="0.3">
      <c r="A246" s="247" t="s">
        <v>839</v>
      </c>
      <c r="B246" s="371" t="s">
        <v>611</v>
      </c>
      <c r="C246" s="441" t="s">
        <v>612</v>
      </c>
      <c r="D246" s="441"/>
      <c r="E246" s="441"/>
      <c r="F246" s="249" t="s">
        <v>181</v>
      </c>
      <c r="G246" s="250">
        <v>1.512</v>
      </c>
      <c r="H246" s="251">
        <v>1</v>
      </c>
      <c r="I246" s="287">
        <v>1.512</v>
      </c>
      <c r="J246" s="253"/>
      <c r="K246" s="250"/>
      <c r="L246" s="253"/>
      <c r="M246" s="250"/>
      <c r="N246" s="254"/>
      <c r="AF246" s="246"/>
      <c r="AG246" s="255"/>
      <c r="AH246" s="255" t="s">
        <v>612</v>
      </c>
      <c r="AN246" s="255"/>
    </row>
    <row r="247" spans="1:41" s="210" customFormat="1" ht="52.2" x14ac:dyDescent="0.3">
      <c r="A247" s="283"/>
      <c r="B247" s="260" t="s">
        <v>704</v>
      </c>
      <c r="C247" s="443" t="s">
        <v>705</v>
      </c>
      <c r="D247" s="443"/>
      <c r="E247" s="443"/>
      <c r="F247" s="443"/>
      <c r="G247" s="443"/>
      <c r="H247" s="443"/>
      <c r="I247" s="443"/>
      <c r="J247" s="443"/>
      <c r="K247" s="443"/>
      <c r="L247" s="443"/>
      <c r="M247" s="443"/>
      <c r="N247" s="444"/>
      <c r="AF247" s="246"/>
      <c r="AG247" s="255"/>
      <c r="AH247" s="255"/>
      <c r="AJ247" s="258" t="s">
        <v>705</v>
      </c>
      <c r="AN247" s="255"/>
    </row>
    <row r="248" spans="1:41" s="210" customFormat="1" ht="14.4" x14ac:dyDescent="0.3">
      <c r="A248" s="259"/>
      <c r="B248" s="260" t="s">
        <v>301</v>
      </c>
      <c r="C248" s="435" t="s">
        <v>566</v>
      </c>
      <c r="D248" s="435"/>
      <c r="E248" s="435"/>
      <c r="F248" s="261"/>
      <c r="G248" s="262"/>
      <c r="H248" s="262"/>
      <c r="I248" s="262"/>
      <c r="J248" s="263">
        <v>136.63999999999999</v>
      </c>
      <c r="K248" s="267">
        <v>1.1499999999999999</v>
      </c>
      <c r="L248" s="263">
        <v>237.59</v>
      </c>
      <c r="M248" s="264">
        <v>41.8</v>
      </c>
      <c r="N248" s="265">
        <v>9931.26</v>
      </c>
      <c r="AF248" s="246"/>
      <c r="AG248" s="255"/>
      <c r="AH248" s="255"/>
      <c r="AK248" s="258" t="s">
        <v>566</v>
      </c>
      <c r="AN248" s="255"/>
    </row>
    <row r="249" spans="1:41" s="210" customFormat="1" ht="14.4" x14ac:dyDescent="0.3">
      <c r="A249" s="259"/>
      <c r="B249" s="260" t="s">
        <v>304</v>
      </c>
      <c r="C249" s="435" t="s">
        <v>567</v>
      </c>
      <c r="D249" s="435"/>
      <c r="E249" s="435"/>
      <c r="F249" s="261"/>
      <c r="G249" s="262"/>
      <c r="H249" s="262"/>
      <c r="I249" s="262"/>
      <c r="J249" s="263">
        <v>40.130000000000003</v>
      </c>
      <c r="K249" s="267">
        <v>1.1499999999999999</v>
      </c>
      <c r="L249" s="263">
        <v>69.78</v>
      </c>
      <c r="M249" s="267">
        <v>13.59</v>
      </c>
      <c r="N249" s="284">
        <v>948.31</v>
      </c>
      <c r="AF249" s="246"/>
      <c r="AG249" s="255"/>
      <c r="AH249" s="255"/>
      <c r="AK249" s="258" t="s">
        <v>567</v>
      </c>
      <c r="AN249" s="255"/>
    </row>
    <row r="250" spans="1:41" s="210" customFormat="1" ht="14.4" x14ac:dyDescent="0.3">
      <c r="A250" s="259"/>
      <c r="B250" s="260" t="s">
        <v>568</v>
      </c>
      <c r="C250" s="435" t="s">
        <v>569</v>
      </c>
      <c r="D250" s="435"/>
      <c r="E250" s="435"/>
      <c r="F250" s="261"/>
      <c r="G250" s="262"/>
      <c r="H250" s="262"/>
      <c r="I250" s="262"/>
      <c r="J250" s="263">
        <v>6.84</v>
      </c>
      <c r="K250" s="267">
        <v>1.1499999999999999</v>
      </c>
      <c r="L250" s="263">
        <v>11.89</v>
      </c>
      <c r="M250" s="264">
        <v>41.8</v>
      </c>
      <c r="N250" s="284">
        <v>497</v>
      </c>
      <c r="AF250" s="246"/>
      <c r="AG250" s="255"/>
      <c r="AH250" s="255"/>
      <c r="AK250" s="258" t="s">
        <v>569</v>
      </c>
      <c r="AN250" s="255"/>
    </row>
    <row r="251" spans="1:41" s="210" customFormat="1" ht="14.4" x14ac:dyDescent="0.3">
      <c r="A251" s="259"/>
      <c r="B251" s="260" t="s">
        <v>592</v>
      </c>
      <c r="C251" s="435" t="s">
        <v>593</v>
      </c>
      <c r="D251" s="435"/>
      <c r="E251" s="435"/>
      <c r="F251" s="261"/>
      <c r="G251" s="262"/>
      <c r="H251" s="262"/>
      <c r="I251" s="262"/>
      <c r="J251" s="263">
        <v>298.82</v>
      </c>
      <c r="K251" s="262"/>
      <c r="L251" s="263">
        <v>451.82</v>
      </c>
      <c r="M251" s="267">
        <v>8.92</v>
      </c>
      <c r="N251" s="265">
        <v>4030.23</v>
      </c>
      <c r="AF251" s="246"/>
      <c r="AG251" s="255"/>
      <c r="AH251" s="255"/>
      <c r="AK251" s="258" t="s">
        <v>593</v>
      </c>
      <c r="AN251" s="255"/>
    </row>
    <row r="252" spans="1:41" s="210" customFormat="1" ht="14.4" x14ac:dyDescent="0.3">
      <c r="A252" s="268"/>
      <c r="B252" s="260"/>
      <c r="C252" s="435" t="s">
        <v>570</v>
      </c>
      <c r="D252" s="435"/>
      <c r="E252" s="435"/>
      <c r="F252" s="261" t="s">
        <v>571</v>
      </c>
      <c r="G252" s="277">
        <v>14</v>
      </c>
      <c r="H252" s="267">
        <v>1.1499999999999999</v>
      </c>
      <c r="I252" s="271">
        <v>24.3432</v>
      </c>
      <c r="J252" s="269"/>
      <c r="K252" s="262"/>
      <c r="L252" s="269"/>
      <c r="M252" s="262"/>
      <c r="N252" s="270"/>
      <c r="AF252" s="246"/>
      <c r="AG252" s="255"/>
      <c r="AH252" s="255"/>
      <c r="AL252" s="258" t="s">
        <v>570</v>
      </c>
      <c r="AN252" s="255"/>
    </row>
    <row r="253" spans="1:41" s="210" customFormat="1" ht="14.4" x14ac:dyDescent="0.3">
      <c r="A253" s="268"/>
      <c r="B253" s="260"/>
      <c r="C253" s="435" t="s">
        <v>572</v>
      </c>
      <c r="D253" s="435"/>
      <c r="E253" s="435"/>
      <c r="F253" s="261" t="s">
        <v>571</v>
      </c>
      <c r="G253" s="267">
        <v>0.59</v>
      </c>
      <c r="H253" s="267">
        <v>1.1499999999999999</v>
      </c>
      <c r="I253" s="285">
        <v>1.025892</v>
      </c>
      <c r="J253" s="269"/>
      <c r="K253" s="262"/>
      <c r="L253" s="269"/>
      <c r="M253" s="262"/>
      <c r="N253" s="270"/>
      <c r="AF253" s="246"/>
      <c r="AG253" s="255"/>
      <c r="AH253" s="255"/>
      <c r="AL253" s="258" t="s">
        <v>572</v>
      </c>
      <c r="AN253" s="255"/>
    </row>
    <row r="254" spans="1:41" s="210" customFormat="1" ht="14.4" x14ac:dyDescent="0.3">
      <c r="A254" s="259"/>
      <c r="B254" s="260"/>
      <c r="C254" s="436" t="s">
        <v>573</v>
      </c>
      <c r="D254" s="436"/>
      <c r="E254" s="436"/>
      <c r="F254" s="272"/>
      <c r="G254" s="273"/>
      <c r="H254" s="273"/>
      <c r="I254" s="273"/>
      <c r="J254" s="275">
        <v>475.59</v>
      </c>
      <c r="K254" s="273"/>
      <c r="L254" s="275">
        <v>759.19</v>
      </c>
      <c r="M254" s="273"/>
      <c r="N254" s="276">
        <v>14909.8</v>
      </c>
      <c r="AF254" s="246"/>
      <c r="AG254" s="255"/>
      <c r="AH254" s="255"/>
      <c r="AM254" s="258" t="s">
        <v>573</v>
      </c>
      <c r="AN254" s="255"/>
    </row>
    <row r="255" spans="1:41" s="210" customFormat="1" ht="14.4" x14ac:dyDescent="0.3">
      <c r="A255" s="268"/>
      <c r="B255" s="260"/>
      <c r="C255" s="435" t="s">
        <v>574</v>
      </c>
      <c r="D255" s="435"/>
      <c r="E255" s="435"/>
      <c r="F255" s="261"/>
      <c r="G255" s="262"/>
      <c r="H255" s="262"/>
      <c r="I255" s="262"/>
      <c r="J255" s="269"/>
      <c r="K255" s="262"/>
      <c r="L255" s="263">
        <v>249.48</v>
      </c>
      <c r="M255" s="262"/>
      <c r="N255" s="265">
        <v>10428.26</v>
      </c>
      <c r="AF255" s="246"/>
      <c r="AG255" s="255"/>
      <c r="AH255" s="255"/>
      <c r="AL255" s="258" t="s">
        <v>574</v>
      </c>
      <c r="AN255" s="255"/>
    </row>
    <row r="256" spans="1:41" s="210" customFormat="1" ht="14.4" x14ac:dyDescent="0.3">
      <c r="A256" s="268"/>
      <c r="B256" s="260" t="s">
        <v>613</v>
      </c>
      <c r="C256" s="435" t="s">
        <v>614</v>
      </c>
      <c r="D256" s="435"/>
      <c r="E256" s="435"/>
      <c r="F256" s="261" t="s">
        <v>577</v>
      </c>
      <c r="G256" s="277">
        <v>97</v>
      </c>
      <c r="H256" s="262"/>
      <c r="I256" s="277">
        <v>97</v>
      </c>
      <c r="J256" s="269"/>
      <c r="K256" s="262"/>
      <c r="L256" s="263">
        <v>242</v>
      </c>
      <c r="M256" s="262"/>
      <c r="N256" s="265">
        <v>10115.41</v>
      </c>
      <c r="AF256" s="246"/>
      <c r="AG256" s="255"/>
      <c r="AH256" s="255"/>
      <c r="AL256" s="258" t="s">
        <v>614</v>
      </c>
      <c r="AN256" s="255"/>
    </row>
    <row r="257" spans="1:42" s="210" customFormat="1" ht="20.399999999999999" x14ac:dyDescent="0.3">
      <c r="A257" s="268"/>
      <c r="B257" s="260" t="s">
        <v>615</v>
      </c>
      <c r="C257" s="435" t="s">
        <v>616</v>
      </c>
      <c r="D257" s="435"/>
      <c r="E257" s="435"/>
      <c r="F257" s="261" t="s">
        <v>577</v>
      </c>
      <c r="G257" s="277">
        <v>55</v>
      </c>
      <c r="H257" s="267">
        <v>0.85</v>
      </c>
      <c r="I257" s="267">
        <v>46.75</v>
      </c>
      <c r="J257" s="269"/>
      <c r="K257" s="262"/>
      <c r="L257" s="263">
        <v>116.63</v>
      </c>
      <c r="M257" s="262"/>
      <c r="N257" s="265">
        <v>4875.21</v>
      </c>
      <c r="AF257" s="246"/>
      <c r="AG257" s="255"/>
      <c r="AH257" s="255"/>
      <c r="AL257" s="258" t="s">
        <v>616</v>
      </c>
      <c r="AN257" s="255"/>
    </row>
    <row r="258" spans="1:42" s="210" customFormat="1" ht="14.4" x14ac:dyDescent="0.3">
      <c r="A258" s="278"/>
      <c r="B258" s="370"/>
      <c r="C258" s="441" t="s">
        <v>580</v>
      </c>
      <c r="D258" s="441"/>
      <c r="E258" s="441"/>
      <c r="F258" s="249"/>
      <c r="G258" s="250"/>
      <c r="H258" s="250"/>
      <c r="I258" s="250"/>
      <c r="J258" s="253"/>
      <c r="K258" s="250"/>
      <c r="L258" s="279">
        <v>1117.82</v>
      </c>
      <c r="M258" s="273"/>
      <c r="N258" s="280">
        <v>29900.42</v>
      </c>
      <c r="AF258" s="246"/>
      <c r="AG258" s="255"/>
      <c r="AH258" s="255"/>
      <c r="AN258" s="255" t="s">
        <v>580</v>
      </c>
    </row>
    <row r="259" spans="1:42" s="210" customFormat="1" ht="14.4" x14ac:dyDescent="0.3">
      <c r="A259" s="247" t="s">
        <v>840</v>
      </c>
      <c r="B259" s="371" t="s">
        <v>581</v>
      </c>
      <c r="C259" s="441" t="s">
        <v>475</v>
      </c>
      <c r="D259" s="441"/>
      <c r="E259" s="441"/>
      <c r="F259" s="249" t="s">
        <v>178</v>
      </c>
      <c r="G259" s="250">
        <v>14</v>
      </c>
      <c r="H259" s="251">
        <v>1</v>
      </c>
      <c r="I259" s="251">
        <v>14</v>
      </c>
      <c r="J259" s="281">
        <v>575.27</v>
      </c>
      <c r="K259" s="282">
        <v>1.0506</v>
      </c>
      <c r="L259" s="279">
        <v>8461.2999999999993</v>
      </c>
      <c r="M259" s="252">
        <v>8.92</v>
      </c>
      <c r="N259" s="280">
        <v>75474.8</v>
      </c>
      <c r="AF259" s="246"/>
      <c r="AG259" s="255"/>
      <c r="AH259" s="255" t="s">
        <v>475</v>
      </c>
      <c r="AN259" s="255"/>
    </row>
    <row r="260" spans="1:42" s="210" customFormat="1" ht="14.4" x14ac:dyDescent="0.3">
      <c r="A260" s="278"/>
      <c r="B260" s="370"/>
      <c r="C260" s="435" t="s">
        <v>583</v>
      </c>
      <c r="D260" s="435"/>
      <c r="E260" s="435"/>
      <c r="F260" s="435"/>
      <c r="G260" s="435"/>
      <c r="H260" s="435"/>
      <c r="I260" s="435"/>
      <c r="J260" s="435"/>
      <c r="K260" s="435"/>
      <c r="L260" s="435"/>
      <c r="M260" s="435"/>
      <c r="N260" s="442"/>
      <c r="AF260" s="246"/>
      <c r="AG260" s="255"/>
      <c r="AH260" s="255"/>
      <c r="AN260" s="255"/>
      <c r="AO260" s="258" t="s">
        <v>583</v>
      </c>
    </row>
    <row r="261" spans="1:42" s="210" customFormat="1" ht="14.4" x14ac:dyDescent="0.3">
      <c r="A261" s="256"/>
      <c r="B261" s="369"/>
      <c r="C261" s="435" t="s">
        <v>841</v>
      </c>
      <c r="D261" s="435"/>
      <c r="E261" s="435"/>
      <c r="F261" s="435"/>
      <c r="G261" s="435"/>
      <c r="H261" s="435"/>
      <c r="I261" s="435"/>
      <c r="J261" s="435"/>
      <c r="K261" s="435"/>
      <c r="L261" s="435"/>
      <c r="M261" s="435"/>
      <c r="N261" s="442"/>
      <c r="AF261" s="246"/>
      <c r="AG261" s="255"/>
      <c r="AH261" s="255"/>
      <c r="AN261" s="255"/>
      <c r="AP261" s="258" t="s">
        <v>841</v>
      </c>
    </row>
    <row r="262" spans="1:42" s="210" customFormat="1" ht="20.399999999999999" x14ac:dyDescent="0.3">
      <c r="A262" s="283"/>
      <c r="B262" s="260" t="s">
        <v>585</v>
      </c>
      <c r="C262" s="443" t="s">
        <v>586</v>
      </c>
      <c r="D262" s="443"/>
      <c r="E262" s="443"/>
      <c r="F262" s="443"/>
      <c r="G262" s="443"/>
      <c r="H262" s="443"/>
      <c r="I262" s="443"/>
      <c r="J262" s="443"/>
      <c r="K262" s="443"/>
      <c r="L262" s="443"/>
      <c r="M262" s="443"/>
      <c r="N262" s="444"/>
      <c r="AF262" s="246"/>
      <c r="AG262" s="255"/>
      <c r="AH262" s="255"/>
      <c r="AJ262" s="258" t="s">
        <v>586</v>
      </c>
      <c r="AN262" s="255"/>
    </row>
    <row r="263" spans="1:42" s="210" customFormat="1" ht="14.4" x14ac:dyDescent="0.3">
      <c r="A263" s="283"/>
      <c r="B263" s="260"/>
      <c r="C263" s="443" t="s">
        <v>587</v>
      </c>
      <c r="D263" s="443"/>
      <c r="E263" s="443"/>
      <c r="F263" s="443"/>
      <c r="G263" s="443"/>
      <c r="H263" s="443"/>
      <c r="I263" s="443"/>
      <c r="J263" s="443"/>
      <c r="K263" s="443"/>
      <c r="L263" s="443"/>
      <c r="M263" s="443"/>
      <c r="N263" s="444"/>
      <c r="AF263" s="246"/>
      <c r="AG263" s="255"/>
      <c r="AH263" s="255"/>
      <c r="AJ263" s="258" t="s">
        <v>587</v>
      </c>
      <c r="AN263" s="255"/>
    </row>
    <row r="264" spans="1:42" s="210" customFormat="1" ht="14.4" x14ac:dyDescent="0.3">
      <c r="A264" s="278"/>
      <c r="B264" s="370"/>
      <c r="C264" s="441" t="s">
        <v>580</v>
      </c>
      <c r="D264" s="441"/>
      <c r="E264" s="441"/>
      <c r="F264" s="249"/>
      <c r="G264" s="250"/>
      <c r="H264" s="250"/>
      <c r="I264" s="250"/>
      <c r="J264" s="253"/>
      <c r="K264" s="250"/>
      <c r="L264" s="279">
        <v>8461.2999999999993</v>
      </c>
      <c r="M264" s="273"/>
      <c r="N264" s="280">
        <v>75474.8</v>
      </c>
      <c r="AF264" s="246"/>
      <c r="AG264" s="255"/>
      <c r="AH264" s="255"/>
      <c r="AN264" s="255" t="s">
        <v>580</v>
      </c>
    </row>
    <row r="265" spans="1:42" s="210" customFormat="1" ht="31.8" x14ac:dyDescent="0.3">
      <c r="A265" s="247" t="s">
        <v>842</v>
      </c>
      <c r="B265" s="371" t="s">
        <v>620</v>
      </c>
      <c r="C265" s="441" t="s">
        <v>621</v>
      </c>
      <c r="D265" s="441"/>
      <c r="E265" s="441"/>
      <c r="F265" s="249" t="s">
        <v>622</v>
      </c>
      <c r="G265" s="250">
        <v>6</v>
      </c>
      <c r="H265" s="251">
        <v>1</v>
      </c>
      <c r="I265" s="251">
        <v>6</v>
      </c>
      <c r="J265" s="253"/>
      <c r="K265" s="250"/>
      <c r="L265" s="253"/>
      <c r="M265" s="250"/>
      <c r="N265" s="254"/>
      <c r="AF265" s="246"/>
      <c r="AG265" s="255"/>
      <c r="AH265" s="255" t="s">
        <v>621</v>
      </c>
      <c r="AN265" s="255"/>
    </row>
    <row r="266" spans="1:42" s="210" customFormat="1" ht="52.2" x14ac:dyDescent="0.3">
      <c r="A266" s="283"/>
      <c r="B266" s="260" t="s">
        <v>704</v>
      </c>
      <c r="C266" s="443" t="s">
        <v>705</v>
      </c>
      <c r="D266" s="443"/>
      <c r="E266" s="443"/>
      <c r="F266" s="443"/>
      <c r="G266" s="443"/>
      <c r="H266" s="443"/>
      <c r="I266" s="443"/>
      <c r="J266" s="443"/>
      <c r="K266" s="443"/>
      <c r="L266" s="443"/>
      <c r="M266" s="443"/>
      <c r="N266" s="444"/>
      <c r="AF266" s="246"/>
      <c r="AG266" s="255"/>
      <c r="AH266" s="255"/>
      <c r="AJ266" s="258" t="s">
        <v>705</v>
      </c>
      <c r="AN266" s="255"/>
    </row>
    <row r="267" spans="1:42" s="210" customFormat="1" ht="14.4" x14ac:dyDescent="0.3">
      <c r="A267" s="259"/>
      <c r="B267" s="260" t="s">
        <v>301</v>
      </c>
      <c r="C267" s="435" t="s">
        <v>566</v>
      </c>
      <c r="D267" s="435"/>
      <c r="E267" s="435"/>
      <c r="F267" s="261"/>
      <c r="G267" s="262"/>
      <c r="H267" s="262"/>
      <c r="I267" s="262"/>
      <c r="J267" s="263">
        <v>17.16</v>
      </c>
      <c r="K267" s="267">
        <v>1.1499999999999999</v>
      </c>
      <c r="L267" s="263">
        <v>118.4</v>
      </c>
      <c r="M267" s="264">
        <v>41.8</v>
      </c>
      <c r="N267" s="265">
        <v>4949.12</v>
      </c>
      <c r="AF267" s="246"/>
      <c r="AG267" s="255"/>
      <c r="AH267" s="255"/>
      <c r="AK267" s="258" t="s">
        <v>566</v>
      </c>
      <c r="AN267" s="255"/>
    </row>
    <row r="268" spans="1:42" s="210" customFormat="1" ht="14.4" x14ac:dyDescent="0.3">
      <c r="A268" s="259"/>
      <c r="B268" s="260" t="s">
        <v>304</v>
      </c>
      <c r="C268" s="435" t="s">
        <v>567</v>
      </c>
      <c r="D268" s="435"/>
      <c r="E268" s="435"/>
      <c r="F268" s="261"/>
      <c r="G268" s="262"/>
      <c r="H268" s="262"/>
      <c r="I268" s="262"/>
      <c r="J268" s="263">
        <v>58.45</v>
      </c>
      <c r="K268" s="267">
        <v>1.1499999999999999</v>
      </c>
      <c r="L268" s="263">
        <v>403.31</v>
      </c>
      <c r="M268" s="267">
        <v>13.59</v>
      </c>
      <c r="N268" s="265">
        <v>5480.98</v>
      </c>
      <c r="AF268" s="246"/>
      <c r="AG268" s="255"/>
      <c r="AH268" s="255"/>
      <c r="AK268" s="258" t="s">
        <v>567</v>
      </c>
      <c r="AN268" s="255"/>
    </row>
    <row r="269" spans="1:42" s="210" customFormat="1" ht="14.4" x14ac:dyDescent="0.3">
      <c r="A269" s="259"/>
      <c r="B269" s="260" t="s">
        <v>568</v>
      </c>
      <c r="C269" s="435" t="s">
        <v>569</v>
      </c>
      <c r="D269" s="435"/>
      <c r="E269" s="435"/>
      <c r="F269" s="261"/>
      <c r="G269" s="262"/>
      <c r="H269" s="262"/>
      <c r="I269" s="262"/>
      <c r="J269" s="263">
        <v>5.12</v>
      </c>
      <c r="K269" s="267">
        <v>1.1499999999999999</v>
      </c>
      <c r="L269" s="263">
        <v>35.33</v>
      </c>
      <c r="M269" s="264">
        <v>41.8</v>
      </c>
      <c r="N269" s="265">
        <v>1476.79</v>
      </c>
      <c r="AF269" s="246"/>
      <c r="AG269" s="255"/>
      <c r="AH269" s="255"/>
      <c r="AK269" s="258" t="s">
        <v>569</v>
      </c>
      <c r="AN269" s="255"/>
    </row>
    <row r="270" spans="1:42" s="210" customFormat="1" ht="14.4" x14ac:dyDescent="0.3">
      <c r="A270" s="259"/>
      <c r="B270" s="260" t="s">
        <v>592</v>
      </c>
      <c r="C270" s="435" t="s">
        <v>593</v>
      </c>
      <c r="D270" s="435"/>
      <c r="E270" s="435"/>
      <c r="F270" s="261"/>
      <c r="G270" s="262"/>
      <c r="H270" s="262"/>
      <c r="I270" s="262"/>
      <c r="J270" s="263">
        <v>2.74</v>
      </c>
      <c r="K270" s="262"/>
      <c r="L270" s="263">
        <v>16.440000000000001</v>
      </c>
      <c r="M270" s="267">
        <v>8.92</v>
      </c>
      <c r="N270" s="284">
        <v>146.63999999999999</v>
      </c>
      <c r="AF270" s="246"/>
      <c r="AG270" s="255"/>
      <c r="AH270" s="255"/>
      <c r="AK270" s="258" t="s">
        <v>593</v>
      </c>
      <c r="AN270" s="255"/>
    </row>
    <row r="271" spans="1:42" s="210" customFormat="1" ht="14.4" x14ac:dyDescent="0.3">
      <c r="A271" s="268"/>
      <c r="B271" s="260"/>
      <c r="C271" s="435" t="s">
        <v>570</v>
      </c>
      <c r="D271" s="435"/>
      <c r="E271" s="435"/>
      <c r="F271" s="261" t="s">
        <v>571</v>
      </c>
      <c r="G271" s="267">
        <v>1.73</v>
      </c>
      <c r="H271" s="267">
        <v>1.1499999999999999</v>
      </c>
      <c r="I271" s="288">
        <v>11.936999999999999</v>
      </c>
      <c r="J271" s="269"/>
      <c r="K271" s="262"/>
      <c r="L271" s="269"/>
      <c r="M271" s="262"/>
      <c r="N271" s="270"/>
      <c r="AF271" s="246"/>
      <c r="AG271" s="255"/>
      <c r="AH271" s="255"/>
      <c r="AL271" s="258" t="s">
        <v>570</v>
      </c>
      <c r="AN271" s="255"/>
    </row>
    <row r="272" spans="1:42" s="210" customFormat="1" ht="14.4" x14ac:dyDescent="0.3">
      <c r="A272" s="268"/>
      <c r="B272" s="260"/>
      <c r="C272" s="435" t="s">
        <v>572</v>
      </c>
      <c r="D272" s="435"/>
      <c r="E272" s="435"/>
      <c r="F272" s="261" t="s">
        <v>571</v>
      </c>
      <c r="G272" s="267">
        <v>0.36</v>
      </c>
      <c r="H272" s="267">
        <v>1.1499999999999999</v>
      </c>
      <c r="I272" s="288">
        <v>2.484</v>
      </c>
      <c r="J272" s="269"/>
      <c r="K272" s="262"/>
      <c r="L272" s="269"/>
      <c r="M272" s="262"/>
      <c r="N272" s="270"/>
      <c r="AF272" s="246"/>
      <c r="AG272" s="255"/>
      <c r="AH272" s="255"/>
      <c r="AL272" s="258" t="s">
        <v>572</v>
      </c>
      <c r="AN272" s="255"/>
    </row>
    <row r="273" spans="1:41" s="210" customFormat="1" ht="14.4" x14ac:dyDescent="0.3">
      <c r="A273" s="259"/>
      <c r="B273" s="260"/>
      <c r="C273" s="436" t="s">
        <v>573</v>
      </c>
      <c r="D273" s="436"/>
      <c r="E273" s="436"/>
      <c r="F273" s="272"/>
      <c r="G273" s="273"/>
      <c r="H273" s="273"/>
      <c r="I273" s="273"/>
      <c r="J273" s="275">
        <v>78.349999999999994</v>
      </c>
      <c r="K273" s="273"/>
      <c r="L273" s="275">
        <v>538.15</v>
      </c>
      <c r="M273" s="273"/>
      <c r="N273" s="276">
        <v>10576.74</v>
      </c>
      <c r="AF273" s="246"/>
      <c r="AG273" s="255"/>
      <c r="AH273" s="255"/>
      <c r="AM273" s="258" t="s">
        <v>573</v>
      </c>
      <c r="AN273" s="255"/>
    </row>
    <row r="274" spans="1:41" s="210" customFormat="1" ht="14.4" x14ac:dyDescent="0.3">
      <c r="A274" s="268"/>
      <c r="B274" s="260"/>
      <c r="C274" s="435" t="s">
        <v>574</v>
      </c>
      <c r="D274" s="435"/>
      <c r="E274" s="435"/>
      <c r="F274" s="261"/>
      <c r="G274" s="262"/>
      <c r="H274" s="262"/>
      <c r="I274" s="262"/>
      <c r="J274" s="269"/>
      <c r="K274" s="262"/>
      <c r="L274" s="263">
        <v>153.72999999999999</v>
      </c>
      <c r="M274" s="262"/>
      <c r="N274" s="265">
        <v>6425.91</v>
      </c>
      <c r="AF274" s="246"/>
      <c r="AG274" s="255"/>
      <c r="AH274" s="255"/>
      <c r="AL274" s="258" t="s">
        <v>574</v>
      </c>
      <c r="AN274" s="255"/>
    </row>
    <row r="275" spans="1:41" s="210" customFormat="1" ht="21.6" x14ac:dyDescent="0.3">
      <c r="A275" s="268"/>
      <c r="B275" s="260" t="s">
        <v>594</v>
      </c>
      <c r="C275" s="435" t="s">
        <v>595</v>
      </c>
      <c r="D275" s="435"/>
      <c r="E275" s="435"/>
      <c r="F275" s="261" t="s">
        <v>577</v>
      </c>
      <c r="G275" s="277">
        <v>117</v>
      </c>
      <c r="H275" s="262"/>
      <c r="I275" s="277">
        <v>117</v>
      </c>
      <c r="J275" s="269"/>
      <c r="K275" s="262"/>
      <c r="L275" s="263">
        <v>179.86</v>
      </c>
      <c r="M275" s="262"/>
      <c r="N275" s="265">
        <v>7518.31</v>
      </c>
      <c r="AF275" s="246"/>
      <c r="AG275" s="255"/>
      <c r="AH275" s="255"/>
      <c r="AL275" s="258" t="s">
        <v>595</v>
      </c>
      <c r="AN275" s="255"/>
    </row>
    <row r="276" spans="1:41" s="210" customFormat="1" ht="40.799999999999997" x14ac:dyDescent="0.3">
      <c r="A276" s="268"/>
      <c r="B276" s="260" t="s">
        <v>596</v>
      </c>
      <c r="C276" s="435" t="s">
        <v>597</v>
      </c>
      <c r="D276" s="435"/>
      <c r="E276" s="435"/>
      <c r="F276" s="261" t="s">
        <v>577</v>
      </c>
      <c r="G276" s="277">
        <v>74</v>
      </c>
      <c r="H276" s="267">
        <v>0.85</v>
      </c>
      <c r="I276" s="264">
        <v>62.9</v>
      </c>
      <c r="J276" s="269"/>
      <c r="K276" s="262"/>
      <c r="L276" s="263">
        <v>96.7</v>
      </c>
      <c r="M276" s="262"/>
      <c r="N276" s="265">
        <v>4041.9</v>
      </c>
      <c r="AF276" s="246"/>
      <c r="AG276" s="255"/>
      <c r="AH276" s="255"/>
      <c r="AL276" s="258" t="s">
        <v>597</v>
      </c>
      <c r="AN276" s="255"/>
    </row>
    <row r="277" spans="1:41" s="210" customFormat="1" ht="14.4" x14ac:dyDescent="0.3">
      <c r="A277" s="278"/>
      <c r="B277" s="370"/>
      <c r="C277" s="441" t="s">
        <v>580</v>
      </c>
      <c r="D277" s="441"/>
      <c r="E277" s="441"/>
      <c r="F277" s="249"/>
      <c r="G277" s="250"/>
      <c r="H277" s="250"/>
      <c r="I277" s="250"/>
      <c r="J277" s="253"/>
      <c r="K277" s="250"/>
      <c r="L277" s="281">
        <v>814.71</v>
      </c>
      <c r="M277" s="273"/>
      <c r="N277" s="280">
        <v>22136.95</v>
      </c>
      <c r="AF277" s="246"/>
      <c r="AG277" s="255"/>
      <c r="AH277" s="255"/>
      <c r="AN277" s="255" t="s">
        <v>580</v>
      </c>
    </row>
    <row r="278" spans="1:41" s="210" customFormat="1" ht="42" x14ac:dyDescent="0.3">
      <c r="A278" s="247" t="s">
        <v>843</v>
      </c>
      <c r="B278" s="371" t="s">
        <v>623</v>
      </c>
      <c r="C278" s="441" t="s">
        <v>624</v>
      </c>
      <c r="D278" s="441"/>
      <c r="E278" s="441"/>
      <c r="F278" s="249" t="s">
        <v>178</v>
      </c>
      <c r="G278" s="250">
        <v>6</v>
      </c>
      <c r="H278" s="251">
        <v>1</v>
      </c>
      <c r="I278" s="251">
        <v>6</v>
      </c>
      <c r="J278" s="281">
        <v>315.48</v>
      </c>
      <c r="K278" s="250"/>
      <c r="L278" s="279">
        <v>1892.88</v>
      </c>
      <c r="M278" s="252">
        <v>8.92</v>
      </c>
      <c r="N278" s="280">
        <v>16884.490000000002</v>
      </c>
      <c r="AF278" s="246"/>
      <c r="AG278" s="255"/>
      <c r="AH278" s="255" t="s">
        <v>624</v>
      </c>
      <c r="AN278" s="255"/>
    </row>
    <row r="279" spans="1:41" s="210" customFormat="1" ht="14.4" x14ac:dyDescent="0.3">
      <c r="A279" s="278"/>
      <c r="B279" s="370"/>
      <c r="C279" s="435" t="s">
        <v>583</v>
      </c>
      <c r="D279" s="435"/>
      <c r="E279" s="435"/>
      <c r="F279" s="435"/>
      <c r="G279" s="435"/>
      <c r="H279" s="435"/>
      <c r="I279" s="435"/>
      <c r="J279" s="435"/>
      <c r="K279" s="435"/>
      <c r="L279" s="435"/>
      <c r="M279" s="435"/>
      <c r="N279" s="442"/>
      <c r="AF279" s="246"/>
      <c r="AG279" s="255"/>
      <c r="AH279" s="255"/>
      <c r="AN279" s="255"/>
      <c r="AO279" s="258" t="s">
        <v>583</v>
      </c>
    </row>
    <row r="280" spans="1:41" s="210" customFormat="1" ht="14.4" x14ac:dyDescent="0.3">
      <c r="A280" s="278"/>
      <c r="B280" s="370"/>
      <c r="C280" s="441" t="s">
        <v>580</v>
      </c>
      <c r="D280" s="441"/>
      <c r="E280" s="441"/>
      <c r="F280" s="249"/>
      <c r="G280" s="250"/>
      <c r="H280" s="250"/>
      <c r="I280" s="250"/>
      <c r="J280" s="253"/>
      <c r="K280" s="250"/>
      <c r="L280" s="279">
        <v>1892.88</v>
      </c>
      <c r="M280" s="273"/>
      <c r="N280" s="280">
        <v>16884.490000000002</v>
      </c>
      <c r="AF280" s="246"/>
      <c r="AG280" s="255"/>
      <c r="AH280" s="255"/>
      <c r="AN280" s="255" t="s">
        <v>580</v>
      </c>
    </row>
    <row r="281" spans="1:41" s="210" customFormat="1" ht="31.8" x14ac:dyDescent="0.3">
      <c r="A281" s="247" t="s">
        <v>844</v>
      </c>
      <c r="B281" s="371" t="s">
        <v>620</v>
      </c>
      <c r="C281" s="441" t="s">
        <v>626</v>
      </c>
      <c r="D281" s="441"/>
      <c r="E281" s="441"/>
      <c r="F281" s="249" t="s">
        <v>622</v>
      </c>
      <c r="G281" s="250">
        <v>4</v>
      </c>
      <c r="H281" s="251">
        <v>1</v>
      </c>
      <c r="I281" s="251">
        <v>4</v>
      </c>
      <c r="J281" s="253"/>
      <c r="K281" s="250"/>
      <c r="L281" s="253"/>
      <c r="M281" s="250"/>
      <c r="N281" s="254"/>
      <c r="AF281" s="246"/>
      <c r="AG281" s="255"/>
      <c r="AH281" s="255" t="s">
        <v>626</v>
      </c>
      <c r="AN281" s="255"/>
    </row>
    <row r="282" spans="1:41" s="210" customFormat="1" ht="52.2" x14ac:dyDescent="0.3">
      <c r="A282" s="283"/>
      <c r="B282" s="260" t="s">
        <v>704</v>
      </c>
      <c r="C282" s="443" t="s">
        <v>705</v>
      </c>
      <c r="D282" s="443"/>
      <c r="E282" s="443"/>
      <c r="F282" s="443"/>
      <c r="G282" s="443"/>
      <c r="H282" s="443"/>
      <c r="I282" s="443"/>
      <c r="J282" s="443"/>
      <c r="K282" s="443"/>
      <c r="L282" s="443"/>
      <c r="M282" s="443"/>
      <c r="N282" s="444"/>
      <c r="AF282" s="246"/>
      <c r="AG282" s="255"/>
      <c r="AH282" s="255"/>
      <c r="AJ282" s="258" t="s">
        <v>705</v>
      </c>
      <c r="AN282" s="255"/>
    </row>
    <row r="283" spans="1:41" s="210" customFormat="1" ht="14.4" x14ac:dyDescent="0.3">
      <c r="A283" s="259"/>
      <c r="B283" s="260" t="s">
        <v>301</v>
      </c>
      <c r="C283" s="435" t="s">
        <v>566</v>
      </c>
      <c r="D283" s="435"/>
      <c r="E283" s="435"/>
      <c r="F283" s="261"/>
      <c r="G283" s="262"/>
      <c r="H283" s="262"/>
      <c r="I283" s="262"/>
      <c r="J283" s="263">
        <v>17.16</v>
      </c>
      <c r="K283" s="267">
        <v>1.1499999999999999</v>
      </c>
      <c r="L283" s="263">
        <v>78.94</v>
      </c>
      <c r="M283" s="264">
        <v>41.8</v>
      </c>
      <c r="N283" s="265">
        <v>3299.69</v>
      </c>
      <c r="AF283" s="246"/>
      <c r="AG283" s="255"/>
      <c r="AH283" s="255"/>
      <c r="AK283" s="258" t="s">
        <v>566</v>
      </c>
      <c r="AN283" s="255"/>
    </row>
    <row r="284" spans="1:41" s="210" customFormat="1" ht="14.4" x14ac:dyDescent="0.3">
      <c r="A284" s="259"/>
      <c r="B284" s="260" t="s">
        <v>304</v>
      </c>
      <c r="C284" s="435" t="s">
        <v>567</v>
      </c>
      <c r="D284" s="435"/>
      <c r="E284" s="435"/>
      <c r="F284" s="261"/>
      <c r="G284" s="262"/>
      <c r="H284" s="262"/>
      <c r="I284" s="262"/>
      <c r="J284" s="263">
        <v>58.45</v>
      </c>
      <c r="K284" s="267">
        <v>1.1499999999999999</v>
      </c>
      <c r="L284" s="263">
        <v>268.87</v>
      </c>
      <c r="M284" s="267">
        <v>13.59</v>
      </c>
      <c r="N284" s="265">
        <v>3653.94</v>
      </c>
      <c r="AF284" s="246"/>
      <c r="AG284" s="255"/>
      <c r="AH284" s="255"/>
      <c r="AK284" s="258" t="s">
        <v>567</v>
      </c>
      <c r="AN284" s="255"/>
    </row>
    <row r="285" spans="1:41" s="210" customFormat="1" ht="14.4" x14ac:dyDescent="0.3">
      <c r="A285" s="259"/>
      <c r="B285" s="260" t="s">
        <v>568</v>
      </c>
      <c r="C285" s="435" t="s">
        <v>569</v>
      </c>
      <c r="D285" s="435"/>
      <c r="E285" s="435"/>
      <c r="F285" s="261"/>
      <c r="G285" s="262"/>
      <c r="H285" s="262"/>
      <c r="I285" s="262"/>
      <c r="J285" s="263">
        <v>5.12</v>
      </c>
      <c r="K285" s="267">
        <v>1.1499999999999999</v>
      </c>
      <c r="L285" s="263">
        <v>23.55</v>
      </c>
      <c r="M285" s="264">
        <v>41.8</v>
      </c>
      <c r="N285" s="284">
        <v>984.39</v>
      </c>
      <c r="AF285" s="246"/>
      <c r="AG285" s="255"/>
      <c r="AH285" s="255"/>
      <c r="AK285" s="258" t="s">
        <v>569</v>
      </c>
      <c r="AN285" s="255"/>
    </row>
    <row r="286" spans="1:41" s="210" customFormat="1" ht="14.4" x14ac:dyDescent="0.3">
      <c r="A286" s="259"/>
      <c r="B286" s="260" t="s">
        <v>592</v>
      </c>
      <c r="C286" s="435" t="s">
        <v>593</v>
      </c>
      <c r="D286" s="435"/>
      <c r="E286" s="435"/>
      <c r="F286" s="261"/>
      <c r="G286" s="262"/>
      <c r="H286" s="262"/>
      <c r="I286" s="262"/>
      <c r="J286" s="263">
        <v>2.74</v>
      </c>
      <c r="K286" s="262"/>
      <c r="L286" s="263">
        <v>10.96</v>
      </c>
      <c r="M286" s="267">
        <v>8.92</v>
      </c>
      <c r="N286" s="284">
        <v>97.76</v>
      </c>
      <c r="AF286" s="246"/>
      <c r="AG286" s="255"/>
      <c r="AH286" s="255"/>
      <c r="AK286" s="258" t="s">
        <v>593</v>
      </c>
      <c r="AN286" s="255"/>
    </row>
    <row r="287" spans="1:41" s="210" customFormat="1" ht="14.4" x14ac:dyDescent="0.3">
      <c r="A287" s="268"/>
      <c r="B287" s="260"/>
      <c r="C287" s="435" t="s">
        <v>570</v>
      </c>
      <c r="D287" s="435"/>
      <c r="E287" s="435"/>
      <c r="F287" s="261" t="s">
        <v>571</v>
      </c>
      <c r="G287" s="267">
        <v>1.73</v>
      </c>
      <c r="H287" s="267">
        <v>1.1499999999999999</v>
      </c>
      <c r="I287" s="288">
        <v>7.9580000000000002</v>
      </c>
      <c r="J287" s="269"/>
      <c r="K287" s="262"/>
      <c r="L287" s="269"/>
      <c r="M287" s="262"/>
      <c r="N287" s="270"/>
      <c r="AF287" s="246"/>
      <c r="AG287" s="255"/>
      <c r="AH287" s="255"/>
      <c r="AL287" s="258" t="s">
        <v>570</v>
      </c>
      <c r="AN287" s="255"/>
    </row>
    <row r="288" spans="1:41" s="210" customFormat="1" ht="14.4" x14ac:dyDescent="0.3">
      <c r="A288" s="268"/>
      <c r="B288" s="260"/>
      <c r="C288" s="435" t="s">
        <v>572</v>
      </c>
      <c r="D288" s="435"/>
      <c r="E288" s="435"/>
      <c r="F288" s="261" t="s">
        <v>571</v>
      </c>
      <c r="G288" s="267">
        <v>0.36</v>
      </c>
      <c r="H288" s="267">
        <v>1.1499999999999999</v>
      </c>
      <c r="I288" s="288">
        <v>1.6559999999999999</v>
      </c>
      <c r="J288" s="269"/>
      <c r="K288" s="262"/>
      <c r="L288" s="269"/>
      <c r="M288" s="262"/>
      <c r="N288" s="270"/>
      <c r="AF288" s="246"/>
      <c r="AG288" s="255"/>
      <c r="AH288" s="255"/>
      <c r="AL288" s="258" t="s">
        <v>572</v>
      </c>
      <c r="AN288" s="255"/>
    </row>
    <row r="289" spans="1:41" s="210" customFormat="1" ht="14.4" x14ac:dyDescent="0.3">
      <c r="A289" s="259"/>
      <c r="B289" s="260"/>
      <c r="C289" s="436" t="s">
        <v>573</v>
      </c>
      <c r="D289" s="436"/>
      <c r="E289" s="436"/>
      <c r="F289" s="272"/>
      <c r="G289" s="273"/>
      <c r="H289" s="273"/>
      <c r="I289" s="273"/>
      <c r="J289" s="275">
        <v>78.349999999999994</v>
      </c>
      <c r="K289" s="273"/>
      <c r="L289" s="275">
        <v>358.77</v>
      </c>
      <c r="M289" s="273"/>
      <c r="N289" s="276">
        <v>7051.39</v>
      </c>
      <c r="AF289" s="246"/>
      <c r="AG289" s="255"/>
      <c r="AH289" s="255"/>
      <c r="AM289" s="258" t="s">
        <v>573</v>
      </c>
      <c r="AN289" s="255"/>
    </row>
    <row r="290" spans="1:41" s="210" customFormat="1" ht="14.4" x14ac:dyDescent="0.3">
      <c r="A290" s="268"/>
      <c r="B290" s="260"/>
      <c r="C290" s="435" t="s">
        <v>574</v>
      </c>
      <c r="D290" s="435"/>
      <c r="E290" s="435"/>
      <c r="F290" s="261"/>
      <c r="G290" s="262"/>
      <c r="H290" s="262"/>
      <c r="I290" s="262"/>
      <c r="J290" s="269"/>
      <c r="K290" s="262"/>
      <c r="L290" s="263">
        <v>102.49</v>
      </c>
      <c r="M290" s="262"/>
      <c r="N290" s="265">
        <v>4284.08</v>
      </c>
      <c r="AF290" s="246"/>
      <c r="AG290" s="255"/>
      <c r="AH290" s="255"/>
      <c r="AL290" s="258" t="s">
        <v>574</v>
      </c>
      <c r="AN290" s="255"/>
    </row>
    <row r="291" spans="1:41" s="210" customFormat="1" ht="21.6" x14ac:dyDescent="0.3">
      <c r="A291" s="268"/>
      <c r="B291" s="260" t="s">
        <v>594</v>
      </c>
      <c r="C291" s="435" t="s">
        <v>595</v>
      </c>
      <c r="D291" s="435"/>
      <c r="E291" s="435"/>
      <c r="F291" s="261" t="s">
        <v>577</v>
      </c>
      <c r="G291" s="277">
        <v>117</v>
      </c>
      <c r="H291" s="262"/>
      <c r="I291" s="277">
        <v>117</v>
      </c>
      <c r="J291" s="269"/>
      <c r="K291" s="262"/>
      <c r="L291" s="263">
        <v>119.91</v>
      </c>
      <c r="M291" s="262"/>
      <c r="N291" s="265">
        <v>5012.37</v>
      </c>
      <c r="AF291" s="246"/>
      <c r="AG291" s="255"/>
      <c r="AH291" s="255"/>
      <c r="AL291" s="258" t="s">
        <v>595</v>
      </c>
      <c r="AN291" s="255"/>
    </row>
    <row r="292" spans="1:41" s="210" customFormat="1" ht="40.799999999999997" x14ac:dyDescent="0.3">
      <c r="A292" s="268"/>
      <c r="B292" s="260" t="s">
        <v>596</v>
      </c>
      <c r="C292" s="435" t="s">
        <v>597</v>
      </c>
      <c r="D292" s="435"/>
      <c r="E292" s="435"/>
      <c r="F292" s="261" t="s">
        <v>577</v>
      </c>
      <c r="G292" s="277">
        <v>74</v>
      </c>
      <c r="H292" s="267">
        <v>0.85</v>
      </c>
      <c r="I292" s="264">
        <v>62.9</v>
      </c>
      <c r="J292" s="269"/>
      <c r="K292" s="262"/>
      <c r="L292" s="263">
        <v>64.47</v>
      </c>
      <c r="M292" s="262"/>
      <c r="N292" s="265">
        <v>2694.69</v>
      </c>
      <c r="AF292" s="246"/>
      <c r="AG292" s="255"/>
      <c r="AH292" s="255"/>
      <c r="AL292" s="258" t="s">
        <v>597</v>
      </c>
      <c r="AN292" s="255"/>
    </row>
    <row r="293" spans="1:41" s="210" customFormat="1" ht="14.4" x14ac:dyDescent="0.3">
      <c r="A293" s="278"/>
      <c r="B293" s="370"/>
      <c r="C293" s="441" t="s">
        <v>580</v>
      </c>
      <c r="D293" s="441"/>
      <c r="E293" s="441"/>
      <c r="F293" s="249"/>
      <c r="G293" s="250"/>
      <c r="H293" s="250"/>
      <c r="I293" s="250"/>
      <c r="J293" s="253"/>
      <c r="K293" s="250"/>
      <c r="L293" s="281">
        <v>543.15</v>
      </c>
      <c r="M293" s="273"/>
      <c r="N293" s="280">
        <v>14758.45</v>
      </c>
      <c r="AF293" s="246"/>
      <c r="AG293" s="255"/>
      <c r="AH293" s="255"/>
      <c r="AN293" s="255" t="s">
        <v>580</v>
      </c>
    </row>
    <row r="294" spans="1:41" s="210" customFormat="1" ht="42" x14ac:dyDescent="0.3">
      <c r="A294" s="247" t="s">
        <v>845</v>
      </c>
      <c r="B294" s="371" t="s">
        <v>627</v>
      </c>
      <c r="C294" s="441" t="s">
        <v>628</v>
      </c>
      <c r="D294" s="441"/>
      <c r="E294" s="441"/>
      <c r="F294" s="249" t="s">
        <v>178</v>
      </c>
      <c r="G294" s="250">
        <v>4</v>
      </c>
      <c r="H294" s="251">
        <v>1</v>
      </c>
      <c r="I294" s="251">
        <v>4</v>
      </c>
      <c r="J294" s="281">
        <v>507.69</v>
      </c>
      <c r="K294" s="250"/>
      <c r="L294" s="279">
        <v>2030.76</v>
      </c>
      <c r="M294" s="252">
        <v>8.92</v>
      </c>
      <c r="N294" s="280">
        <v>18114.38</v>
      </c>
      <c r="AF294" s="246"/>
      <c r="AG294" s="255"/>
      <c r="AH294" s="255" t="s">
        <v>628</v>
      </c>
      <c r="AN294" s="255"/>
    </row>
    <row r="295" spans="1:41" s="210" customFormat="1" ht="14.4" x14ac:dyDescent="0.3">
      <c r="A295" s="278"/>
      <c r="B295" s="370"/>
      <c r="C295" s="435" t="s">
        <v>583</v>
      </c>
      <c r="D295" s="435"/>
      <c r="E295" s="435"/>
      <c r="F295" s="435"/>
      <c r="G295" s="435"/>
      <c r="H295" s="435"/>
      <c r="I295" s="435"/>
      <c r="J295" s="435"/>
      <c r="K295" s="435"/>
      <c r="L295" s="435"/>
      <c r="M295" s="435"/>
      <c r="N295" s="442"/>
      <c r="AF295" s="246"/>
      <c r="AG295" s="255"/>
      <c r="AH295" s="255"/>
      <c r="AN295" s="255"/>
      <c r="AO295" s="258" t="s">
        <v>583</v>
      </c>
    </row>
    <row r="296" spans="1:41" s="210" customFormat="1" ht="14.4" x14ac:dyDescent="0.3">
      <c r="A296" s="278"/>
      <c r="B296" s="370"/>
      <c r="C296" s="441" t="s">
        <v>580</v>
      </c>
      <c r="D296" s="441"/>
      <c r="E296" s="441"/>
      <c r="F296" s="249"/>
      <c r="G296" s="250"/>
      <c r="H296" s="250"/>
      <c r="I296" s="250"/>
      <c r="J296" s="253"/>
      <c r="K296" s="250"/>
      <c r="L296" s="279">
        <v>2030.76</v>
      </c>
      <c r="M296" s="273"/>
      <c r="N296" s="280">
        <v>18114.38</v>
      </c>
      <c r="AF296" s="246"/>
      <c r="AG296" s="255"/>
      <c r="AH296" s="255"/>
      <c r="AN296" s="255" t="s">
        <v>580</v>
      </c>
    </row>
    <row r="297" spans="1:41" s="210" customFormat="1" ht="31.8" x14ac:dyDescent="0.3">
      <c r="A297" s="247" t="s">
        <v>846</v>
      </c>
      <c r="B297" s="371" t="s">
        <v>641</v>
      </c>
      <c r="C297" s="441" t="s">
        <v>642</v>
      </c>
      <c r="D297" s="441"/>
      <c r="E297" s="441"/>
      <c r="F297" s="249" t="s">
        <v>178</v>
      </c>
      <c r="G297" s="250">
        <v>4</v>
      </c>
      <c r="H297" s="251">
        <v>1</v>
      </c>
      <c r="I297" s="251">
        <v>4</v>
      </c>
      <c r="J297" s="253"/>
      <c r="K297" s="250"/>
      <c r="L297" s="253"/>
      <c r="M297" s="250"/>
      <c r="N297" s="254"/>
      <c r="AF297" s="246"/>
      <c r="AG297" s="255"/>
      <c r="AH297" s="255" t="s">
        <v>642</v>
      </c>
      <c r="AN297" s="255"/>
    </row>
    <row r="298" spans="1:41" s="210" customFormat="1" ht="52.2" x14ac:dyDescent="0.3">
      <c r="A298" s="283"/>
      <c r="B298" s="260" t="s">
        <v>704</v>
      </c>
      <c r="C298" s="443" t="s">
        <v>705</v>
      </c>
      <c r="D298" s="443"/>
      <c r="E298" s="443"/>
      <c r="F298" s="443"/>
      <c r="G298" s="443"/>
      <c r="H298" s="443"/>
      <c r="I298" s="443"/>
      <c r="J298" s="443"/>
      <c r="K298" s="443"/>
      <c r="L298" s="443"/>
      <c r="M298" s="443"/>
      <c r="N298" s="444"/>
      <c r="AF298" s="246"/>
      <c r="AG298" s="255"/>
      <c r="AH298" s="255"/>
      <c r="AJ298" s="258" t="s">
        <v>705</v>
      </c>
      <c r="AN298" s="255"/>
    </row>
    <row r="299" spans="1:41" s="210" customFormat="1" ht="14.4" x14ac:dyDescent="0.3">
      <c r="A299" s="259"/>
      <c r="B299" s="260" t="s">
        <v>301</v>
      </c>
      <c r="C299" s="435" t="s">
        <v>566</v>
      </c>
      <c r="D299" s="435"/>
      <c r="E299" s="435"/>
      <c r="F299" s="261"/>
      <c r="G299" s="262"/>
      <c r="H299" s="262"/>
      <c r="I299" s="262"/>
      <c r="J299" s="263">
        <v>161.85</v>
      </c>
      <c r="K299" s="267">
        <v>1.1499999999999999</v>
      </c>
      <c r="L299" s="263">
        <v>744.51</v>
      </c>
      <c r="M299" s="264">
        <v>41.8</v>
      </c>
      <c r="N299" s="265">
        <v>31120.52</v>
      </c>
      <c r="AF299" s="246"/>
      <c r="AG299" s="255"/>
      <c r="AH299" s="255"/>
      <c r="AK299" s="258" t="s">
        <v>566</v>
      </c>
      <c r="AN299" s="255"/>
    </row>
    <row r="300" spans="1:41" s="210" customFormat="1" ht="14.4" x14ac:dyDescent="0.3">
      <c r="A300" s="259"/>
      <c r="B300" s="260" t="s">
        <v>304</v>
      </c>
      <c r="C300" s="435" t="s">
        <v>567</v>
      </c>
      <c r="D300" s="435"/>
      <c r="E300" s="435"/>
      <c r="F300" s="261"/>
      <c r="G300" s="262"/>
      <c r="H300" s="262"/>
      <c r="I300" s="262"/>
      <c r="J300" s="263">
        <v>8.51</v>
      </c>
      <c r="K300" s="267">
        <v>1.1499999999999999</v>
      </c>
      <c r="L300" s="263">
        <v>39.15</v>
      </c>
      <c r="M300" s="267">
        <v>13.59</v>
      </c>
      <c r="N300" s="284">
        <v>532.04999999999995</v>
      </c>
      <c r="AF300" s="246"/>
      <c r="AG300" s="255"/>
      <c r="AH300" s="255"/>
      <c r="AK300" s="258" t="s">
        <v>567</v>
      </c>
      <c r="AN300" s="255"/>
    </row>
    <row r="301" spans="1:41" s="210" customFormat="1" ht="14.4" x14ac:dyDescent="0.3">
      <c r="A301" s="259"/>
      <c r="B301" s="260" t="s">
        <v>592</v>
      </c>
      <c r="C301" s="435" t="s">
        <v>593</v>
      </c>
      <c r="D301" s="435"/>
      <c r="E301" s="435"/>
      <c r="F301" s="261"/>
      <c r="G301" s="262"/>
      <c r="H301" s="262"/>
      <c r="I301" s="262"/>
      <c r="J301" s="263">
        <v>16.18</v>
      </c>
      <c r="K301" s="262"/>
      <c r="L301" s="263">
        <v>64.72</v>
      </c>
      <c r="M301" s="267">
        <v>8.92</v>
      </c>
      <c r="N301" s="284">
        <v>577.29999999999995</v>
      </c>
      <c r="AF301" s="246"/>
      <c r="AG301" s="255"/>
      <c r="AH301" s="255"/>
      <c r="AK301" s="258" t="s">
        <v>593</v>
      </c>
      <c r="AN301" s="255"/>
    </row>
    <row r="302" spans="1:41" s="210" customFormat="1" ht="14.4" x14ac:dyDescent="0.3">
      <c r="A302" s="268"/>
      <c r="B302" s="260"/>
      <c r="C302" s="435" t="s">
        <v>570</v>
      </c>
      <c r="D302" s="435"/>
      <c r="E302" s="435"/>
      <c r="F302" s="261" t="s">
        <v>571</v>
      </c>
      <c r="G302" s="277">
        <v>15</v>
      </c>
      <c r="H302" s="267">
        <v>1.1499999999999999</v>
      </c>
      <c r="I302" s="277">
        <v>69</v>
      </c>
      <c r="J302" s="269"/>
      <c r="K302" s="262"/>
      <c r="L302" s="269"/>
      <c r="M302" s="262"/>
      <c r="N302" s="270"/>
      <c r="AF302" s="246"/>
      <c r="AG302" s="255"/>
      <c r="AH302" s="255"/>
      <c r="AL302" s="258" t="s">
        <v>570</v>
      </c>
      <c r="AN302" s="255"/>
    </row>
    <row r="303" spans="1:41" s="210" customFormat="1" ht="14.4" x14ac:dyDescent="0.3">
      <c r="A303" s="259"/>
      <c r="B303" s="260"/>
      <c r="C303" s="436" t="s">
        <v>573</v>
      </c>
      <c r="D303" s="436"/>
      <c r="E303" s="436"/>
      <c r="F303" s="272"/>
      <c r="G303" s="273"/>
      <c r="H303" s="273"/>
      <c r="I303" s="273"/>
      <c r="J303" s="275">
        <v>186.54</v>
      </c>
      <c r="K303" s="273"/>
      <c r="L303" s="275">
        <v>848.38</v>
      </c>
      <c r="M303" s="273"/>
      <c r="N303" s="276">
        <v>32229.87</v>
      </c>
      <c r="AF303" s="246"/>
      <c r="AG303" s="255"/>
      <c r="AH303" s="255"/>
      <c r="AM303" s="258" t="s">
        <v>573</v>
      </c>
      <c r="AN303" s="255"/>
    </row>
    <row r="304" spans="1:41" s="210" customFormat="1" ht="14.4" x14ac:dyDescent="0.3">
      <c r="A304" s="268"/>
      <c r="B304" s="260"/>
      <c r="C304" s="435" t="s">
        <v>574</v>
      </c>
      <c r="D304" s="435"/>
      <c r="E304" s="435"/>
      <c r="F304" s="261"/>
      <c r="G304" s="262"/>
      <c r="H304" s="262"/>
      <c r="I304" s="262"/>
      <c r="J304" s="269"/>
      <c r="K304" s="262"/>
      <c r="L304" s="263">
        <v>744.51</v>
      </c>
      <c r="M304" s="262"/>
      <c r="N304" s="265">
        <v>31120.52</v>
      </c>
      <c r="AF304" s="246"/>
      <c r="AG304" s="255"/>
      <c r="AH304" s="255"/>
      <c r="AL304" s="258" t="s">
        <v>574</v>
      </c>
      <c r="AN304" s="255"/>
    </row>
    <row r="305" spans="1:40" s="210" customFormat="1" ht="14.4" x14ac:dyDescent="0.3">
      <c r="A305" s="268"/>
      <c r="B305" s="260" t="s">
        <v>643</v>
      </c>
      <c r="C305" s="435" t="s">
        <v>644</v>
      </c>
      <c r="D305" s="435"/>
      <c r="E305" s="435"/>
      <c r="F305" s="261" t="s">
        <v>577</v>
      </c>
      <c r="G305" s="277">
        <v>90</v>
      </c>
      <c r="H305" s="262"/>
      <c r="I305" s="277">
        <v>90</v>
      </c>
      <c r="J305" s="269"/>
      <c r="K305" s="262"/>
      <c r="L305" s="263">
        <v>670.06</v>
      </c>
      <c r="M305" s="262"/>
      <c r="N305" s="265">
        <v>28008.47</v>
      </c>
      <c r="AF305" s="246"/>
      <c r="AG305" s="255"/>
      <c r="AH305" s="255"/>
      <c r="AL305" s="258" t="s">
        <v>644</v>
      </c>
      <c r="AN305" s="255"/>
    </row>
    <row r="306" spans="1:40" s="210" customFormat="1" ht="14.4" x14ac:dyDescent="0.3">
      <c r="A306" s="268"/>
      <c r="B306" s="260" t="s">
        <v>645</v>
      </c>
      <c r="C306" s="435" t="s">
        <v>646</v>
      </c>
      <c r="D306" s="435"/>
      <c r="E306" s="435"/>
      <c r="F306" s="261" t="s">
        <v>577</v>
      </c>
      <c r="G306" s="277">
        <v>46</v>
      </c>
      <c r="H306" s="262"/>
      <c r="I306" s="277">
        <v>46</v>
      </c>
      <c r="J306" s="269"/>
      <c r="K306" s="262"/>
      <c r="L306" s="263">
        <v>342.47</v>
      </c>
      <c r="M306" s="262"/>
      <c r="N306" s="265">
        <v>14315.44</v>
      </c>
      <c r="AF306" s="246"/>
      <c r="AG306" s="255"/>
      <c r="AH306" s="255"/>
      <c r="AL306" s="258" t="s">
        <v>646</v>
      </c>
      <c r="AN306" s="255"/>
    </row>
    <row r="307" spans="1:40" s="210" customFormat="1" ht="14.4" x14ac:dyDescent="0.3">
      <c r="A307" s="278"/>
      <c r="B307" s="370"/>
      <c r="C307" s="441" t="s">
        <v>580</v>
      </c>
      <c r="D307" s="441"/>
      <c r="E307" s="441"/>
      <c r="F307" s="249"/>
      <c r="G307" s="250"/>
      <c r="H307" s="250"/>
      <c r="I307" s="250"/>
      <c r="J307" s="253"/>
      <c r="K307" s="250"/>
      <c r="L307" s="279">
        <v>1860.91</v>
      </c>
      <c r="M307" s="273"/>
      <c r="N307" s="280">
        <v>74553.78</v>
      </c>
      <c r="AF307" s="246"/>
      <c r="AG307" s="255"/>
      <c r="AH307" s="255"/>
      <c r="AN307" s="255" t="s">
        <v>580</v>
      </c>
    </row>
    <row r="308" spans="1:40" s="210" customFormat="1" ht="31.8" x14ac:dyDescent="0.3">
      <c r="A308" s="247" t="s">
        <v>351</v>
      </c>
      <c r="B308" s="371" t="s">
        <v>847</v>
      </c>
      <c r="C308" s="441" t="s">
        <v>848</v>
      </c>
      <c r="D308" s="441"/>
      <c r="E308" s="441"/>
      <c r="F308" s="249" t="s">
        <v>650</v>
      </c>
      <c r="G308" s="250">
        <v>4.8</v>
      </c>
      <c r="H308" s="251">
        <v>1</v>
      </c>
      <c r="I308" s="290">
        <v>4.8</v>
      </c>
      <c r="J308" s="253"/>
      <c r="K308" s="250"/>
      <c r="L308" s="253"/>
      <c r="M308" s="250"/>
      <c r="N308" s="254"/>
      <c r="AF308" s="246"/>
      <c r="AG308" s="255"/>
      <c r="AH308" s="255" t="s">
        <v>848</v>
      </c>
      <c r="AN308" s="255"/>
    </row>
    <row r="309" spans="1:40" s="210" customFormat="1" ht="14.4" x14ac:dyDescent="0.3">
      <c r="A309" s="256"/>
      <c r="B309" s="369"/>
      <c r="C309" s="435" t="s">
        <v>651</v>
      </c>
      <c r="D309" s="435"/>
      <c r="E309" s="435"/>
      <c r="F309" s="435"/>
      <c r="G309" s="435"/>
      <c r="H309" s="435"/>
      <c r="I309" s="435"/>
      <c r="J309" s="435"/>
      <c r="K309" s="435"/>
      <c r="L309" s="435"/>
      <c r="M309" s="435"/>
      <c r="N309" s="442"/>
      <c r="AF309" s="246"/>
      <c r="AG309" s="255"/>
      <c r="AH309" s="255"/>
      <c r="AI309" s="258" t="s">
        <v>651</v>
      </c>
      <c r="AN309" s="255"/>
    </row>
    <row r="310" spans="1:40" s="210" customFormat="1" ht="52.2" x14ac:dyDescent="0.3">
      <c r="A310" s="283"/>
      <c r="B310" s="260" t="s">
        <v>704</v>
      </c>
      <c r="C310" s="443" t="s">
        <v>705</v>
      </c>
      <c r="D310" s="443"/>
      <c r="E310" s="443"/>
      <c r="F310" s="443"/>
      <c r="G310" s="443"/>
      <c r="H310" s="443"/>
      <c r="I310" s="443"/>
      <c r="J310" s="443"/>
      <c r="K310" s="443"/>
      <c r="L310" s="443"/>
      <c r="M310" s="443"/>
      <c r="N310" s="444"/>
      <c r="AF310" s="246"/>
      <c r="AG310" s="255"/>
      <c r="AH310" s="255"/>
      <c r="AJ310" s="258" t="s">
        <v>705</v>
      </c>
      <c r="AN310" s="255"/>
    </row>
    <row r="311" spans="1:40" s="210" customFormat="1" ht="14.4" x14ac:dyDescent="0.3">
      <c r="A311" s="259"/>
      <c r="B311" s="260" t="s">
        <v>301</v>
      </c>
      <c r="C311" s="435" t="s">
        <v>566</v>
      </c>
      <c r="D311" s="435"/>
      <c r="E311" s="435"/>
      <c r="F311" s="261"/>
      <c r="G311" s="262"/>
      <c r="H311" s="262"/>
      <c r="I311" s="262"/>
      <c r="J311" s="263">
        <v>166.3</v>
      </c>
      <c r="K311" s="267">
        <v>1.1499999999999999</v>
      </c>
      <c r="L311" s="263">
        <v>917.98</v>
      </c>
      <c r="M311" s="264">
        <v>41.8</v>
      </c>
      <c r="N311" s="265">
        <v>38371.56</v>
      </c>
      <c r="AF311" s="246"/>
      <c r="AG311" s="255"/>
      <c r="AH311" s="255"/>
      <c r="AK311" s="258" t="s">
        <v>566</v>
      </c>
      <c r="AN311" s="255"/>
    </row>
    <row r="312" spans="1:40" s="210" customFormat="1" ht="14.4" x14ac:dyDescent="0.3">
      <c r="A312" s="259"/>
      <c r="B312" s="260" t="s">
        <v>304</v>
      </c>
      <c r="C312" s="435" t="s">
        <v>567</v>
      </c>
      <c r="D312" s="435"/>
      <c r="E312" s="435"/>
      <c r="F312" s="261"/>
      <c r="G312" s="262"/>
      <c r="H312" s="262"/>
      <c r="I312" s="262"/>
      <c r="J312" s="263">
        <v>389.4</v>
      </c>
      <c r="K312" s="267">
        <v>1.1499999999999999</v>
      </c>
      <c r="L312" s="266">
        <v>2149.4899999999998</v>
      </c>
      <c r="M312" s="267">
        <v>13.59</v>
      </c>
      <c r="N312" s="265">
        <v>29211.57</v>
      </c>
      <c r="AF312" s="246"/>
      <c r="AG312" s="255"/>
      <c r="AH312" s="255"/>
      <c r="AK312" s="258" t="s">
        <v>567</v>
      </c>
      <c r="AN312" s="255"/>
    </row>
    <row r="313" spans="1:40" s="210" customFormat="1" ht="14.4" x14ac:dyDescent="0.3">
      <c r="A313" s="259"/>
      <c r="B313" s="260" t="s">
        <v>568</v>
      </c>
      <c r="C313" s="435" t="s">
        <v>569</v>
      </c>
      <c r="D313" s="435"/>
      <c r="E313" s="435"/>
      <c r="F313" s="261"/>
      <c r="G313" s="262"/>
      <c r="H313" s="262"/>
      <c r="I313" s="262"/>
      <c r="J313" s="263">
        <v>30.18</v>
      </c>
      <c r="K313" s="267">
        <v>1.1499999999999999</v>
      </c>
      <c r="L313" s="263">
        <v>166.59</v>
      </c>
      <c r="M313" s="264">
        <v>41.8</v>
      </c>
      <c r="N313" s="265">
        <v>6963.46</v>
      </c>
      <c r="AF313" s="246"/>
      <c r="AG313" s="255"/>
      <c r="AH313" s="255"/>
      <c r="AK313" s="258" t="s">
        <v>569</v>
      </c>
      <c r="AN313" s="255"/>
    </row>
    <row r="314" spans="1:40" s="210" customFormat="1" ht="14.4" x14ac:dyDescent="0.3">
      <c r="A314" s="259"/>
      <c r="B314" s="260" t="s">
        <v>592</v>
      </c>
      <c r="C314" s="435" t="s">
        <v>593</v>
      </c>
      <c r="D314" s="435"/>
      <c r="E314" s="435"/>
      <c r="F314" s="261"/>
      <c r="G314" s="262"/>
      <c r="H314" s="262"/>
      <c r="I314" s="262"/>
      <c r="J314" s="263">
        <v>20.13</v>
      </c>
      <c r="K314" s="262"/>
      <c r="L314" s="263">
        <v>96.62</v>
      </c>
      <c r="M314" s="267">
        <v>8.92</v>
      </c>
      <c r="N314" s="284">
        <v>861.85</v>
      </c>
      <c r="AF314" s="246"/>
      <c r="AG314" s="255"/>
      <c r="AH314" s="255"/>
      <c r="AK314" s="258" t="s">
        <v>593</v>
      </c>
      <c r="AN314" s="255"/>
    </row>
    <row r="315" spans="1:40" s="210" customFormat="1" ht="14.4" x14ac:dyDescent="0.3">
      <c r="A315" s="268"/>
      <c r="B315" s="260"/>
      <c r="C315" s="435" t="s">
        <v>570</v>
      </c>
      <c r="D315" s="435"/>
      <c r="E315" s="435"/>
      <c r="F315" s="261" t="s">
        <v>571</v>
      </c>
      <c r="G315" s="267">
        <v>18.54</v>
      </c>
      <c r="H315" s="267">
        <v>1.1499999999999999</v>
      </c>
      <c r="I315" s="271">
        <v>102.3408</v>
      </c>
      <c r="J315" s="269"/>
      <c r="K315" s="262"/>
      <c r="L315" s="269"/>
      <c r="M315" s="262"/>
      <c r="N315" s="270"/>
      <c r="AF315" s="246"/>
      <c r="AG315" s="255"/>
      <c r="AH315" s="255"/>
      <c r="AL315" s="258" t="s">
        <v>570</v>
      </c>
      <c r="AN315" s="255"/>
    </row>
    <row r="316" spans="1:40" s="210" customFormat="1" ht="14.4" x14ac:dyDescent="0.3">
      <c r="A316" s="268"/>
      <c r="B316" s="260"/>
      <c r="C316" s="435" t="s">
        <v>572</v>
      </c>
      <c r="D316" s="435"/>
      <c r="E316" s="435"/>
      <c r="F316" s="261" t="s">
        <v>571</v>
      </c>
      <c r="G316" s="277">
        <v>3</v>
      </c>
      <c r="H316" s="267">
        <v>1.1499999999999999</v>
      </c>
      <c r="I316" s="267">
        <v>16.559999999999999</v>
      </c>
      <c r="J316" s="269"/>
      <c r="K316" s="262"/>
      <c r="L316" s="269"/>
      <c r="M316" s="262"/>
      <c r="N316" s="270"/>
      <c r="AF316" s="246"/>
      <c r="AG316" s="255"/>
      <c r="AH316" s="255"/>
      <c r="AL316" s="258" t="s">
        <v>572</v>
      </c>
      <c r="AN316" s="255"/>
    </row>
    <row r="317" spans="1:40" s="210" customFormat="1" ht="14.4" x14ac:dyDescent="0.3">
      <c r="A317" s="259"/>
      <c r="B317" s="260"/>
      <c r="C317" s="436" t="s">
        <v>573</v>
      </c>
      <c r="D317" s="436"/>
      <c r="E317" s="436"/>
      <c r="F317" s="272"/>
      <c r="G317" s="273"/>
      <c r="H317" s="273"/>
      <c r="I317" s="273"/>
      <c r="J317" s="275">
        <v>575.83000000000004</v>
      </c>
      <c r="K317" s="273"/>
      <c r="L317" s="274">
        <v>3164.09</v>
      </c>
      <c r="M317" s="273"/>
      <c r="N317" s="276">
        <v>68444.98</v>
      </c>
      <c r="AF317" s="246"/>
      <c r="AG317" s="255"/>
      <c r="AH317" s="255"/>
      <c r="AM317" s="258" t="s">
        <v>573</v>
      </c>
      <c r="AN317" s="255"/>
    </row>
    <row r="318" spans="1:40" s="210" customFormat="1" ht="14.4" x14ac:dyDescent="0.3">
      <c r="A318" s="268"/>
      <c r="B318" s="260"/>
      <c r="C318" s="435" t="s">
        <v>574</v>
      </c>
      <c r="D318" s="435"/>
      <c r="E318" s="435"/>
      <c r="F318" s="261"/>
      <c r="G318" s="262"/>
      <c r="H318" s="262"/>
      <c r="I318" s="262"/>
      <c r="J318" s="269"/>
      <c r="K318" s="262"/>
      <c r="L318" s="266">
        <v>1084.57</v>
      </c>
      <c r="M318" s="262"/>
      <c r="N318" s="265">
        <v>45335.02</v>
      </c>
      <c r="AF318" s="246"/>
      <c r="AG318" s="255"/>
      <c r="AH318" s="255"/>
      <c r="AL318" s="258" t="s">
        <v>574</v>
      </c>
      <c r="AN318" s="255"/>
    </row>
    <row r="319" spans="1:40" s="210" customFormat="1" ht="21.6" x14ac:dyDescent="0.3">
      <c r="A319" s="268"/>
      <c r="B319" s="260" t="s">
        <v>594</v>
      </c>
      <c r="C319" s="435" t="s">
        <v>595</v>
      </c>
      <c r="D319" s="435"/>
      <c r="E319" s="435"/>
      <c r="F319" s="261" t="s">
        <v>577</v>
      </c>
      <c r="G319" s="277">
        <v>117</v>
      </c>
      <c r="H319" s="262"/>
      <c r="I319" s="277">
        <v>117</v>
      </c>
      <c r="J319" s="269"/>
      <c r="K319" s="262"/>
      <c r="L319" s="266">
        <v>1268.95</v>
      </c>
      <c r="M319" s="262"/>
      <c r="N319" s="265">
        <v>53041.97</v>
      </c>
      <c r="AF319" s="246"/>
      <c r="AG319" s="255"/>
      <c r="AH319" s="255"/>
      <c r="AL319" s="258" t="s">
        <v>595</v>
      </c>
      <c r="AN319" s="255"/>
    </row>
    <row r="320" spans="1:40" s="210" customFormat="1" ht="40.799999999999997" x14ac:dyDescent="0.3">
      <c r="A320" s="268"/>
      <c r="B320" s="260" t="s">
        <v>596</v>
      </c>
      <c r="C320" s="435" t="s">
        <v>597</v>
      </c>
      <c r="D320" s="435"/>
      <c r="E320" s="435"/>
      <c r="F320" s="261" t="s">
        <v>577</v>
      </c>
      <c r="G320" s="277">
        <v>74</v>
      </c>
      <c r="H320" s="267">
        <v>0.85</v>
      </c>
      <c r="I320" s="264">
        <v>62.9</v>
      </c>
      <c r="J320" s="269"/>
      <c r="K320" s="262"/>
      <c r="L320" s="263">
        <v>682.19</v>
      </c>
      <c r="M320" s="262"/>
      <c r="N320" s="265">
        <v>28515.73</v>
      </c>
      <c r="AF320" s="246"/>
      <c r="AG320" s="255"/>
      <c r="AH320" s="255"/>
      <c r="AL320" s="258" t="s">
        <v>597</v>
      </c>
      <c r="AN320" s="255"/>
    </row>
    <row r="321" spans="1:40" s="210" customFormat="1" ht="14.4" x14ac:dyDescent="0.3">
      <c r="A321" s="278"/>
      <c r="B321" s="370"/>
      <c r="C321" s="441" t="s">
        <v>580</v>
      </c>
      <c r="D321" s="441"/>
      <c r="E321" s="441"/>
      <c r="F321" s="249"/>
      <c r="G321" s="250"/>
      <c r="H321" s="250"/>
      <c r="I321" s="250"/>
      <c r="J321" s="253"/>
      <c r="K321" s="250"/>
      <c r="L321" s="279">
        <v>5115.2299999999996</v>
      </c>
      <c r="M321" s="273"/>
      <c r="N321" s="280">
        <v>150002.68</v>
      </c>
      <c r="AF321" s="246"/>
      <c r="AG321" s="255"/>
      <c r="AH321" s="255"/>
      <c r="AN321" s="255" t="s">
        <v>580</v>
      </c>
    </row>
    <row r="322" spans="1:40" s="210" customFormat="1" ht="14.4" x14ac:dyDescent="0.3">
      <c r="A322" s="483" t="s">
        <v>849</v>
      </c>
      <c r="B322" s="484"/>
      <c r="C322" s="484"/>
      <c r="D322" s="484"/>
      <c r="E322" s="484"/>
      <c r="F322" s="484"/>
      <c r="G322" s="484"/>
      <c r="H322" s="484"/>
      <c r="I322" s="484"/>
      <c r="J322" s="484"/>
      <c r="K322" s="484"/>
      <c r="L322" s="484"/>
      <c r="M322" s="484"/>
      <c r="N322" s="485"/>
      <c r="AF322" s="246"/>
      <c r="AG322" s="255" t="s">
        <v>849</v>
      </c>
      <c r="AH322" s="255"/>
      <c r="AN322" s="255"/>
    </row>
    <row r="323" spans="1:40" s="210" customFormat="1" ht="31.8" x14ac:dyDescent="0.3">
      <c r="A323" s="247" t="s">
        <v>850</v>
      </c>
      <c r="B323" s="371" t="s">
        <v>851</v>
      </c>
      <c r="C323" s="441" t="s">
        <v>852</v>
      </c>
      <c r="D323" s="441"/>
      <c r="E323" s="441"/>
      <c r="F323" s="249" t="s">
        <v>493</v>
      </c>
      <c r="G323" s="250">
        <v>80</v>
      </c>
      <c r="H323" s="251">
        <v>1</v>
      </c>
      <c r="I323" s="251">
        <v>80</v>
      </c>
      <c r="J323" s="253"/>
      <c r="K323" s="250"/>
      <c r="L323" s="253"/>
      <c r="M323" s="250"/>
      <c r="N323" s="254"/>
      <c r="AF323" s="246"/>
      <c r="AG323" s="255"/>
      <c r="AH323" s="255" t="s">
        <v>852</v>
      </c>
      <c r="AN323" s="255"/>
    </row>
    <row r="324" spans="1:40" s="210" customFormat="1" ht="14.4" x14ac:dyDescent="0.3">
      <c r="A324" s="256"/>
      <c r="B324" s="369"/>
      <c r="C324" s="435" t="s">
        <v>853</v>
      </c>
      <c r="D324" s="435"/>
      <c r="E324" s="435"/>
      <c r="F324" s="435"/>
      <c r="G324" s="435"/>
      <c r="H324" s="435"/>
      <c r="I324" s="435"/>
      <c r="J324" s="435"/>
      <c r="K324" s="435"/>
      <c r="L324" s="435"/>
      <c r="M324" s="435"/>
      <c r="N324" s="442"/>
      <c r="AF324" s="246"/>
      <c r="AG324" s="255"/>
      <c r="AH324" s="255"/>
      <c r="AI324" s="258" t="s">
        <v>853</v>
      </c>
      <c r="AN324" s="255"/>
    </row>
    <row r="325" spans="1:40" s="210" customFormat="1" ht="52.2" x14ac:dyDescent="0.3">
      <c r="A325" s="283"/>
      <c r="B325" s="260" t="s">
        <v>704</v>
      </c>
      <c r="C325" s="443" t="s">
        <v>705</v>
      </c>
      <c r="D325" s="443"/>
      <c r="E325" s="443"/>
      <c r="F325" s="443"/>
      <c r="G325" s="443"/>
      <c r="H325" s="443"/>
      <c r="I325" s="443"/>
      <c r="J325" s="443"/>
      <c r="K325" s="443"/>
      <c r="L325" s="443"/>
      <c r="M325" s="443"/>
      <c r="N325" s="444"/>
      <c r="AF325" s="246"/>
      <c r="AG325" s="255"/>
      <c r="AH325" s="255"/>
      <c r="AJ325" s="258" t="s">
        <v>705</v>
      </c>
      <c r="AN325" s="255"/>
    </row>
    <row r="326" spans="1:40" s="210" customFormat="1" ht="14.4" x14ac:dyDescent="0.3">
      <c r="A326" s="259"/>
      <c r="B326" s="260" t="s">
        <v>301</v>
      </c>
      <c r="C326" s="435" t="s">
        <v>566</v>
      </c>
      <c r="D326" s="435"/>
      <c r="E326" s="435"/>
      <c r="F326" s="261"/>
      <c r="G326" s="262"/>
      <c r="H326" s="262"/>
      <c r="I326" s="262"/>
      <c r="J326" s="263">
        <v>3.27</v>
      </c>
      <c r="K326" s="267">
        <v>1.1499999999999999</v>
      </c>
      <c r="L326" s="263">
        <v>300.83999999999997</v>
      </c>
      <c r="M326" s="264">
        <v>41.8</v>
      </c>
      <c r="N326" s="265">
        <v>12575.11</v>
      </c>
      <c r="AF326" s="246"/>
      <c r="AG326" s="255"/>
      <c r="AH326" s="255"/>
      <c r="AK326" s="258" t="s">
        <v>566</v>
      </c>
      <c r="AN326" s="255"/>
    </row>
    <row r="327" spans="1:40" s="210" customFormat="1" ht="14.4" x14ac:dyDescent="0.3">
      <c r="A327" s="259"/>
      <c r="B327" s="260" t="s">
        <v>592</v>
      </c>
      <c r="C327" s="435" t="s">
        <v>593</v>
      </c>
      <c r="D327" s="435"/>
      <c r="E327" s="435"/>
      <c r="F327" s="261"/>
      <c r="G327" s="262"/>
      <c r="H327" s="262"/>
      <c r="I327" s="262"/>
      <c r="J327" s="263">
        <v>7.0000000000000007E-2</v>
      </c>
      <c r="K327" s="262"/>
      <c r="L327" s="263">
        <v>5.6</v>
      </c>
      <c r="M327" s="267">
        <v>8.92</v>
      </c>
      <c r="N327" s="284">
        <v>49.95</v>
      </c>
      <c r="AF327" s="246"/>
      <c r="AG327" s="255"/>
      <c r="AH327" s="255"/>
      <c r="AK327" s="258" t="s">
        <v>593</v>
      </c>
      <c r="AN327" s="255"/>
    </row>
    <row r="328" spans="1:40" s="210" customFormat="1" ht="14.4" x14ac:dyDescent="0.3">
      <c r="A328" s="268"/>
      <c r="B328" s="260"/>
      <c r="C328" s="435" t="s">
        <v>570</v>
      </c>
      <c r="D328" s="435"/>
      <c r="E328" s="435"/>
      <c r="F328" s="261" t="s">
        <v>571</v>
      </c>
      <c r="G328" s="267">
        <v>0.34</v>
      </c>
      <c r="H328" s="267">
        <v>1.1499999999999999</v>
      </c>
      <c r="I328" s="267">
        <v>31.28</v>
      </c>
      <c r="J328" s="269"/>
      <c r="K328" s="262"/>
      <c r="L328" s="269"/>
      <c r="M328" s="262"/>
      <c r="N328" s="270"/>
      <c r="AF328" s="246"/>
      <c r="AG328" s="255"/>
      <c r="AH328" s="255"/>
      <c r="AL328" s="258" t="s">
        <v>570</v>
      </c>
      <c r="AN328" s="255"/>
    </row>
    <row r="329" spans="1:40" s="210" customFormat="1" ht="14.4" x14ac:dyDescent="0.3">
      <c r="A329" s="259"/>
      <c r="B329" s="260"/>
      <c r="C329" s="436" t="s">
        <v>573</v>
      </c>
      <c r="D329" s="436"/>
      <c r="E329" s="436"/>
      <c r="F329" s="272"/>
      <c r="G329" s="273"/>
      <c r="H329" s="273"/>
      <c r="I329" s="273"/>
      <c r="J329" s="275">
        <v>3.34</v>
      </c>
      <c r="K329" s="273"/>
      <c r="L329" s="275">
        <v>306.44</v>
      </c>
      <c r="M329" s="273"/>
      <c r="N329" s="276">
        <v>12625.06</v>
      </c>
      <c r="AF329" s="246"/>
      <c r="AG329" s="255"/>
      <c r="AH329" s="255"/>
      <c r="AM329" s="258" t="s">
        <v>573</v>
      </c>
      <c r="AN329" s="255"/>
    </row>
    <row r="330" spans="1:40" s="210" customFormat="1" ht="14.4" x14ac:dyDescent="0.3">
      <c r="A330" s="268"/>
      <c r="B330" s="260"/>
      <c r="C330" s="435" t="s">
        <v>574</v>
      </c>
      <c r="D330" s="435"/>
      <c r="E330" s="435"/>
      <c r="F330" s="261"/>
      <c r="G330" s="262"/>
      <c r="H330" s="262"/>
      <c r="I330" s="262"/>
      <c r="J330" s="269"/>
      <c r="K330" s="262"/>
      <c r="L330" s="263">
        <v>300.83999999999997</v>
      </c>
      <c r="M330" s="262"/>
      <c r="N330" s="265">
        <v>12575.11</v>
      </c>
      <c r="AF330" s="246"/>
      <c r="AG330" s="255"/>
      <c r="AH330" s="255"/>
      <c r="AL330" s="258" t="s">
        <v>574</v>
      </c>
      <c r="AN330" s="255"/>
    </row>
    <row r="331" spans="1:40" s="210" customFormat="1" ht="14.4" x14ac:dyDescent="0.3">
      <c r="A331" s="268"/>
      <c r="B331" s="260" t="s">
        <v>659</v>
      </c>
      <c r="C331" s="435" t="s">
        <v>660</v>
      </c>
      <c r="D331" s="435"/>
      <c r="E331" s="435"/>
      <c r="F331" s="261" t="s">
        <v>577</v>
      </c>
      <c r="G331" s="277">
        <v>89</v>
      </c>
      <c r="H331" s="262"/>
      <c r="I331" s="277">
        <v>89</v>
      </c>
      <c r="J331" s="269"/>
      <c r="K331" s="262"/>
      <c r="L331" s="263">
        <v>267.75</v>
      </c>
      <c r="M331" s="262"/>
      <c r="N331" s="265">
        <v>11191.85</v>
      </c>
      <c r="AF331" s="246"/>
      <c r="AG331" s="255"/>
      <c r="AH331" s="255"/>
      <c r="AL331" s="258" t="s">
        <v>660</v>
      </c>
      <c r="AN331" s="255"/>
    </row>
    <row r="332" spans="1:40" s="210" customFormat="1" ht="14.4" x14ac:dyDescent="0.3">
      <c r="A332" s="268"/>
      <c r="B332" s="260" t="s">
        <v>661</v>
      </c>
      <c r="C332" s="435" t="s">
        <v>662</v>
      </c>
      <c r="D332" s="435"/>
      <c r="E332" s="435"/>
      <c r="F332" s="261" t="s">
        <v>577</v>
      </c>
      <c r="G332" s="277">
        <v>45</v>
      </c>
      <c r="H332" s="262"/>
      <c r="I332" s="277">
        <v>45</v>
      </c>
      <c r="J332" s="269"/>
      <c r="K332" s="262"/>
      <c r="L332" s="263">
        <v>135.38</v>
      </c>
      <c r="M332" s="262"/>
      <c r="N332" s="265">
        <v>5658.8</v>
      </c>
      <c r="AF332" s="246"/>
      <c r="AG332" s="255"/>
      <c r="AH332" s="255"/>
      <c r="AL332" s="258" t="s">
        <v>662</v>
      </c>
      <c r="AN332" s="255"/>
    </row>
    <row r="333" spans="1:40" s="210" customFormat="1" ht="14.4" x14ac:dyDescent="0.3">
      <c r="A333" s="278"/>
      <c r="B333" s="370"/>
      <c r="C333" s="441" t="s">
        <v>580</v>
      </c>
      <c r="D333" s="441"/>
      <c r="E333" s="441"/>
      <c r="F333" s="249"/>
      <c r="G333" s="250"/>
      <c r="H333" s="250"/>
      <c r="I333" s="250"/>
      <c r="J333" s="253"/>
      <c r="K333" s="250"/>
      <c r="L333" s="281">
        <v>709.57</v>
      </c>
      <c r="M333" s="273"/>
      <c r="N333" s="280">
        <v>29475.71</v>
      </c>
      <c r="AF333" s="246"/>
      <c r="AG333" s="255"/>
      <c r="AH333" s="255"/>
      <c r="AN333" s="255" t="s">
        <v>580</v>
      </c>
    </row>
    <row r="334" spans="1:40" s="210" customFormat="1" ht="31.8" x14ac:dyDescent="0.3">
      <c r="A334" s="247" t="s">
        <v>854</v>
      </c>
      <c r="B334" s="371" t="s">
        <v>855</v>
      </c>
      <c r="C334" s="441" t="s">
        <v>856</v>
      </c>
      <c r="D334" s="441"/>
      <c r="E334" s="441"/>
      <c r="F334" s="249" t="s">
        <v>493</v>
      </c>
      <c r="G334" s="250">
        <v>80</v>
      </c>
      <c r="H334" s="251">
        <v>1</v>
      </c>
      <c r="I334" s="251">
        <v>80</v>
      </c>
      <c r="J334" s="253"/>
      <c r="K334" s="250"/>
      <c r="L334" s="253"/>
      <c r="M334" s="250"/>
      <c r="N334" s="254"/>
      <c r="AF334" s="246"/>
      <c r="AG334" s="255"/>
      <c r="AH334" s="255" t="s">
        <v>856</v>
      </c>
      <c r="AN334" s="255"/>
    </row>
    <row r="335" spans="1:40" s="210" customFormat="1" ht="52.2" x14ac:dyDescent="0.3">
      <c r="A335" s="283"/>
      <c r="B335" s="260" t="s">
        <v>704</v>
      </c>
      <c r="C335" s="443" t="s">
        <v>705</v>
      </c>
      <c r="D335" s="443"/>
      <c r="E335" s="443"/>
      <c r="F335" s="443"/>
      <c r="G335" s="443"/>
      <c r="H335" s="443"/>
      <c r="I335" s="443"/>
      <c r="J335" s="443"/>
      <c r="K335" s="443"/>
      <c r="L335" s="443"/>
      <c r="M335" s="443"/>
      <c r="N335" s="444"/>
      <c r="AF335" s="246"/>
      <c r="AG335" s="255"/>
      <c r="AH335" s="255"/>
      <c r="AJ335" s="258" t="s">
        <v>705</v>
      </c>
      <c r="AN335" s="255"/>
    </row>
    <row r="336" spans="1:40" s="210" customFormat="1" ht="14.4" x14ac:dyDescent="0.3">
      <c r="A336" s="259"/>
      <c r="B336" s="260" t="s">
        <v>301</v>
      </c>
      <c r="C336" s="435" t="s">
        <v>566</v>
      </c>
      <c r="D336" s="435"/>
      <c r="E336" s="435"/>
      <c r="F336" s="261"/>
      <c r="G336" s="262"/>
      <c r="H336" s="262"/>
      <c r="I336" s="262"/>
      <c r="J336" s="263">
        <v>0.77</v>
      </c>
      <c r="K336" s="267">
        <v>1.1499999999999999</v>
      </c>
      <c r="L336" s="263">
        <v>70.84</v>
      </c>
      <c r="M336" s="264">
        <v>41.8</v>
      </c>
      <c r="N336" s="265">
        <v>2961.11</v>
      </c>
      <c r="AF336" s="246"/>
      <c r="AG336" s="255"/>
      <c r="AH336" s="255"/>
      <c r="AK336" s="258" t="s">
        <v>566</v>
      </c>
      <c r="AN336" s="255"/>
    </row>
    <row r="337" spans="1:40" s="210" customFormat="1" ht="14.4" x14ac:dyDescent="0.3">
      <c r="A337" s="259"/>
      <c r="B337" s="260" t="s">
        <v>592</v>
      </c>
      <c r="C337" s="435" t="s">
        <v>593</v>
      </c>
      <c r="D337" s="435"/>
      <c r="E337" s="435"/>
      <c r="F337" s="261"/>
      <c r="G337" s="262"/>
      <c r="H337" s="262"/>
      <c r="I337" s="262"/>
      <c r="J337" s="263">
        <v>0.65</v>
      </c>
      <c r="K337" s="262"/>
      <c r="L337" s="263">
        <v>52</v>
      </c>
      <c r="M337" s="267">
        <v>8.92</v>
      </c>
      <c r="N337" s="284">
        <v>463.84</v>
      </c>
      <c r="AF337" s="246"/>
      <c r="AG337" s="255"/>
      <c r="AH337" s="255"/>
      <c r="AK337" s="258" t="s">
        <v>593</v>
      </c>
      <c r="AN337" s="255"/>
    </row>
    <row r="338" spans="1:40" s="210" customFormat="1" ht="14.4" x14ac:dyDescent="0.3">
      <c r="A338" s="268"/>
      <c r="B338" s="260"/>
      <c r="C338" s="435" t="s">
        <v>570</v>
      </c>
      <c r="D338" s="435"/>
      <c r="E338" s="435"/>
      <c r="F338" s="261" t="s">
        <v>571</v>
      </c>
      <c r="G338" s="267">
        <v>0.08</v>
      </c>
      <c r="H338" s="267">
        <v>1.1499999999999999</v>
      </c>
      <c r="I338" s="267">
        <v>7.36</v>
      </c>
      <c r="J338" s="269"/>
      <c r="K338" s="262"/>
      <c r="L338" s="269"/>
      <c r="M338" s="262"/>
      <c r="N338" s="270"/>
      <c r="AF338" s="246"/>
      <c r="AG338" s="255"/>
      <c r="AH338" s="255"/>
      <c r="AL338" s="258" t="s">
        <v>570</v>
      </c>
      <c r="AN338" s="255"/>
    </row>
    <row r="339" spans="1:40" s="210" customFormat="1" ht="14.4" x14ac:dyDescent="0.3">
      <c r="A339" s="259"/>
      <c r="B339" s="260"/>
      <c r="C339" s="436" t="s">
        <v>573</v>
      </c>
      <c r="D339" s="436"/>
      <c r="E339" s="436"/>
      <c r="F339" s="272"/>
      <c r="G339" s="273"/>
      <c r="H339" s="273"/>
      <c r="I339" s="273"/>
      <c r="J339" s="275">
        <v>1.42</v>
      </c>
      <c r="K339" s="273"/>
      <c r="L339" s="275">
        <v>122.84</v>
      </c>
      <c r="M339" s="273"/>
      <c r="N339" s="276">
        <v>3424.95</v>
      </c>
      <c r="AF339" s="246"/>
      <c r="AG339" s="255"/>
      <c r="AH339" s="255"/>
      <c r="AM339" s="258" t="s">
        <v>573</v>
      </c>
      <c r="AN339" s="255"/>
    </row>
    <row r="340" spans="1:40" s="210" customFormat="1" ht="14.4" x14ac:dyDescent="0.3">
      <c r="A340" s="268"/>
      <c r="B340" s="260"/>
      <c r="C340" s="435" t="s">
        <v>574</v>
      </c>
      <c r="D340" s="435"/>
      <c r="E340" s="435"/>
      <c r="F340" s="261"/>
      <c r="G340" s="262"/>
      <c r="H340" s="262"/>
      <c r="I340" s="262"/>
      <c r="J340" s="269"/>
      <c r="K340" s="262"/>
      <c r="L340" s="263">
        <v>70.84</v>
      </c>
      <c r="M340" s="262"/>
      <c r="N340" s="265">
        <v>2961.11</v>
      </c>
      <c r="AF340" s="246"/>
      <c r="AG340" s="255"/>
      <c r="AH340" s="255"/>
      <c r="AL340" s="258" t="s">
        <v>574</v>
      </c>
      <c r="AN340" s="255"/>
    </row>
    <row r="341" spans="1:40" s="210" customFormat="1" ht="14.4" x14ac:dyDescent="0.3">
      <c r="A341" s="268"/>
      <c r="B341" s="260" t="s">
        <v>659</v>
      </c>
      <c r="C341" s="435" t="s">
        <v>660</v>
      </c>
      <c r="D341" s="435"/>
      <c r="E341" s="435"/>
      <c r="F341" s="261" t="s">
        <v>577</v>
      </c>
      <c r="G341" s="277">
        <v>89</v>
      </c>
      <c r="H341" s="262"/>
      <c r="I341" s="277">
        <v>89</v>
      </c>
      <c r="J341" s="269"/>
      <c r="K341" s="262"/>
      <c r="L341" s="263">
        <v>63.05</v>
      </c>
      <c r="M341" s="262"/>
      <c r="N341" s="265">
        <v>2635.39</v>
      </c>
      <c r="AF341" s="246"/>
      <c r="AG341" s="255"/>
      <c r="AH341" s="255"/>
      <c r="AL341" s="258" t="s">
        <v>660</v>
      </c>
      <c r="AN341" s="255"/>
    </row>
    <row r="342" spans="1:40" s="210" customFormat="1" ht="14.4" x14ac:dyDescent="0.3">
      <c r="A342" s="268"/>
      <c r="B342" s="260" t="s">
        <v>661</v>
      </c>
      <c r="C342" s="435" t="s">
        <v>662</v>
      </c>
      <c r="D342" s="435"/>
      <c r="E342" s="435"/>
      <c r="F342" s="261" t="s">
        <v>577</v>
      </c>
      <c r="G342" s="277">
        <v>45</v>
      </c>
      <c r="H342" s="262"/>
      <c r="I342" s="277">
        <v>45</v>
      </c>
      <c r="J342" s="269"/>
      <c r="K342" s="262"/>
      <c r="L342" s="263">
        <v>31.88</v>
      </c>
      <c r="M342" s="262"/>
      <c r="N342" s="265">
        <v>1332.5</v>
      </c>
      <c r="AF342" s="246"/>
      <c r="AG342" s="255"/>
      <c r="AH342" s="255"/>
      <c r="AL342" s="258" t="s">
        <v>662</v>
      </c>
      <c r="AN342" s="255"/>
    </row>
    <row r="343" spans="1:40" s="210" customFormat="1" ht="14.4" x14ac:dyDescent="0.3">
      <c r="A343" s="278"/>
      <c r="B343" s="370"/>
      <c r="C343" s="441" t="s">
        <v>580</v>
      </c>
      <c r="D343" s="441"/>
      <c r="E343" s="441"/>
      <c r="F343" s="249"/>
      <c r="G343" s="250"/>
      <c r="H343" s="250"/>
      <c r="I343" s="250"/>
      <c r="J343" s="253"/>
      <c r="K343" s="250"/>
      <c r="L343" s="281">
        <v>217.77</v>
      </c>
      <c r="M343" s="273"/>
      <c r="N343" s="280">
        <v>7392.84</v>
      </c>
      <c r="AF343" s="246"/>
      <c r="AG343" s="255"/>
      <c r="AH343" s="255"/>
      <c r="AN343" s="255" t="s">
        <v>580</v>
      </c>
    </row>
    <row r="344" spans="1:40" s="210" customFormat="1" ht="31.8" x14ac:dyDescent="0.3">
      <c r="A344" s="247" t="s">
        <v>314</v>
      </c>
      <c r="B344" s="371" t="s">
        <v>657</v>
      </c>
      <c r="C344" s="441" t="s">
        <v>658</v>
      </c>
      <c r="D344" s="441"/>
      <c r="E344" s="441"/>
      <c r="F344" s="249" t="s">
        <v>493</v>
      </c>
      <c r="G344" s="250">
        <v>80</v>
      </c>
      <c r="H344" s="251">
        <v>1</v>
      </c>
      <c r="I344" s="251">
        <v>80</v>
      </c>
      <c r="J344" s="253"/>
      <c r="K344" s="250"/>
      <c r="L344" s="253"/>
      <c r="M344" s="250"/>
      <c r="N344" s="254"/>
      <c r="AF344" s="246"/>
      <c r="AG344" s="255"/>
      <c r="AH344" s="255" t="s">
        <v>658</v>
      </c>
      <c r="AN344" s="255"/>
    </row>
    <row r="345" spans="1:40" s="210" customFormat="1" ht="52.2" x14ac:dyDescent="0.3">
      <c r="A345" s="283"/>
      <c r="B345" s="260" t="s">
        <v>704</v>
      </c>
      <c r="C345" s="443" t="s">
        <v>705</v>
      </c>
      <c r="D345" s="443"/>
      <c r="E345" s="443"/>
      <c r="F345" s="443"/>
      <c r="G345" s="443"/>
      <c r="H345" s="443"/>
      <c r="I345" s="443"/>
      <c r="J345" s="443"/>
      <c r="K345" s="443"/>
      <c r="L345" s="443"/>
      <c r="M345" s="443"/>
      <c r="N345" s="444"/>
      <c r="AF345" s="246"/>
      <c r="AG345" s="255"/>
      <c r="AH345" s="255"/>
      <c r="AJ345" s="258" t="s">
        <v>705</v>
      </c>
      <c r="AN345" s="255"/>
    </row>
    <row r="346" spans="1:40" s="210" customFormat="1" ht="14.4" x14ac:dyDescent="0.3">
      <c r="A346" s="259"/>
      <c r="B346" s="260" t="s">
        <v>301</v>
      </c>
      <c r="C346" s="435" t="s">
        <v>566</v>
      </c>
      <c r="D346" s="435"/>
      <c r="E346" s="435"/>
      <c r="F346" s="261"/>
      <c r="G346" s="262"/>
      <c r="H346" s="262"/>
      <c r="I346" s="262"/>
      <c r="J346" s="263">
        <v>1.77</v>
      </c>
      <c r="K346" s="267">
        <v>1.1499999999999999</v>
      </c>
      <c r="L346" s="263">
        <v>162.84</v>
      </c>
      <c r="M346" s="264">
        <v>41.8</v>
      </c>
      <c r="N346" s="265">
        <v>6806.71</v>
      </c>
      <c r="AF346" s="246"/>
      <c r="AG346" s="255"/>
      <c r="AH346" s="255"/>
      <c r="AK346" s="258" t="s">
        <v>566</v>
      </c>
      <c r="AN346" s="255"/>
    </row>
    <row r="347" spans="1:40" s="210" customFormat="1" ht="14.4" x14ac:dyDescent="0.3">
      <c r="A347" s="259"/>
      <c r="B347" s="260" t="s">
        <v>592</v>
      </c>
      <c r="C347" s="435" t="s">
        <v>593</v>
      </c>
      <c r="D347" s="435"/>
      <c r="E347" s="435"/>
      <c r="F347" s="261"/>
      <c r="G347" s="262"/>
      <c r="H347" s="262"/>
      <c r="I347" s="262"/>
      <c r="J347" s="263">
        <v>0.04</v>
      </c>
      <c r="K347" s="262"/>
      <c r="L347" s="263">
        <v>3.2</v>
      </c>
      <c r="M347" s="267">
        <v>8.92</v>
      </c>
      <c r="N347" s="284">
        <v>28.54</v>
      </c>
      <c r="AF347" s="246"/>
      <c r="AG347" s="255"/>
      <c r="AH347" s="255"/>
      <c r="AK347" s="258" t="s">
        <v>593</v>
      </c>
      <c r="AN347" s="255"/>
    </row>
    <row r="348" spans="1:40" s="210" customFormat="1" ht="14.4" x14ac:dyDescent="0.3">
      <c r="A348" s="268"/>
      <c r="B348" s="260"/>
      <c r="C348" s="435" t="s">
        <v>570</v>
      </c>
      <c r="D348" s="435"/>
      <c r="E348" s="435"/>
      <c r="F348" s="261" t="s">
        <v>571</v>
      </c>
      <c r="G348" s="267">
        <v>0.16</v>
      </c>
      <c r="H348" s="267">
        <v>1.1499999999999999</v>
      </c>
      <c r="I348" s="267">
        <v>14.72</v>
      </c>
      <c r="J348" s="269"/>
      <c r="K348" s="262"/>
      <c r="L348" s="269"/>
      <c r="M348" s="262"/>
      <c r="N348" s="270"/>
      <c r="AF348" s="246"/>
      <c r="AG348" s="255"/>
      <c r="AH348" s="255"/>
      <c r="AL348" s="258" t="s">
        <v>570</v>
      </c>
      <c r="AN348" s="255"/>
    </row>
    <row r="349" spans="1:40" s="210" customFormat="1" ht="14.4" x14ac:dyDescent="0.3">
      <c r="A349" s="259"/>
      <c r="B349" s="260"/>
      <c r="C349" s="436" t="s">
        <v>573</v>
      </c>
      <c r="D349" s="436"/>
      <c r="E349" s="436"/>
      <c r="F349" s="272"/>
      <c r="G349" s="273"/>
      <c r="H349" s="273"/>
      <c r="I349" s="273"/>
      <c r="J349" s="275">
        <v>1.81</v>
      </c>
      <c r="K349" s="273"/>
      <c r="L349" s="275">
        <v>166.04</v>
      </c>
      <c r="M349" s="273"/>
      <c r="N349" s="276">
        <v>6835.25</v>
      </c>
      <c r="AF349" s="246"/>
      <c r="AG349" s="255"/>
      <c r="AH349" s="255"/>
      <c r="AM349" s="258" t="s">
        <v>573</v>
      </c>
      <c r="AN349" s="255"/>
    </row>
    <row r="350" spans="1:40" s="210" customFormat="1" ht="14.4" x14ac:dyDescent="0.3">
      <c r="A350" s="268"/>
      <c r="B350" s="260"/>
      <c r="C350" s="435" t="s">
        <v>574</v>
      </c>
      <c r="D350" s="435"/>
      <c r="E350" s="435"/>
      <c r="F350" s="261"/>
      <c r="G350" s="262"/>
      <c r="H350" s="262"/>
      <c r="I350" s="262"/>
      <c r="J350" s="269"/>
      <c r="K350" s="262"/>
      <c r="L350" s="263">
        <v>162.84</v>
      </c>
      <c r="M350" s="262"/>
      <c r="N350" s="265">
        <v>6806.71</v>
      </c>
      <c r="AF350" s="246"/>
      <c r="AG350" s="255"/>
      <c r="AH350" s="255"/>
      <c r="AL350" s="258" t="s">
        <v>574</v>
      </c>
      <c r="AN350" s="255"/>
    </row>
    <row r="351" spans="1:40" s="210" customFormat="1" ht="14.4" x14ac:dyDescent="0.3">
      <c r="A351" s="268"/>
      <c r="B351" s="260" t="s">
        <v>659</v>
      </c>
      <c r="C351" s="435" t="s">
        <v>660</v>
      </c>
      <c r="D351" s="435"/>
      <c r="E351" s="435"/>
      <c r="F351" s="261" t="s">
        <v>577</v>
      </c>
      <c r="G351" s="277">
        <v>89</v>
      </c>
      <c r="H351" s="262"/>
      <c r="I351" s="277">
        <v>89</v>
      </c>
      <c r="J351" s="269"/>
      <c r="K351" s="262"/>
      <c r="L351" s="263">
        <v>144.93</v>
      </c>
      <c r="M351" s="262"/>
      <c r="N351" s="265">
        <v>6057.97</v>
      </c>
      <c r="AF351" s="246"/>
      <c r="AG351" s="255"/>
      <c r="AH351" s="255"/>
      <c r="AL351" s="258" t="s">
        <v>660</v>
      </c>
      <c r="AN351" s="255"/>
    </row>
    <row r="352" spans="1:40" s="210" customFormat="1" ht="14.4" x14ac:dyDescent="0.3">
      <c r="A352" s="268"/>
      <c r="B352" s="260" t="s">
        <v>661</v>
      </c>
      <c r="C352" s="435" t="s">
        <v>662</v>
      </c>
      <c r="D352" s="435"/>
      <c r="E352" s="435"/>
      <c r="F352" s="261" t="s">
        <v>577</v>
      </c>
      <c r="G352" s="277">
        <v>45</v>
      </c>
      <c r="H352" s="262"/>
      <c r="I352" s="277">
        <v>45</v>
      </c>
      <c r="J352" s="269"/>
      <c r="K352" s="262"/>
      <c r="L352" s="263">
        <v>73.28</v>
      </c>
      <c r="M352" s="262"/>
      <c r="N352" s="265">
        <v>3063.02</v>
      </c>
      <c r="AF352" s="246"/>
      <c r="AG352" s="255"/>
      <c r="AH352" s="255"/>
      <c r="AL352" s="258" t="s">
        <v>662</v>
      </c>
      <c r="AN352" s="255"/>
    </row>
    <row r="353" spans="1:43" s="210" customFormat="1" ht="14.4" x14ac:dyDescent="0.3">
      <c r="A353" s="278"/>
      <c r="B353" s="370"/>
      <c r="C353" s="441" t="s">
        <v>580</v>
      </c>
      <c r="D353" s="441"/>
      <c r="E353" s="441"/>
      <c r="F353" s="249"/>
      <c r="G353" s="250"/>
      <c r="H353" s="250"/>
      <c r="I353" s="250"/>
      <c r="J353" s="253"/>
      <c r="K353" s="250"/>
      <c r="L353" s="281">
        <v>384.25</v>
      </c>
      <c r="M353" s="273"/>
      <c r="N353" s="280">
        <v>15956.24</v>
      </c>
      <c r="AF353" s="246"/>
      <c r="AG353" s="255"/>
      <c r="AH353" s="255"/>
      <c r="AN353" s="255" t="s">
        <v>580</v>
      </c>
    </row>
    <row r="354" spans="1:43" s="210" customFormat="1" ht="52.2" x14ac:dyDescent="0.3">
      <c r="A354" s="247" t="s">
        <v>857</v>
      </c>
      <c r="B354" s="371" t="s">
        <v>664</v>
      </c>
      <c r="C354" s="441" t="s">
        <v>665</v>
      </c>
      <c r="D354" s="441"/>
      <c r="E354" s="441"/>
      <c r="F354" s="249" t="s">
        <v>493</v>
      </c>
      <c r="G354" s="250">
        <v>80</v>
      </c>
      <c r="H354" s="251">
        <v>1</v>
      </c>
      <c r="I354" s="251">
        <v>80</v>
      </c>
      <c r="J354" s="253"/>
      <c r="K354" s="250"/>
      <c r="L354" s="253"/>
      <c r="M354" s="250"/>
      <c r="N354" s="254"/>
      <c r="AF354" s="246"/>
      <c r="AG354" s="255"/>
      <c r="AH354" s="255" t="s">
        <v>665</v>
      </c>
      <c r="AN354" s="255"/>
    </row>
    <row r="355" spans="1:43" s="210" customFormat="1" ht="21.6" x14ac:dyDescent="0.3">
      <c r="A355" s="283"/>
      <c r="B355" s="260" t="s">
        <v>666</v>
      </c>
      <c r="C355" s="443" t="s">
        <v>667</v>
      </c>
      <c r="D355" s="443"/>
      <c r="E355" s="443"/>
      <c r="F355" s="443"/>
      <c r="G355" s="443"/>
      <c r="H355" s="443"/>
      <c r="I355" s="443"/>
      <c r="J355" s="443"/>
      <c r="K355" s="443"/>
      <c r="L355" s="443"/>
      <c r="M355" s="443"/>
      <c r="N355" s="444"/>
      <c r="AF355" s="246"/>
      <c r="AG355" s="255"/>
      <c r="AH355" s="255"/>
      <c r="AJ355" s="258" t="s">
        <v>667</v>
      </c>
      <c r="AN355" s="255"/>
    </row>
    <row r="356" spans="1:43" s="210" customFormat="1" ht="52.2" x14ac:dyDescent="0.3">
      <c r="A356" s="283"/>
      <c r="B356" s="260" t="s">
        <v>704</v>
      </c>
      <c r="C356" s="443" t="s">
        <v>705</v>
      </c>
      <c r="D356" s="443"/>
      <c r="E356" s="443"/>
      <c r="F356" s="443"/>
      <c r="G356" s="443"/>
      <c r="H356" s="443"/>
      <c r="I356" s="443"/>
      <c r="J356" s="443"/>
      <c r="K356" s="443"/>
      <c r="L356" s="443"/>
      <c r="M356" s="443"/>
      <c r="N356" s="444"/>
      <c r="AF356" s="246"/>
      <c r="AG356" s="255"/>
      <c r="AH356" s="255"/>
      <c r="AJ356" s="258" t="s">
        <v>705</v>
      </c>
      <c r="AN356" s="255"/>
    </row>
    <row r="357" spans="1:43" s="210" customFormat="1" ht="14.4" x14ac:dyDescent="0.3">
      <c r="A357" s="259"/>
      <c r="B357" s="260" t="s">
        <v>301</v>
      </c>
      <c r="C357" s="435" t="s">
        <v>566</v>
      </c>
      <c r="D357" s="435"/>
      <c r="E357" s="435"/>
      <c r="F357" s="261"/>
      <c r="G357" s="262"/>
      <c r="H357" s="262"/>
      <c r="I357" s="262"/>
      <c r="J357" s="263">
        <v>9.06</v>
      </c>
      <c r="K357" s="271">
        <v>1.4375</v>
      </c>
      <c r="L357" s="266">
        <v>1041.9000000000001</v>
      </c>
      <c r="M357" s="264">
        <v>41.8</v>
      </c>
      <c r="N357" s="265">
        <v>43551.42</v>
      </c>
      <c r="AF357" s="246"/>
      <c r="AG357" s="255"/>
      <c r="AH357" s="255"/>
      <c r="AK357" s="258" t="s">
        <v>566</v>
      </c>
      <c r="AN357" s="255"/>
    </row>
    <row r="358" spans="1:43" s="210" customFormat="1" ht="14.4" x14ac:dyDescent="0.3">
      <c r="A358" s="259"/>
      <c r="B358" s="260" t="s">
        <v>304</v>
      </c>
      <c r="C358" s="435" t="s">
        <v>567</v>
      </c>
      <c r="D358" s="435"/>
      <c r="E358" s="435"/>
      <c r="F358" s="261"/>
      <c r="G358" s="262"/>
      <c r="H358" s="262"/>
      <c r="I358" s="262"/>
      <c r="J358" s="263">
        <v>3</v>
      </c>
      <c r="K358" s="271">
        <v>1.4375</v>
      </c>
      <c r="L358" s="263">
        <v>345</v>
      </c>
      <c r="M358" s="267">
        <v>13.59</v>
      </c>
      <c r="N358" s="265">
        <v>4688.55</v>
      </c>
      <c r="AF358" s="246"/>
      <c r="AG358" s="255"/>
      <c r="AH358" s="255"/>
      <c r="AK358" s="258" t="s">
        <v>567</v>
      </c>
      <c r="AN358" s="255"/>
    </row>
    <row r="359" spans="1:43" s="210" customFormat="1" ht="14.4" x14ac:dyDescent="0.3">
      <c r="A359" s="259"/>
      <c r="B359" s="260" t="s">
        <v>592</v>
      </c>
      <c r="C359" s="435" t="s">
        <v>593</v>
      </c>
      <c r="D359" s="435"/>
      <c r="E359" s="435"/>
      <c r="F359" s="261"/>
      <c r="G359" s="262"/>
      <c r="H359" s="262"/>
      <c r="I359" s="262"/>
      <c r="J359" s="263">
        <v>2.59</v>
      </c>
      <c r="K359" s="262"/>
      <c r="L359" s="263">
        <v>207.2</v>
      </c>
      <c r="M359" s="267">
        <v>8.92</v>
      </c>
      <c r="N359" s="265">
        <v>1848.22</v>
      </c>
      <c r="AF359" s="246"/>
      <c r="AG359" s="255"/>
      <c r="AH359" s="255"/>
      <c r="AK359" s="258" t="s">
        <v>593</v>
      </c>
      <c r="AN359" s="255"/>
    </row>
    <row r="360" spans="1:43" s="210" customFormat="1" ht="14.4" x14ac:dyDescent="0.3">
      <c r="A360" s="268"/>
      <c r="B360" s="260"/>
      <c r="C360" s="435" t="s">
        <v>570</v>
      </c>
      <c r="D360" s="435"/>
      <c r="E360" s="435"/>
      <c r="F360" s="261" t="s">
        <v>571</v>
      </c>
      <c r="G360" s="267">
        <v>0.84</v>
      </c>
      <c r="H360" s="271">
        <v>1.4375</v>
      </c>
      <c r="I360" s="264">
        <v>96.6</v>
      </c>
      <c r="J360" s="269"/>
      <c r="K360" s="262"/>
      <c r="L360" s="269"/>
      <c r="M360" s="262"/>
      <c r="N360" s="270"/>
      <c r="AF360" s="246"/>
      <c r="AG360" s="255"/>
      <c r="AH360" s="255"/>
      <c r="AL360" s="258" t="s">
        <v>570</v>
      </c>
      <c r="AN360" s="255"/>
    </row>
    <row r="361" spans="1:43" s="210" customFormat="1" ht="14.4" x14ac:dyDescent="0.3">
      <c r="A361" s="259"/>
      <c r="B361" s="260"/>
      <c r="C361" s="436" t="s">
        <v>573</v>
      </c>
      <c r="D361" s="436"/>
      <c r="E361" s="436"/>
      <c r="F361" s="272"/>
      <c r="G361" s="273"/>
      <c r="H361" s="273"/>
      <c r="I361" s="273"/>
      <c r="J361" s="275">
        <v>14.65</v>
      </c>
      <c r="K361" s="273"/>
      <c r="L361" s="274">
        <v>1594.1</v>
      </c>
      <c r="M361" s="273"/>
      <c r="N361" s="276">
        <v>50088.19</v>
      </c>
      <c r="AF361" s="246"/>
      <c r="AG361" s="255"/>
      <c r="AH361" s="255"/>
      <c r="AM361" s="258" t="s">
        <v>573</v>
      </c>
      <c r="AN361" s="255"/>
    </row>
    <row r="362" spans="1:43" s="210" customFormat="1" ht="14.4" x14ac:dyDescent="0.3">
      <c r="A362" s="268"/>
      <c r="B362" s="260"/>
      <c r="C362" s="435" t="s">
        <v>574</v>
      </c>
      <c r="D362" s="435"/>
      <c r="E362" s="435"/>
      <c r="F362" s="261"/>
      <c r="G362" s="262"/>
      <c r="H362" s="262"/>
      <c r="I362" s="262"/>
      <c r="J362" s="269"/>
      <c r="K362" s="262"/>
      <c r="L362" s="266">
        <v>1041.9000000000001</v>
      </c>
      <c r="M362" s="262"/>
      <c r="N362" s="265">
        <v>43551.42</v>
      </c>
      <c r="AF362" s="246"/>
      <c r="AG362" s="255"/>
      <c r="AH362" s="255"/>
      <c r="AL362" s="258" t="s">
        <v>574</v>
      </c>
      <c r="AN362" s="255"/>
    </row>
    <row r="363" spans="1:43" s="210" customFormat="1" ht="14.4" x14ac:dyDescent="0.3">
      <c r="A363" s="268"/>
      <c r="B363" s="260" t="s">
        <v>659</v>
      </c>
      <c r="C363" s="435" t="s">
        <v>660</v>
      </c>
      <c r="D363" s="435"/>
      <c r="E363" s="435"/>
      <c r="F363" s="261" t="s">
        <v>577</v>
      </c>
      <c r="G363" s="277">
        <v>89</v>
      </c>
      <c r="H363" s="262"/>
      <c r="I363" s="277">
        <v>89</v>
      </c>
      <c r="J363" s="269"/>
      <c r="K363" s="262"/>
      <c r="L363" s="263">
        <v>927.29</v>
      </c>
      <c r="M363" s="262"/>
      <c r="N363" s="265">
        <v>38760.76</v>
      </c>
      <c r="AF363" s="246"/>
      <c r="AG363" s="255"/>
      <c r="AH363" s="255"/>
      <c r="AL363" s="258" t="s">
        <v>660</v>
      </c>
      <c r="AN363" s="255"/>
    </row>
    <row r="364" spans="1:43" s="210" customFormat="1" ht="14.4" x14ac:dyDescent="0.3">
      <c r="A364" s="268"/>
      <c r="B364" s="260" t="s">
        <v>661</v>
      </c>
      <c r="C364" s="435" t="s">
        <v>662</v>
      </c>
      <c r="D364" s="435"/>
      <c r="E364" s="435"/>
      <c r="F364" s="261" t="s">
        <v>577</v>
      </c>
      <c r="G364" s="277">
        <v>45</v>
      </c>
      <c r="H364" s="262"/>
      <c r="I364" s="277">
        <v>45</v>
      </c>
      <c r="J364" s="269"/>
      <c r="K364" s="262"/>
      <c r="L364" s="263">
        <v>468.86</v>
      </c>
      <c r="M364" s="262"/>
      <c r="N364" s="265">
        <v>19598.14</v>
      </c>
      <c r="AF364" s="246"/>
      <c r="AG364" s="255"/>
      <c r="AH364" s="255"/>
      <c r="AL364" s="258" t="s">
        <v>662</v>
      </c>
      <c r="AN364" s="255"/>
    </row>
    <row r="365" spans="1:43" s="210" customFormat="1" ht="14.4" x14ac:dyDescent="0.3">
      <c r="A365" s="278"/>
      <c r="B365" s="370"/>
      <c r="C365" s="441" t="s">
        <v>580</v>
      </c>
      <c r="D365" s="441"/>
      <c r="E365" s="441"/>
      <c r="F365" s="249"/>
      <c r="G365" s="250"/>
      <c r="H365" s="250"/>
      <c r="I365" s="250"/>
      <c r="J365" s="253"/>
      <c r="K365" s="250"/>
      <c r="L365" s="279">
        <v>2990.25</v>
      </c>
      <c r="M365" s="273"/>
      <c r="N365" s="280">
        <v>108447.09</v>
      </c>
      <c r="AF365" s="246"/>
      <c r="AG365" s="255"/>
      <c r="AH365" s="255"/>
      <c r="AN365" s="255" t="s">
        <v>580</v>
      </c>
    </row>
    <row r="366" spans="1:43" s="210" customFormat="1" ht="0" hidden="1" customHeight="1" x14ac:dyDescent="0.3">
      <c r="A366" s="291"/>
      <c r="B366" s="292"/>
      <c r="C366" s="292"/>
      <c r="D366" s="292"/>
      <c r="E366" s="292"/>
      <c r="F366" s="293"/>
      <c r="G366" s="293"/>
      <c r="H366" s="293"/>
      <c r="I366" s="293"/>
      <c r="J366" s="294"/>
      <c r="K366" s="293"/>
      <c r="L366" s="294"/>
      <c r="M366" s="262"/>
      <c r="N366" s="294"/>
      <c r="AF366" s="246"/>
      <c r="AG366" s="255"/>
      <c r="AH366" s="255"/>
      <c r="AN366" s="255"/>
    </row>
    <row r="367" spans="1:43" s="210" customFormat="1" ht="11.25" hidden="1" customHeight="1" x14ac:dyDescent="0.3">
      <c r="B367" s="295"/>
      <c r="C367" s="295"/>
      <c r="D367" s="295"/>
      <c r="E367" s="295"/>
      <c r="F367" s="295"/>
      <c r="G367" s="295"/>
      <c r="H367" s="295"/>
      <c r="I367" s="295"/>
      <c r="J367" s="295"/>
      <c r="K367" s="295"/>
      <c r="L367" s="296"/>
      <c r="M367" s="296"/>
      <c r="N367" s="296"/>
      <c r="R367" s="297"/>
    </row>
    <row r="368" spans="1:43" s="210" customFormat="1" ht="14.4" x14ac:dyDescent="0.3">
      <c r="A368" s="298"/>
      <c r="B368" s="299"/>
      <c r="C368" s="441" t="s">
        <v>668</v>
      </c>
      <c r="D368" s="441"/>
      <c r="E368" s="441"/>
      <c r="F368" s="441"/>
      <c r="G368" s="441"/>
      <c r="H368" s="441"/>
      <c r="I368" s="441"/>
      <c r="J368" s="441"/>
      <c r="K368" s="441"/>
      <c r="L368" s="300"/>
      <c r="M368" s="301"/>
      <c r="N368" s="302"/>
      <c r="AQ368" s="255" t="s">
        <v>668</v>
      </c>
    </row>
    <row r="369" spans="1:44" s="210" customFormat="1" ht="14.4" x14ac:dyDescent="0.3">
      <c r="A369" s="303"/>
      <c r="B369" s="260"/>
      <c r="C369" s="435" t="s">
        <v>669</v>
      </c>
      <c r="D369" s="435"/>
      <c r="E369" s="435"/>
      <c r="F369" s="435"/>
      <c r="G369" s="435"/>
      <c r="H369" s="435"/>
      <c r="I369" s="435"/>
      <c r="J369" s="435"/>
      <c r="K369" s="435"/>
      <c r="L369" s="304">
        <v>286300.39</v>
      </c>
      <c r="M369" s="305"/>
      <c r="N369" s="306">
        <v>2955044.33</v>
      </c>
      <c r="AQ369" s="255"/>
      <c r="AR369" s="258" t="s">
        <v>669</v>
      </c>
    </row>
    <row r="370" spans="1:44" s="210" customFormat="1" ht="14.4" x14ac:dyDescent="0.3">
      <c r="A370" s="303"/>
      <c r="B370" s="260"/>
      <c r="C370" s="435" t="s">
        <v>670</v>
      </c>
      <c r="D370" s="435"/>
      <c r="E370" s="435"/>
      <c r="F370" s="435"/>
      <c r="G370" s="435"/>
      <c r="H370" s="435"/>
      <c r="I370" s="435"/>
      <c r="J370" s="435"/>
      <c r="K370" s="435"/>
      <c r="L370" s="307"/>
      <c r="M370" s="305"/>
      <c r="N370" s="308"/>
      <c r="AQ370" s="255"/>
      <c r="AR370" s="258" t="s">
        <v>670</v>
      </c>
    </row>
    <row r="371" spans="1:44" s="210" customFormat="1" ht="14.4" x14ac:dyDescent="0.3">
      <c r="A371" s="303"/>
      <c r="B371" s="260"/>
      <c r="C371" s="435" t="s">
        <v>671</v>
      </c>
      <c r="D371" s="435"/>
      <c r="E371" s="435"/>
      <c r="F371" s="435"/>
      <c r="G371" s="435"/>
      <c r="H371" s="435"/>
      <c r="I371" s="435"/>
      <c r="J371" s="435"/>
      <c r="K371" s="435"/>
      <c r="L371" s="304">
        <v>9955.43</v>
      </c>
      <c r="M371" s="305"/>
      <c r="N371" s="306">
        <v>416136.95</v>
      </c>
      <c r="AQ371" s="255"/>
      <c r="AR371" s="258" t="s">
        <v>671</v>
      </c>
    </row>
    <row r="372" spans="1:44" s="210" customFormat="1" ht="14.4" x14ac:dyDescent="0.3">
      <c r="A372" s="303"/>
      <c r="B372" s="260"/>
      <c r="C372" s="435" t="s">
        <v>672</v>
      </c>
      <c r="D372" s="435"/>
      <c r="E372" s="435"/>
      <c r="F372" s="435"/>
      <c r="G372" s="435"/>
      <c r="H372" s="435"/>
      <c r="I372" s="435"/>
      <c r="J372" s="435"/>
      <c r="K372" s="435"/>
      <c r="L372" s="304">
        <v>15826.63</v>
      </c>
      <c r="M372" s="305"/>
      <c r="N372" s="306">
        <v>215083.89</v>
      </c>
      <c r="AQ372" s="255"/>
      <c r="AR372" s="258" t="s">
        <v>672</v>
      </c>
    </row>
    <row r="373" spans="1:44" s="210" customFormat="1" ht="14.4" x14ac:dyDescent="0.3">
      <c r="A373" s="303"/>
      <c r="B373" s="260"/>
      <c r="C373" s="435" t="s">
        <v>673</v>
      </c>
      <c r="D373" s="435"/>
      <c r="E373" s="435"/>
      <c r="F373" s="435"/>
      <c r="G373" s="435"/>
      <c r="H373" s="435"/>
      <c r="I373" s="435"/>
      <c r="J373" s="435"/>
      <c r="K373" s="435"/>
      <c r="L373" s="304">
        <v>1538.4</v>
      </c>
      <c r="M373" s="305"/>
      <c r="N373" s="306">
        <v>64305.120000000003</v>
      </c>
      <c r="AQ373" s="255"/>
      <c r="AR373" s="258" t="s">
        <v>673</v>
      </c>
    </row>
    <row r="374" spans="1:44" s="210" customFormat="1" ht="14.4" x14ac:dyDescent="0.3">
      <c r="A374" s="303"/>
      <c r="B374" s="260"/>
      <c r="C374" s="435" t="s">
        <v>674</v>
      </c>
      <c r="D374" s="435"/>
      <c r="E374" s="435"/>
      <c r="F374" s="435"/>
      <c r="G374" s="435"/>
      <c r="H374" s="435"/>
      <c r="I374" s="435"/>
      <c r="J374" s="435"/>
      <c r="K374" s="435"/>
      <c r="L374" s="304">
        <v>260518.33</v>
      </c>
      <c r="M374" s="305"/>
      <c r="N374" s="306">
        <v>2323823.4900000002</v>
      </c>
      <c r="AQ374" s="255"/>
      <c r="AR374" s="258" t="s">
        <v>674</v>
      </c>
    </row>
    <row r="375" spans="1:44" s="210" customFormat="1" ht="14.4" x14ac:dyDescent="0.3">
      <c r="A375" s="303"/>
      <c r="B375" s="260"/>
      <c r="C375" s="435" t="s">
        <v>675</v>
      </c>
      <c r="D375" s="435"/>
      <c r="E375" s="435"/>
      <c r="F375" s="435"/>
      <c r="G375" s="435"/>
      <c r="H375" s="435"/>
      <c r="I375" s="435"/>
      <c r="J375" s="435"/>
      <c r="K375" s="435"/>
      <c r="L375" s="304">
        <v>299193.86</v>
      </c>
      <c r="M375" s="305"/>
      <c r="N375" s="306">
        <v>3515767.15</v>
      </c>
      <c r="AQ375" s="255"/>
      <c r="AR375" s="258" t="s">
        <v>675</v>
      </c>
    </row>
    <row r="376" spans="1:44" s="210" customFormat="1" ht="14.4" x14ac:dyDescent="0.3">
      <c r="A376" s="303"/>
      <c r="B376" s="260"/>
      <c r="C376" s="435" t="s">
        <v>670</v>
      </c>
      <c r="D376" s="435"/>
      <c r="E376" s="435"/>
      <c r="F376" s="435"/>
      <c r="G376" s="435"/>
      <c r="H376" s="435"/>
      <c r="I376" s="435"/>
      <c r="J376" s="435"/>
      <c r="K376" s="435"/>
      <c r="L376" s="307"/>
      <c r="M376" s="305"/>
      <c r="N376" s="308"/>
      <c r="AQ376" s="255"/>
      <c r="AR376" s="258" t="s">
        <v>670</v>
      </c>
    </row>
    <row r="377" spans="1:44" s="210" customFormat="1" ht="14.4" x14ac:dyDescent="0.3">
      <c r="A377" s="303"/>
      <c r="B377" s="260"/>
      <c r="C377" s="435" t="s">
        <v>676</v>
      </c>
      <c r="D377" s="435"/>
      <c r="E377" s="435"/>
      <c r="F377" s="435"/>
      <c r="G377" s="435"/>
      <c r="H377" s="435"/>
      <c r="I377" s="435"/>
      <c r="J377" s="435"/>
      <c r="K377" s="435"/>
      <c r="L377" s="304">
        <v>7634.5</v>
      </c>
      <c r="M377" s="305"/>
      <c r="N377" s="306">
        <v>319122.08</v>
      </c>
      <c r="AQ377" s="255"/>
      <c r="AR377" s="258" t="s">
        <v>676</v>
      </c>
    </row>
    <row r="378" spans="1:44" s="210" customFormat="1" ht="14.4" x14ac:dyDescent="0.3">
      <c r="A378" s="303"/>
      <c r="B378" s="260"/>
      <c r="C378" s="435" t="s">
        <v>677</v>
      </c>
      <c r="D378" s="435"/>
      <c r="E378" s="435"/>
      <c r="F378" s="435"/>
      <c r="G378" s="435"/>
      <c r="H378" s="435"/>
      <c r="I378" s="435"/>
      <c r="J378" s="435"/>
      <c r="K378" s="435"/>
      <c r="L378" s="304">
        <v>15442.48</v>
      </c>
      <c r="M378" s="305"/>
      <c r="N378" s="306">
        <v>209863.29</v>
      </c>
      <c r="AQ378" s="255"/>
      <c r="AR378" s="258" t="s">
        <v>677</v>
      </c>
    </row>
    <row r="379" spans="1:44" s="210" customFormat="1" ht="14.4" x14ac:dyDescent="0.3">
      <c r="A379" s="303"/>
      <c r="B379" s="260"/>
      <c r="C379" s="435" t="s">
        <v>678</v>
      </c>
      <c r="D379" s="435"/>
      <c r="E379" s="435"/>
      <c r="F379" s="435"/>
      <c r="G379" s="435"/>
      <c r="H379" s="435"/>
      <c r="I379" s="435"/>
      <c r="J379" s="435"/>
      <c r="K379" s="435"/>
      <c r="L379" s="304">
        <v>1538.4</v>
      </c>
      <c r="M379" s="305"/>
      <c r="N379" s="306">
        <v>64305.120000000003</v>
      </c>
      <c r="AQ379" s="255"/>
      <c r="AR379" s="258" t="s">
        <v>678</v>
      </c>
    </row>
    <row r="380" spans="1:44" s="210" customFormat="1" ht="14.4" x14ac:dyDescent="0.3">
      <c r="A380" s="303"/>
      <c r="B380" s="260"/>
      <c r="C380" s="435" t="s">
        <v>679</v>
      </c>
      <c r="D380" s="435"/>
      <c r="E380" s="435"/>
      <c r="F380" s="435"/>
      <c r="G380" s="435"/>
      <c r="H380" s="435"/>
      <c r="I380" s="435"/>
      <c r="J380" s="435"/>
      <c r="K380" s="435"/>
      <c r="L380" s="304">
        <v>260185.61</v>
      </c>
      <c r="M380" s="305"/>
      <c r="N380" s="306">
        <v>2320855.64</v>
      </c>
      <c r="AQ380" s="255"/>
      <c r="AR380" s="258" t="s">
        <v>679</v>
      </c>
    </row>
    <row r="381" spans="1:44" s="210" customFormat="1" ht="14.4" x14ac:dyDescent="0.3">
      <c r="A381" s="303"/>
      <c r="B381" s="260"/>
      <c r="C381" s="435" t="s">
        <v>680</v>
      </c>
      <c r="D381" s="435"/>
      <c r="E381" s="435"/>
      <c r="F381" s="435"/>
      <c r="G381" s="435"/>
      <c r="H381" s="435"/>
      <c r="I381" s="435"/>
      <c r="J381" s="435"/>
      <c r="K381" s="435"/>
      <c r="L381" s="304">
        <v>10421.65</v>
      </c>
      <c r="M381" s="305"/>
      <c r="N381" s="306">
        <v>435624.42</v>
      </c>
      <c r="AQ381" s="255"/>
      <c r="AR381" s="258" t="s">
        <v>680</v>
      </c>
    </row>
    <row r="382" spans="1:44" s="210" customFormat="1" ht="14.4" x14ac:dyDescent="0.3">
      <c r="A382" s="303"/>
      <c r="B382" s="260"/>
      <c r="C382" s="435" t="s">
        <v>681</v>
      </c>
      <c r="D382" s="435"/>
      <c r="E382" s="435"/>
      <c r="F382" s="435"/>
      <c r="G382" s="435"/>
      <c r="H382" s="435"/>
      <c r="I382" s="435"/>
      <c r="J382" s="435"/>
      <c r="K382" s="435"/>
      <c r="L382" s="304">
        <v>5509.62</v>
      </c>
      <c r="M382" s="305"/>
      <c r="N382" s="306">
        <v>230301.72</v>
      </c>
      <c r="AQ382" s="255"/>
      <c r="AR382" s="258" t="s">
        <v>681</v>
      </c>
    </row>
    <row r="383" spans="1:44" s="210" customFormat="1" ht="14.4" x14ac:dyDescent="0.3">
      <c r="A383" s="303"/>
      <c r="B383" s="260"/>
      <c r="C383" s="435" t="s">
        <v>682</v>
      </c>
      <c r="D383" s="435"/>
      <c r="E383" s="435"/>
      <c r="F383" s="435"/>
      <c r="G383" s="435"/>
      <c r="H383" s="435"/>
      <c r="I383" s="435"/>
      <c r="J383" s="435"/>
      <c r="K383" s="435"/>
      <c r="L383" s="304">
        <v>6162.75</v>
      </c>
      <c r="M383" s="305"/>
      <c r="N383" s="306">
        <v>235825.66</v>
      </c>
      <c r="AQ383" s="255"/>
      <c r="AR383" s="258" t="s">
        <v>682</v>
      </c>
    </row>
    <row r="384" spans="1:44" s="210" customFormat="1" ht="14.4" x14ac:dyDescent="0.3">
      <c r="A384" s="303"/>
      <c r="B384" s="260"/>
      <c r="C384" s="435" t="s">
        <v>670</v>
      </c>
      <c r="D384" s="435"/>
      <c r="E384" s="435"/>
      <c r="F384" s="435"/>
      <c r="G384" s="435"/>
      <c r="H384" s="435"/>
      <c r="I384" s="435"/>
      <c r="J384" s="435"/>
      <c r="K384" s="435"/>
      <c r="L384" s="307"/>
      <c r="M384" s="305"/>
      <c r="N384" s="308"/>
      <c r="AQ384" s="255"/>
      <c r="AR384" s="258" t="s">
        <v>670</v>
      </c>
    </row>
    <row r="385" spans="1:51" s="210" customFormat="1" ht="14.4" x14ac:dyDescent="0.3">
      <c r="A385" s="303"/>
      <c r="B385" s="260"/>
      <c r="C385" s="435" t="s">
        <v>676</v>
      </c>
      <c r="D385" s="435"/>
      <c r="E385" s="435"/>
      <c r="F385" s="435"/>
      <c r="G385" s="435"/>
      <c r="H385" s="435"/>
      <c r="I385" s="435"/>
      <c r="J385" s="435"/>
      <c r="K385" s="435"/>
      <c r="L385" s="304">
        <v>2320.9299999999998</v>
      </c>
      <c r="M385" s="305"/>
      <c r="N385" s="306">
        <v>97014.87</v>
      </c>
      <c r="AQ385" s="255"/>
      <c r="AR385" s="258" t="s">
        <v>676</v>
      </c>
    </row>
    <row r="386" spans="1:51" s="210" customFormat="1" ht="14.4" x14ac:dyDescent="0.3">
      <c r="A386" s="303"/>
      <c r="B386" s="260"/>
      <c r="C386" s="435" t="s">
        <v>677</v>
      </c>
      <c r="D386" s="435"/>
      <c r="E386" s="435"/>
      <c r="F386" s="435"/>
      <c r="G386" s="435"/>
      <c r="H386" s="435"/>
      <c r="I386" s="435"/>
      <c r="J386" s="435"/>
      <c r="K386" s="435"/>
      <c r="L386" s="309">
        <v>384.15</v>
      </c>
      <c r="M386" s="305"/>
      <c r="N386" s="306">
        <v>5220.6000000000004</v>
      </c>
      <c r="AQ386" s="255"/>
      <c r="AR386" s="258" t="s">
        <v>677</v>
      </c>
    </row>
    <row r="387" spans="1:51" s="210" customFormat="1" ht="14.4" x14ac:dyDescent="0.3">
      <c r="A387" s="303"/>
      <c r="B387" s="260"/>
      <c r="C387" s="435" t="s">
        <v>679</v>
      </c>
      <c r="D387" s="435"/>
      <c r="E387" s="435"/>
      <c r="F387" s="435"/>
      <c r="G387" s="435"/>
      <c r="H387" s="435"/>
      <c r="I387" s="435"/>
      <c r="J387" s="435"/>
      <c r="K387" s="435"/>
      <c r="L387" s="309">
        <v>332.72</v>
      </c>
      <c r="M387" s="305"/>
      <c r="N387" s="306">
        <v>2967.85</v>
      </c>
      <c r="AQ387" s="255"/>
      <c r="AR387" s="258" t="s">
        <v>679</v>
      </c>
    </row>
    <row r="388" spans="1:51" s="210" customFormat="1" ht="14.4" x14ac:dyDescent="0.3">
      <c r="A388" s="303"/>
      <c r="B388" s="260"/>
      <c r="C388" s="435" t="s">
        <v>680</v>
      </c>
      <c r="D388" s="435"/>
      <c r="E388" s="435"/>
      <c r="F388" s="435"/>
      <c r="G388" s="435"/>
      <c r="H388" s="435"/>
      <c r="I388" s="435"/>
      <c r="J388" s="435"/>
      <c r="K388" s="435"/>
      <c r="L388" s="304">
        <v>2073.08</v>
      </c>
      <c r="M388" s="305"/>
      <c r="N388" s="306">
        <v>86654.44</v>
      </c>
      <c r="AQ388" s="255"/>
      <c r="AR388" s="258" t="s">
        <v>680</v>
      </c>
    </row>
    <row r="389" spans="1:51" s="210" customFormat="1" ht="14.4" x14ac:dyDescent="0.3">
      <c r="A389" s="303"/>
      <c r="B389" s="260"/>
      <c r="C389" s="435" t="s">
        <v>681</v>
      </c>
      <c r="D389" s="435"/>
      <c r="E389" s="435"/>
      <c r="F389" s="435"/>
      <c r="G389" s="435"/>
      <c r="H389" s="435"/>
      <c r="I389" s="435"/>
      <c r="J389" s="435"/>
      <c r="K389" s="435"/>
      <c r="L389" s="304">
        <v>1051.8699999999999</v>
      </c>
      <c r="M389" s="305"/>
      <c r="N389" s="306">
        <v>43967.9</v>
      </c>
      <c r="AQ389" s="255"/>
      <c r="AR389" s="258" t="s">
        <v>681</v>
      </c>
    </row>
    <row r="390" spans="1:51" s="210" customFormat="1" ht="14.4" x14ac:dyDescent="0.3">
      <c r="A390" s="303"/>
      <c r="B390" s="310"/>
      <c r="C390" s="449" t="s">
        <v>683</v>
      </c>
      <c r="D390" s="449"/>
      <c r="E390" s="449"/>
      <c r="F390" s="449"/>
      <c r="G390" s="449"/>
      <c r="H390" s="449"/>
      <c r="I390" s="449"/>
      <c r="J390" s="449"/>
      <c r="K390" s="449"/>
      <c r="L390" s="312">
        <v>305356.61</v>
      </c>
      <c r="M390" s="313"/>
      <c r="N390" s="314">
        <v>3751592.81</v>
      </c>
      <c r="AQ390" s="255"/>
      <c r="AS390" s="255" t="s">
        <v>683</v>
      </c>
    </row>
    <row r="391" spans="1:51" s="210" customFormat="1" ht="14.4" x14ac:dyDescent="0.3">
      <c r="A391" s="303"/>
      <c r="B391" s="260"/>
      <c r="C391" s="435" t="s">
        <v>684</v>
      </c>
      <c r="D391" s="435"/>
      <c r="E391" s="435"/>
      <c r="F391" s="435"/>
      <c r="G391" s="435"/>
      <c r="H391" s="435"/>
      <c r="I391" s="435"/>
      <c r="J391" s="435"/>
      <c r="K391" s="435"/>
      <c r="L391" s="304">
        <v>11493.83</v>
      </c>
      <c r="M391" s="305"/>
      <c r="N391" s="306">
        <v>480442.07</v>
      </c>
      <c r="AQ391" s="255"/>
      <c r="AR391" s="258" t="s">
        <v>684</v>
      </c>
      <c r="AS391" s="255"/>
    </row>
    <row r="392" spans="1:51" s="210" customFormat="1" ht="14.4" x14ac:dyDescent="0.3">
      <c r="A392" s="303"/>
      <c r="B392" s="260"/>
      <c r="C392" s="435" t="s">
        <v>685</v>
      </c>
      <c r="D392" s="435"/>
      <c r="E392" s="435"/>
      <c r="F392" s="435"/>
      <c r="G392" s="435"/>
      <c r="H392" s="435"/>
      <c r="I392" s="435"/>
      <c r="J392" s="435"/>
      <c r="K392" s="435"/>
      <c r="L392" s="304">
        <v>12494.73</v>
      </c>
      <c r="M392" s="305"/>
      <c r="N392" s="306">
        <v>522278.86</v>
      </c>
      <c r="AQ392" s="255"/>
      <c r="AR392" s="258" t="s">
        <v>685</v>
      </c>
      <c r="AS392" s="255"/>
    </row>
    <row r="393" spans="1:51" s="210" customFormat="1" ht="14.4" x14ac:dyDescent="0.3">
      <c r="A393" s="303"/>
      <c r="B393" s="260"/>
      <c r="C393" s="435" t="s">
        <v>686</v>
      </c>
      <c r="D393" s="435"/>
      <c r="E393" s="435"/>
      <c r="F393" s="435"/>
      <c r="G393" s="435"/>
      <c r="H393" s="435"/>
      <c r="I393" s="435"/>
      <c r="J393" s="435"/>
      <c r="K393" s="435"/>
      <c r="L393" s="304">
        <v>6561.49</v>
      </c>
      <c r="M393" s="305"/>
      <c r="N393" s="306">
        <v>274269.62</v>
      </c>
      <c r="AQ393" s="255"/>
      <c r="AR393" s="258" t="s">
        <v>686</v>
      </c>
      <c r="AS393" s="255"/>
    </row>
    <row r="394" spans="1:51" s="210" customFormat="1" ht="14.4" x14ac:dyDescent="0.3">
      <c r="A394" s="303"/>
      <c r="B394" s="260"/>
      <c r="C394" s="435" t="s">
        <v>858</v>
      </c>
      <c r="D394" s="435"/>
      <c r="E394" s="435"/>
      <c r="F394" s="435"/>
      <c r="G394" s="435"/>
      <c r="H394" s="435"/>
      <c r="I394" s="435"/>
      <c r="J394" s="435"/>
      <c r="K394" s="435"/>
      <c r="L394" s="304">
        <v>7328.56</v>
      </c>
      <c r="M394" s="305"/>
      <c r="N394" s="306">
        <v>90038.23</v>
      </c>
      <c r="AQ394" s="255"/>
      <c r="AR394" s="258" t="s">
        <v>858</v>
      </c>
      <c r="AS394" s="255"/>
    </row>
    <row r="395" spans="1:51" s="210" customFormat="1" ht="14.4" x14ac:dyDescent="0.3">
      <c r="A395" s="303"/>
      <c r="B395" s="310"/>
      <c r="C395" s="449" t="s">
        <v>683</v>
      </c>
      <c r="D395" s="449"/>
      <c r="E395" s="449"/>
      <c r="F395" s="449"/>
      <c r="G395" s="449"/>
      <c r="H395" s="449"/>
      <c r="I395" s="449"/>
      <c r="J395" s="449"/>
      <c r="K395" s="449"/>
      <c r="L395" s="312">
        <v>312685.17</v>
      </c>
      <c r="M395" s="313"/>
      <c r="N395" s="314">
        <v>3841631.04</v>
      </c>
      <c r="AQ395" s="255"/>
      <c r="AS395" s="255" t="s">
        <v>683</v>
      </c>
    </row>
    <row r="396" spans="1:51" s="210" customFormat="1" ht="14.4" x14ac:dyDescent="0.3">
      <c r="A396" s="303"/>
      <c r="B396" s="260"/>
      <c r="C396" s="435" t="s">
        <v>687</v>
      </c>
      <c r="D396" s="435"/>
      <c r="E396" s="435"/>
      <c r="F396" s="435"/>
      <c r="G396" s="435"/>
      <c r="H396" s="435"/>
      <c r="I396" s="435"/>
      <c r="J396" s="435"/>
      <c r="K396" s="435"/>
      <c r="L396" s="304">
        <v>62537.03</v>
      </c>
      <c r="M396" s="305"/>
      <c r="N396" s="306">
        <v>768326.21</v>
      </c>
      <c r="AQ396" s="255"/>
      <c r="AS396" s="255"/>
      <c r="AT396" s="258" t="s">
        <v>687</v>
      </c>
    </row>
    <row r="397" spans="1:51" s="210" customFormat="1" ht="14.4" x14ac:dyDescent="0.3">
      <c r="A397" s="303"/>
      <c r="B397" s="310"/>
      <c r="C397" s="449" t="s">
        <v>688</v>
      </c>
      <c r="D397" s="449"/>
      <c r="E397" s="449"/>
      <c r="F397" s="449"/>
      <c r="G397" s="449"/>
      <c r="H397" s="449"/>
      <c r="I397" s="449"/>
      <c r="J397" s="449"/>
      <c r="K397" s="449"/>
      <c r="L397" s="312">
        <v>375222.2</v>
      </c>
      <c r="M397" s="313"/>
      <c r="N397" s="314">
        <v>4609957.25</v>
      </c>
      <c r="AQ397" s="255"/>
      <c r="AS397" s="255"/>
      <c r="AU397" s="255" t="s">
        <v>688</v>
      </c>
    </row>
    <row r="398" spans="1:51" s="210" customFormat="1" ht="13.5" hidden="1" customHeight="1" x14ac:dyDescent="0.3">
      <c r="B398" s="294"/>
      <c r="C398" s="292"/>
      <c r="D398" s="292"/>
      <c r="E398" s="292"/>
      <c r="F398" s="292"/>
      <c r="G398" s="292"/>
      <c r="H398" s="292"/>
      <c r="I398" s="292"/>
      <c r="J398" s="292"/>
      <c r="K398" s="292"/>
      <c r="L398" s="312"/>
      <c r="M398" s="315"/>
      <c r="N398" s="316"/>
    </row>
    <row r="399" spans="1:51" s="210" customFormat="1" ht="26.25" customHeight="1" x14ac:dyDescent="0.3">
      <c r="A399" s="317"/>
      <c r="B399" s="318"/>
      <c r="C399" s="318"/>
      <c r="D399" s="318"/>
      <c r="E399" s="318"/>
      <c r="F399" s="318"/>
      <c r="G399" s="318"/>
      <c r="H399" s="318"/>
      <c r="I399" s="318"/>
      <c r="J399" s="318"/>
      <c r="K399" s="318"/>
      <c r="L399" s="318"/>
      <c r="M399" s="318"/>
      <c r="N399" s="318"/>
    </row>
    <row r="400" spans="1:51" s="214" customFormat="1" ht="14.4" x14ac:dyDescent="0.3">
      <c r="A400" s="212"/>
      <c r="B400" s="319" t="s">
        <v>689</v>
      </c>
      <c r="C400" s="446"/>
      <c r="D400" s="446"/>
      <c r="E400" s="446"/>
      <c r="F400" s="446"/>
      <c r="G400" s="446"/>
      <c r="H400" s="447"/>
      <c r="I400" s="447"/>
      <c r="J400" s="447"/>
      <c r="K400" s="447"/>
      <c r="L400" s="447"/>
      <c r="M400" s="210"/>
      <c r="N400" s="210"/>
      <c r="O400" s="210"/>
      <c r="P400" s="210"/>
      <c r="Q400" s="210"/>
      <c r="R400" s="210"/>
      <c r="S400" s="210"/>
      <c r="T400" s="210"/>
      <c r="U400" s="210"/>
      <c r="V400" s="217"/>
      <c r="W400" s="217"/>
      <c r="X400" s="217"/>
      <c r="Y400" s="217"/>
      <c r="Z400" s="217"/>
      <c r="AA400" s="217"/>
      <c r="AB400" s="217"/>
      <c r="AC400" s="217"/>
      <c r="AD400" s="217"/>
      <c r="AE400" s="217"/>
      <c r="AF400" s="217"/>
      <c r="AG400" s="217"/>
      <c r="AH400" s="217"/>
      <c r="AI400" s="217"/>
      <c r="AJ400" s="217"/>
      <c r="AK400" s="217"/>
      <c r="AL400" s="217"/>
      <c r="AM400" s="217"/>
      <c r="AN400" s="217"/>
      <c r="AO400" s="217"/>
      <c r="AP400" s="217"/>
      <c r="AQ400" s="217"/>
      <c r="AR400" s="217"/>
      <c r="AS400" s="217"/>
      <c r="AT400" s="217"/>
      <c r="AU400" s="217"/>
      <c r="AV400" s="217" t="s">
        <v>521</v>
      </c>
      <c r="AW400" s="217" t="s">
        <v>690</v>
      </c>
      <c r="AX400" s="217"/>
      <c r="AY400" s="217"/>
    </row>
    <row r="401" spans="1:51" s="320" customFormat="1" ht="16.5" customHeight="1" x14ac:dyDescent="0.3">
      <c r="A401" s="215"/>
      <c r="B401" s="319"/>
      <c r="C401" s="448" t="s">
        <v>691</v>
      </c>
      <c r="D401" s="448"/>
      <c r="E401" s="448"/>
      <c r="F401" s="448"/>
      <c r="G401" s="448"/>
      <c r="H401" s="448"/>
      <c r="I401" s="448"/>
      <c r="J401" s="448"/>
      <c r="K401" s="448"/>
      <c r="L401" s="448"/>
      <c r="V401" s="321"/>
      <c r="W401" s="321"/>
      <c r="X401" s="321"/>
      <c r="Y401" s="321"/>
      <c r="Z401" s="321"/>
      <c r="AA401" s="321"/>
      <c r="AB401" s="321"/>
      <c r="AC401" s="321"/>
      <c r="AD401" s="321"/>
      <c r="AE401" s="321"/>
      <c r="AF401" s="321"/>
      <c r="AG401" s="321"/>
      <c r="AH401" s="321"/>
      <c r="AI401" s="321"/>
      <c r="AJ401" s="321"/>
      <c r="AK401" s="321"/>
      <c r="AL401" s="321"/>
      <c r="AM401" s="321"/>
      <c r="AN401" s="321"/>
      <c r="AO401" s="321"/>
      <c r="AP401" s="321"/>
      <c r="AQ401" s="321"/>
      <c r="AR401" s="321"/>
      <c r="AS401" s="321"/>
      <c r="AT401" s="321"/>
      <c r="AU401" s="321"/>
      <c r="AV401" s="321"/>
      <c r="AW401" s="321"/>
      <c r="AX401" s="321"/>
      <c r="AY401" s="321"/>
    </row>
    <row r="402" spans="1:51" s="214" customFormat="1" ht="14.4" x14ac:dyDescent="0.3">
      <c r="A402" s="212"/>
      <c r="B402" s="319" t="s">
        <v>692</v>
      </c>
      <c r="C402" s="446"/>
      <c r="D402" s="446"/>
      <c r="E402" s="446"/>
      <c r="F402" s="446"/>
      <c r="G402" s="446"/>
      <c r="H402" s="447"/>
      <c r="I402" s="447"/>
      <c r="J402" s="447"/>
      <c r="K402" s="447"/>
      <c r="L402" s="447"/>
      <c r="M402" s="210"/>
      <c r="N402" s="210"/>
      <c r="O402" s="210"/>
      <c r="P402" s="210"/>
      <c r="Q402" s="210"/>
      <c r="R402" s="210"/>
      <c r="S402" s="210"/>
      <c r="T402" s="210"/>
      <c r="U402" s="210"/>
      <c r="V402" s="217"/>
      <c r="W402" s="217"/>
      <c r="X402" s="217"/>
      <c r="Y402" s="217"/>
      <c r="Z402" s="217"/>
      <c r="AA402" s="217"/>
      <c r="AB402" s="217"/>
      <c r="AC402" s="217"/>
      <c r="AD402" s="217"/>
      <c r="AE402" s="217"/>
      <c r="AF402" s="217"/>
      <c r="AG402" s="217"/>
      <c r="AH402" s="217"/>
      <c r="AI402" s="217"/>
      <c r="AJ402" s="217"/>
      <c r="AK402" s="217"/>
      <c r="AL402" s="217"/>
      <c r="AM402" s="217"/>
      <c r="AN402" s="217"/>
      <c r="AO402" s="217"/>
      <c r="AP402" s="217"/>
      <c r="AQ402" s="217"/>
      <c r="AR402" s="217"/>
      <c r="AS402" s="217"/>
      <c r="AT402" s="217"/>
      <c r="AU402" s="217"/>
      <c r="AV402" s="217"/>
      <c r="AW402" s="217"/>
      <c r="AX402" s="217" t="s">
        <v>521</v>
      </c>
      <c r="AY402" s="217" t="s">
        <v>521</v>
      </c>
    </row>
    <row r="403" spans="1:51" s="320" customFormat="1" ht="16.5" customHeight="1" x14ac:dyDescent="0.3">
      <c r="A403" s="215"/>
      <c r="C403" s="448" t="s">
        <v>691</v>
      </c>
      <c r="D403" s="448"/>
      <c r="E403" s="448"/>
      <c r="F403" s="448"/>
      <c r="G403" s="448"/>
      <c r="H403" s="448"/>
      <c r="I403" s="448"/>
      <c r="J403" s="448"/>
      <c r="K403" s="448"/>
      <c r="L403" s="448"/>
      <c r="V403" s="321"/>
      <c r="W403" s="321"/>
      <c r="X403" s="321"/>
      <c r="Y403" s="321"/>
      <c r="Z403" s="321"/>
      <c r="AA403" s="321"/>
      <c r="AB403" s="321"/>
      <c r="AC403" s="321"/>
      <c r="AD403" s="321"/>
      <c r="AE403" s="321"/>
      <c r="AF403" s="321"/>
      <c r="AG403" s="321"/>
      <c r="AH403" s="321"/>
      <c r="AI403" s="321"/>
      <c r="AJ403" s="321"/>
      <c r="AK403" s="321"/>
      <c r="AL403" s="321"/>
      <c r="AM403" s="321"/>
      <c r="AN403" s="321"/>
      <c r="AO403" s="321"/>
      <c r="AP403" s="321"/>
      <c r="AQ403" s="321"/>
      <c r="AR403" s="321"/>
      <c r="AS403" s="321"/>
      <c r="AT403" s="321"/>
      <c r="AU403" s="321"/>
      <c r="AV403" s="321"/>
      <c r="AW403" s="321"/>
      <c r="AX403" s="321"/>
      <c r="AY403" s="321"/>
    </row>
    <row r="404" spans="1:51" s="214" customFormat="1" ht="19.5" customHeight="1" x14ac:dyDescent="0.2">
      <c r="A404" s="212"/>
      <c r="C404" s="322"/>
      <c r="D404" s="322"/>
      <c r="E404" s="322"/>
      <c r="F404" s="322"/>
      <c r="G404" s="322"/>
      <c r="H404" s="322"/>
      <c r="I404" s="322"/>
      <c r="J404" s="322"/>
      <c r="K404" s="322"/>
      <c r="L404" s="322"/>
      <c r="V404" s="217"/>
      <c r="W404" s="217"/>
      <c r="X404" s="217"/>
      <c r="Y404" s="217"/>
      <c r="Z404" s="217"/>
      <c r="AA404" s="217"/>
      <c r="AB404" s="217"/>
      <c r="AC404" s="217"/>
      <c r="AD404" s="217"/>
      <c r="AE404" s="217"/>
      <c r="AF404" s="217"/>
      <c r="AG404" s="217"/>
      <c r="AH404" s="217"/>
      <c r="AI404" s="217"/>
      <c r="AJ404" s="217"/>
      <c r="AK404" s="217"/>
      <c r="AL404" s="217"/>
      <c r="AM404" s="217"/>
      <c r="AN404" s="217"/>
      <c r="AO404" s="217"/>
      <c r="AP404" s="217"/>
      <c r="AQ404" s="217"/>
      <c r="AR404" s="217"/>
      <c r="AS404" s="217"/>
      <c r="AT404" s="217"/>
      <c r="AU404" s="217"/>
      <c r="AV404" s="217"/>
      <c r="AW404" s="217"/>
      <c r="AX404" s="217"/>
      <c r="AY404" s="217"/>
    </row>
    <row r="405" spans="1:51" s="210" customFormat="1" ht="22.5" customHeight="1" x14ac:dyDescent="0.3">
      <c r="A405" s="443" t="s">
        <v>693</v>
      </c>
      <c r="B405" s="443"/>
      <c r="C405" s="443"/>
      <c r="D405" s="443"/>
      <c r="E405" s="443"/>
      <c r="F405" s="443"/>
      <c r="G405" s="443"/>
      <c r="H405" s="443"/>
      <c r="I405" s="443"/>
      <c r="J405" s="443"/>
      <c r="K405" s="443"/>
      <c r="L405" s="443"/>
      <c r="M405" s="443"/>
      <c r="N405" s="443"/>
      <c r="O405" s="295"/>
      <c r="P405" s="295"/>
    </row>
    <row r="406" spans="1:51" s="210" customFormat="1" ht="12.75" customHeight="1" x14ac:dyDescent="0.3">
      <c r="A406" s="443" t="s">
        <v>694</v>
      </c>
      <c r="B406" s="443"/>
      <c r="C406" s="443"/>
      <c r="D406" s="443"/>
      <c r="E406" s="443"/>
      <c r="F406" s="443"/>
      <c r="G406" s="443"/>
      <c r="H406" s="443"/>
      <c r="I406" s="443"/>
      <c r="J406" s="443"/>
      <c r="K406" s="443"/>
      <c r="L406" s="443"/>
      <c r="M406" s="443"/>
      <c r="N406" s="443"/>
      <c r="O406" s="295"/>
      <c r="P406" s="295"/>
    </row>
    <row r="407" spans="1:51" s="210" customFormat="1" ht="12.75" customHeight="1" x14ac:dyDescent="0.3">
      <c r="A407" s="443" t="s">
        <v>695</v>
      </c>
      <c r="B407" s="443"/>
      <c r="C407" s="443"/>
      <c r="D407" s="443"/>
      <c r="E407" s="443"/>
      <c r="F407" s="443"/>
      <c r="G407" s="443"/>
      <c r="H407" s="443"/>
      <c r="I407" s="443"/>
      <c r="J407" s="443"/>
      <c r="K407" s="443"/>
      <c r="L407" s="443"/>
      <c r="M407" s="443"/>
      <c r="N407" s="443"/>
      <c r="O407" s="295"/>
      <c r="P407" s="295"/>
    </row>
    <row r="408" spans="1:51" s="210" customFormat="1" ht="19.5" customHeight="1" x14ac:dyDescent="0.3"/>
    <row r="409" spans="1:51" s="210" customFormat="1" ht="14.4" x14ac:dyDescent="0.3">
      <c r="B409" s="323"/>
      <c r="D409" s="323"/>
      <c r="F409" s="323"/>
    </row>
  </sheetData>
  <mergeCells count="399">
    <mergeCell ref="A407:N407"/>
    <mergeCell ref="C401:L401"/>
    <mergeCell ref="C402:G402"/>
    <mergeCell ref="H402:L402"/>
    <mergeCell ref="C403:L403"/>
    <mergeCell ref="A405:N405"/>
    <mergeCell ref="A406:N406"/>
    <mergeCell ref="C394:K394"/>
    <mergeCell ref="C395:K395"/>
    <mergeCell ref="C396:K396"/>
    <mergeCell ref="C397:K397"/>
    <mergeCell ref="C400:G400"/>
    <mergeCell ref="H400:L400"/>
    <mergeCell ref="C388:K388"/>
    <mergeCell ref="C389:K389"/>
    <mergeCell ref="C390:K390"/>
    <mergeCell ref="C391:K391"/>
    <mergeCell ref="C392:K392"/>
    <mergeCell ref="C393:K393"/>
    <mergeCell ref="C382:K382"/>
    <mergeCell ref="C383:K383"/>
    <mergeCell ref="C384:K384"/>
    <mergeCell ref="C385:K385"/>
    <mergeCell ref="C386:K386"/>
    <mergeCell ref="C387:K387"/>
    <mergeCell ref="C376:K376"/>
    <mergeCell ref="C377:K377"/>
    <mergeCell ref="C378:K378"/>
    <mergeCell ref="C379:K379"/>
    <mergeCell ref="C380:K380"/>
    <mergeCell ref="C381:K381"/>
    <mergeCell ref="C370:K370"/>
    <mergeCell ref="C371:K371"/>
    <mergeCell ref="C372:K372"/>
    <mergeCell ref="C373:K373"/>
    <mergeCell ref="C374:K374"/>
    <mergeCell ref="C375:K375"/>
    <mergeCell ref="C362:E362"/>
    <mergeCell ref="C363:E363"/>
    <mergeCell ref="C364:E364"/>
    <mergeCell ref="C365:E365"/>
    <mergeCell ref="C368:K368"/>
    <mergeCell ref="C369:K369"/>
    <mergeCell ref="C356:N356"/>
    <mergeCell ref="C357:E357"/>
    <mergeCell ref="C358:E358"/>
    <mergeCell ref="C359:E359"/>
    <mergeCell ref="C360:E360"/>
    <mergeCell ref="C361:E361"/>
    <mergeCell ref="C350:E350"/>
    <mergeCell ref="C351:E351"/>
    <mergeCell ref="C352:E352"/>
    <mergeCell ref="C353:E353"/>
    <mergeCell ref="C354:E354"/>
    <mergeCell ref="C355:N355"/>
    <mergeCell ref="C344:E344"/>
    <mergeCell ref="C345:N345"/>
    <mergeCell ref="C346:E346"/>
    <mergeCell ref="C347:E347"/>
    <mergeCell ref="C348:E348"/>
    <mergeCell ref="C349:E349"/>
    <mergeCell ref="C338:E338"/>
    <mergeCell ref="C339:E339"/>
    <mergeCell ref="C340:E340"/>
    <mergeCell ref="C341:E341"/>
    <mergeCell ref="C342:E342"/>
    <mergeCell ref="C343:E343"/>
    <mergeCell ref="C332:E332"/>
    <mergeCell ref="C333:E333"/>
    <mergeCell ref="C334:E334"/>
    <mergeCell ref="C335:N335"/>
    <mergeCell ref="C336:E336"/>
    <mergeCell ref="C337:E337"/>
    <mergeCell ref="C326:E326"/>
    <mergeCell ref="C327:E327"/>
    <mergeCell ref="C328:E328"/>
    <mergeCell ref="C329:E329"/>
    <mergeCell ref="C330:E330"/>
    <mergeCell ref="C331:E331"/>
    <mergeCell ref="C320:E320"/>
    <mergeCell ref="C321:E321"/>
    <mergeCell ref="A322:N322"/>
    <mergeCell ref="C323:E323"/>
    <mergeCell ref="C324:N324"/>
    <mergeCell ref="C325:N325"/>
    <mergeCell ref="C314:E314"/>
    <mergeCell ref="C315:E315"/>
    <mergeCell ref="C316:E316"/>
    <mergeCell ref="C317:E317"/>
    <mergeCell ref="C318:E318"/>
    <mergeCell ref="C319:E319"/>
    <mergeCell ref="C308:E308"/>
    <mergeCell ref="C309:N309"/>
    <mergeCell ref="C310:N310"/>
    <mergeCell ref="C311:E311"/>
    <mergeCell ref="C312:E312"/>
    <mergeCell ref="C313:E313"/>
    <mergeCell ref="C302:E302"/>
    <mergeCell ref="C303:E303"/>
    <mergeCell ref="C304:E304"/>
    <mergeCell ref="C305:E305"/>
    <mergeCell ref="C306:E306"/>
    <mergeCell ref="C307:E307"/>
    <mergeCell ref="C296:E296"/>
    <mergeCell ref="C297:E297"/>
    <mergeCell ref="C298:N298"/>
    <mergeCell ref="C299:E299"/>
    <mergeCell ref="C300:E300"/>
    <mergeCell ref="C301:E301"/>
    <mergeCell ref="C290:E290"/>
    <mergeCell ref="C291:E291"/>
    <mergeCell ref="C292:E292"/>
    <mergeCell ref="C293:E293"/>
    <mergeCell ref="C294:E294"/>
    <mergeCell ref="C295:N295"/>
    <mergeCell ref="C284:E284"/>
    <mergeCell ref="C285:E285"/>
    <mergeCell ref="C286:E286"/>
    <mergeCell ref="C287:E287"/>
    <mergeCell ref="C288:E288"/>
    <mergeCell ref="C289:E289"/>
    <mergeCell ref="C278:E278"/>
    <mergeCell ref="C279:N279"/>
    <mergeCell ref="C280:E280"/>
    <mergeCell ref="C281:E281"/>
    <mergeCell ref="C282:N282"/>
    <mergeCell ref="C283:E283"/>
    <mergeCell ref="C272:E272"/>
    <mergeCell ref="C273:E273"/>
    <mergeCell ref="C274:E274"/>
    <mergeCell ref="C275:E275"/>
    <mergeCell ref="C276:E276"/>
    <mergeCell ref="C277:E277"/>
    <mergeCell ref="C266:N266"/>
    <mergeCell ref="C267:E267"/>
    <mergeCell ref="C268:E268"/>
    <mergeCell ref="C269:E269"/>
    <mergeCell ref="C270:E270"/>
    <mergeCell ref="C271:E271"/>
    <mergeCell ref="C260:N260"/>
    <mergeCell ref="C261:N261"/>
    <mergeCell ref="C262:N262"/>
    <mergeCell ref="C263:N263"/>
    <mergeCell ref="C264:E264"/>
    <mergeCell ref="C265:E265"/>
    <mergeCell ref="C254:E254"/>
    <mergeCell ref="C255:E255"/>
    <mergeCell ref="C256:E256"/>
    <mergeCell ref="C257:E257"/>
    <mergeCell ref="C258:E258"/>
    <mergeCell ref="C259:E259"/>
    <mergeCell ref="C248:E248"/>
    <mergeCell ref="C249:E249"/>
    <mergeCell ref="C250:E250"/>
    <mergeCell ref="C251:E251"/>
    <mergeCell ref="C252:E252"/>
    <mergeCell ref="C253:E253"/>
    <mergeCell ref="C242:E242"/>
    <mergeCell ref="C243:E243"/>
    <mergeCell ref="C244:N244"/>
    <mergeCell ref="C245:E245"/>
    <mergeCell ref="C246:E246"/>
    <mergeCell ref="C247:N247"/>
    <mergeCell ref="C236:E236"/>
    <mergeCell ref="C237:E237"/>
    <mergeCell ref="C238:E238"/>
    <mergeCell ref="C239:E239"/>
    <mergeCell ref="C240:E240"/>
    <mergeCell ref="C241:N241"/>
    <mergeCell ref="C230:E230"/>
    <mergeCell ref="C231:E231"/>
    <mergeCell ref="C232:E232"/>
    <mergeCell ref="C233:E233"/>
    <mergeCell ref="C234:E234"/>
    <mergeCell ref="C235:E235"/>
    <mergeCell ref="C224:E224"/>
    <mergeCell ref="A225:N225"/>
    <mergeCell ref="C226:E226"/>
    <mergeCell ref="C227:N227"/>
    <mergeCell ref="C228:N228"/>
    <mergeCell ref="C229:E229"/>
    <mergeCell ref="C218:E218"/>
    <mergeCell ref="C219:E219"/>
    <mergeCell ref="C220:E220"/>
    <mergeCell ref="C221:E221"/>
    <mergeCell ref="C222:E222"/>
    <mergeCell ref="C223:E223"/>
    <mergeCell ref="C212:N212"/>
    <mergeCell ref="C213:N213"/>
    <mergeCell ref="C214:E214"/>
    <mergeCell ref="C215:E215"/>
    <mergeCell ref="C216:E216"/>
    <mergeCell ref="C217:E217"/>
    <mergeCell ref="C206:E206"/>
    <mergeCell ref="C207:E207"/>
    <mergeCell ref="C208:E208"/>
    <mergeCell ref="C209:E209"/>
    <mergeCell ref="C210:E210"/>
    <mergeCell ref="C211:E211"/>
    <mergeCell ref="C200:E200"/>
    <mergeCell ref="C201:E201"/>
    <mergeCell ref="C202:E202"/>
    <mergeCell ref="C203:E203"/>
    <mergeCell ref="C204:E204"/>
    <mergeCell ref="C205:E205"/>
    <mergeCell ref="C194:N194"/>
    <mergeCell ref="C195:N195"/>
    <mergeCell ref="C196:E196"/>
    <mergeCell ref="C197:E197"/>
    <mergeCell ref="C198:N198"/>
    <mergeCell ref="C199:N199"/>
    <mergeCell ref="C188:N188"/>
    <mergeCell ref="C189:N189"/>
    <mergeCell ref="C190:E190"/>
    <mergeCell ref="C191:E191"/>
    <mergeCell ref="C192:N192"/>
    <mergeCell ref="C193:N193"/>
    <mergeCell ref="C182:N182"/>
    <mergeCell ref="C183:N183"/>
    <mergeCell ref="C184:E184"/>
    <mergeCell ref="C185:E185"/>
    <mergeCell ref="C186:N186"/>
    <mergeCell ref="C187:N187"/>
    <mergeCell ref="C176:E176"/>
    <mergeCell ref="C177:E177"/>
    <mergeCell ref="C178:E178"/>
    <mergeCell ref="C179:E179"/>
    <mergeCell ref="C180:N180"/>
    <mergeCell ref="C181:N181"/>
    <mergeCell ref="C170:E170"/>
    <mergeCell ref="C171:E171"/>
    <mergeCell ref="C172:E172"/>
    <mergeCell ref="C173:E173"/>
    <mergeCell ref="C174:E174"/>
    <mergeCell ref="C175:E175"/>
    <mergeCell ref="A164:N164"/>
    <mergeCell ref="C165:E165"/>
    <mergeCell ref="C166:N166"/>
    <mergeCell ref="C167:N167"/>
    <mergeCell ref="C168:E168"/>
    <mergeCell ref="C169:E169"/>
    <mergeCell ref="C158:E158"/>
    <mergeCell ref="C159:N159"/>
    <mergeCell ref="C160:N160"/>
    <mergeCell ref="C161:N161"/>
    <mergeCell ref="C162:N162"/>
    <mergeCell ref="C163:E163"/>
    <mergeCell ref="C152:E152"/>
    <mergeCell ref="C153:E153"/>
    <mergeCell ref="C154:E154"/>
    <mergeCell ref="C155:N155"/>
    <mergeCell ref="C156:N156"/>
    <mergeCell ref="C157:E157"/>
    <mergeCell ref="C146:E146"/>
    <mergeCell ref="C147:E147"/>
    <mergeCell ref="C148:E148"/>
    <mergeCell ref="C149:E149"/>
    <mergeCell ref="C150:E150"/>
    <mergeCell ref="C151:E151"/>
    <mergeCell ref="C140:E140"/>
    <mergeCell ref="C141:E141"/>
    <mergeCell ref="C142:N142"/>
    <mergeCell ref="C143:N143"/>
    <mergeCell ref="C144:E144"/>
    <mergeCell ref="C145:E145"/>
    <mergeCell ref="C134:E134"/>
    <mergeCell ref="C135:E135"/>
    <mergeCell ref="C136:E136"/>
    <mergeCell ref="C137:E137"/>
    <mergeCell ref="C138:E138"/>
    <mergeCell ref="C139:E139"/>
    <mergeCell ref="C128:N128"/>
    <mergeCell ref="C129:N129"/>
    <mergeCell ref="C130:E130"/>
    <mergeCell ref="C131:E131"/>
    <mergeCell ref="C132:E132"/>
    <mergeCell ref="C133:E133"/>
    <mergeCell ref="C122:N122"/>
    <mergeCell ref="C123:E123"/>
    <mergeCell ref="C124:E124"/>
    <mergeCell ref="C125:N125"/>
    <mergeCell ref="C126:E126"/>
    <mergeCell ref="C127:E127"/>
    <mergeCell ref="C116:E116"/>
    <mergeCell ref="C117:E117"/>
    <mergeCell ref="C118:E118"/>
    <mergeCell ref="C119:E119"/>
    <mergeCell ref="C120:E120"/>
    <mergeCell ref="C121:E121"/>
    <mergeCell ref="C110:E110"/>
    <mergeCell ref="C111:E111"/>
    <mergeCell ref="C112:E112"/>
    <mergeCell ref="C113:E113"/>
    <mergeCell ref="C114:E114"/>
    <mergeCell ref="C115:E115"/>
    <mergeCell ref="C104:N104"/>
    <mergeCell ref="C105:N105"/>
    <mergeCell ref="C106:E106"/>
    <mergeCell ref="C107:E107"/>
    <mergeCell ref="C108:N108"/>
    <mergeCell ref="C109:N109"/>
    <mergeCell ref="C98:E98"/>
    <mergeCell ref="C99:E99"/>
    <mergeCell ref="C100:E100"/>
    <mergeCell ref="C101:E101"/>
    <mergeCell ref="C102:E102"/>
    <mergeCell ref="C103:E103"/>
    <mergeCell ref="C92:E92"/>
    <mergeCell ref="C93:E93"/>
    <mergeCell ref="C94:E94"/>
    <mergeCell ref="C95:E95"/>
    <mergeCell ref="C96:E96"/>
    <mergeCell ref="C97:E97"/>
    <mergeCell ref="C86:N86"/>
    <mergeCell ref="C87:E87"/>
    <mergeCell ref="A88:N88"/>
    <mergeCell ref="C89:E89"/>
    <mergeCell ref="C90:N90"/>
    <mergeCell ref="C91:N91"/>
    <mergeCell ref="C80:E80"/>
    <mergeCell ref="C81:E81"/>
    <mergeCell ref="C82:E82"/>
    <mergeCell ref="C83:E83"/>
    <mergeCell ref="C84:N84"/>
    <mergeCell ref="C85:N85"/>
    <mergeCell ref="C74:N74"/>
    <mergeCell ref="C75:E75"/>
    <mergeCell ref="C76:E76"/>
    <mergeCell ref="C77:E77"/>
    <mergeCell ref="C78:E78"/>
    <mergeCell ref="C79:E79"/>
    <mergeCell ref="C68:N68"/>
    <mergeCell ref="C69:N69"/>
    <mergeCell ref="C70:N70"/>
    <mergeCell ref="C71:E71"/>
    <mergeCell ref="C72:E72"/>
    <mergeCell ref="C73:N73"/>
    <mergeCell ref="C62:E62"/>
    <mergeCell ref="C63:E63"/>
    <mergeCell ref="C64:E64"/>
    <mergeCell ref="C65:E65"/>
    <mergeCell ref="C66:E66"/>
    <mergeCell ref="C67:E67"/>
    <mergeCell ref="C55:E55"/>
    <mergeCell ref="C57:N57"/>
    <mergeCell ref="C58:N58"/>
    <mergeCell ref="C59:N59"/>
    <mergeCell ref="C60:E60"/>
    <mergeCell ref="C61:E61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0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B6993-E457-447D-83A0-35384C8F7D21}">
  <sheetPr>
    <pageSetUpPr fitToPage="1"/>
  </sheetPr>
  <dimension ref="A1:AZ245"/>
  <sheetViews>
    <sheetView topLeftCell="A173" zoomScaleNormal="100" workbookViewId="0">
      <selection activeCell="S50" sqref="S50"/>
    </sheetView>
  </sheetViews>
  <sheetFormatPr defaultColWidth="9.109375" defaultRowHeight="11.25" customHeight="1" outlineLevelRow="1" x14ac:dyDescent="0.2"/>
  <cols>
    <col min="1" max="1" width="9.109375" style="225" customWidth="1"/>
    <col min="2" max="2" width="20.109375" style="324" customWidth="1"/>
    <col min="3" max="3" width="13.44140625" style="324" customWidth="1"/>
    <col min="4" max="4" width="12.88671875" style="324" customWidth="1"/>
    <col min="5" max="5" width="13.33203125" style="324" customWidth="1"/>
    <col min="6" max="6" width="8.5546875" style="324" customWidth="1"/>
    <col min="7" max="7" width="10.5546875" style="324" customWidth="1"/>
    <col min="8" max="8" width="8.44140625" style="324" customWidth="1"/>
    <col min="9" max="9" width="13" style="324" customWidth="1"/>
    <col min="10" max="10" width="12.44140625" style="324" customWidth="1"/>
    <col min="11" max="11" width="8.5546875" style="324" customWidth="1"/>
    <col min="12" max="12" width="12.88671875" style="324" customWidth="1"/>
    <col min="13" max="13" width="7.44140625" style="324" customWidth="1"/>
    <col min="14" max="14" width="13.44140625" style="324" customWidth="1"/>
    <col min="15" max="15" width="14.5546875" style="324" hidden="1" customWidth="1"/>
    <col min="16" max="16" width="78.33203125" style="324" hidden="1" customWidth="1"/>
    <col min="17" max="17" width="73.6640625" style="324" hidden="1" customWidth="1"/>
    <col min="18" max="18" width="9.109375" style="324"/>
    <col min="19" max="19" width="25.6640625" style="343" customWidth="1"/>
    <col min="20" max="21" width="9.109375" style="324"/>
    <col min="22" max="27" width="86.6640625" style="258" hidden="1" customWidth="1"/>
    <col min="28" max="30" width="164.109375" style="258" hidden="1" customWidth="1"/>
    <col min="31" max="31" width="34.6640625" style="258" hidden="1" customWidth="1"/>
    <col min="32" max="32" width="164.109375" style="258" hidden="1" customWidth="1"/>
    <col min="33" max="33" width="39.5546875" style="258" hidden="1" customWidth="1"/>
    <col min="34" max="35" width="134.88671875" style="258" hidden="1" customWidth="1"/>
    <col min="36" max="39" width="39.5546875" style="258" hidden="1" customWidth="1"/>
    <col min="40" max="41" width="134.88671875" style="258" hidden="1" customWidth="1"/>
    <col min="42" max="46" width="101.109375" style="258" hidden="1" customWidth="1"/>
    <col min="47" max="47" width="58.6640625" style="258" hidden="1" customWidth="1"/>
    <col min="48" max="48" width="55.33203125" style="258" hidden="1" customWidth="1"/>
    <col min="49" max="49" width="58.6640625" style="258" hidden="1" customWidth="1"/>
    <col min="50" max="50" width="55.33203125" style="258" hidden="1" customWidth="1"/>
    <col min="51" max="16384" width="9.109375" style="324"/>
  </cols>
  <sheetData>
    <row r="1" spans="1:29" s="210" customFormat="1" ht="14.4" x14ac:dyDescent="0.3">
      <c r="N1" s="211" t="s">
        <v>511</v>
      </c>
      <c r="S1" s="338"/>
    </row>
    <row r="2" spans="1:29" s="210" customFormat="1" ht="11.25" customHeight="1" x14ac:dyDescent="0.3">
      <c r="A2" s="212"/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3" t="s">
        <v>512</v>
      </c>
      <c r="S2" s="338"/>
    </row>
    <row r="3" spans="1:29" s="210" customFormat="1" ht="6.75" customHeight="1" x14ac:dyDescent="0.3">
      <c r="A3" s="212"/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1"/>
      <c r="S3" s="338"/>
    </row>
    <row r="4" spans="1:29" s="210" customFormat="1" ht="2.25" customHeight="1" x14ac:dyDescent="0.3">
      <c r="A4" s="220"/>
      <c r="B4" s="215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S4" s="338"/>
    </row>
    <row r="5" spans="1:29" s="210" customFormat="1" ht="11.25" customHeight="1" x14ac:dyDescent="0.3">
      <c r="A5" s="220" t="s">
        <v>513</v>
      </c>
      <c r="B5" s="215"/>
      <c r="C5" s="212"/>
      <c r="E5" s="212"/>
      <c r="F5" s="212"/>
      <c r="G5" s="420" t="s">
        <v>514</v>
      </c>
      <c r="H5" s="420"/>
      <c r="I5" s="420"/>
      <c r="J5" s="420"/>
      <c r="K5" s="420"/>
      <c r="L5" s="420"/>
      <c r="M5" s="420"/>
      <c r="N5" s="420"/>
      <c r="S5" s="338"/>
    </row>
    <row r="6" spans="1:29" s="210" customFormat="1" ht="56.25" customHeight="1" x14ac:dyDescent="0.3">
      <c r="A6" s="220" t="s">
        <v>515</v>
      </c>
      <c r="B6" s="215"/>
      <c r="C6" s="212"/>
      <c r="E6" s="216"/>
      <c r="F6" s="216"/>
      <c r="G6" s="421" t="s">
        <v>516</v>
      </c>
      <c r="H6" s="421"/>
      <c r="I6" s="421"/>
      <c r="J6" s="421"/>
      <c r="K6" s="421"/>
      <c r="L6" s="421"/>
      <c r="M6" s="421"/>
      <c r="N6" s="421"/>
      <c r="S6" s="338"/>
      <c r="V6" s="217" t="s">
        <v>516</v>
      </c>
    </row>
    <row r="7" spans="1:29" s="210" customFormat="1" ht="45" customHeight="1" x14ac:dyDescent="0.3">
      <c r="A7" s="422" t="s">
        <v>517</v>
      </c>
      <c r="B7" s="422"/>
      <c r="C7" s="422"/>
      <c r="D7" s="422"/>
      <c r="E7" s="422"/>
      <c r="F7" s="422"/>
      <c r="G7" s="421" t="s">
        <v>518</v>
      </c>
      <c r="H7" s="421"/>
      <c r="I7" s="421"/>
      <c r="J7" s="421"/>
      <c r="K7" s="421"/>
      <c r="L7" s="421"/>
      <c r="M7" s="421"/>
      <c r="N7" s="421"/>
      <c r="P7" s="218" t="s">
        <v>517</v>
      </c>
      <c r="Q7" s="218" t="s">
        <v>518</v>
      </c>
      <c r="R7" s="219"/>
      <c r="S7" s="339"/>
      <c r="T7" s="219"/>
      <c r="U7" s="219"/>
      <c r="W7" s="217" t="s">
        <v>518</v>
      </c>
    </row>
    <row r="8" spans="1:29" s="210" customFormat="1" ht="67.5" customHeight="1" x14ac:dyDescent="0.3">
      <c r="A8" s="423" t="s">
        <v>519</v>
      </c>
      <c r="B8" s="423"/>
      <c r="C8" s="423"/>
      <c r="D8" s="423"/>
      <c r="E8" s="423"/>
      <c r="F8" s="423"/>
      <c r="G8" s="421"/>
      <c r="H8" s="421"/>
      <c r="I8" s="421"/>
      <c r="J8" s="421"/>
      <c r="K8" s="421"/>
      <c r="L8" s="421"/>
      <c r="M8" s="421"/>
      <c r="N8" s="421"/>
      <c r="P8" s="218" t="s">
        <v>520</v>
      </c>
      <c r="Q8" s="218"/>
      <c r="R8" s="219"/>
      <c r="S8" s="339"/>
      <c r="T8" s="219"/>
      <c r="U8" s="219"/>
      <c r="X8" s="217" t="s">
        <v>521</v>
      </c>
    </row>
    <row r="9" spans="1:29" s="210" customFormat="1" ht="33.75" customHeight="1" x14ac:dyDescent="0.3">
      <c r="A9" s="422" t="s">
        <v>522</v>
      </c>
      <c r="B9" s="422"/>
      <c r="C9" s="422"/>
      <c r="D9" s="422"/>
      <c r="E9" s="422"/>
      <c r="F9" s="422"/>
      <c r="G9" s="421"/>
      <c r="H9" s="421"/>
      <c r="I9" s="421"/>
      <c r="J9" s="421"/>
      <c r="K9" s="421"/>
      <c r="L9" s="421"/>
      <c r="M9" s="421"/>
      <c r="N9" s="421"/>
      <c r="P9" s="218" t="s">
        <v>522</v>
      </c>
      <c r="Q9" s="218"/>
      <c r="R9" s="219"/>
      <c r="S9" s="339"/>
      <c r="T9" s="219"/>
      <c r="U9" s="219"/>
      <c r="Y9" s="217" t="s">
        <v>521</v>
      </c>
    </row>
    <row r="10" spans="1:29" s="210" customFormat="1" ht="11.25" customHeight="1" x14ac:dyDescent="0.3">
      <c r="A10" s="428" t="s">
        <v>523</v>
      </c>
      <c r="B10" s="428"/>
      <c r="C10" s="428"/>
      <c r="D10" s="428"/>
      <c r="E10" s="428"/>
      <c r="F10" s="428"/>
      <c r="G10" s="421" t="s">
        <v>524</v>
      </c>
      <c r="H10" s="421"/>
      <c r="I10" s="421"/>
      <c r="J10" s="421"/>
      <c r="K10" s="421"/>
      <c r="L10" s="421"/>
      <c r="M10" s="421"/>
      <c r="N10" s="421"/>
      <c r="S10" s="338"/>
      <c r="Z10" s="217" t="s">
        <v>524</v>
      </c>
    </row>
    <row r="11" spans="1:29" s="210" customFormat="1" ht="14.4" x14ac:dyDescent="0.3">
      <c r="A11" s="428" t="s">
        <v>525</v>
      </c>
      <c r="B11" s="428"/>
      <c r="C11" s="428"/>
      <c r="D11" s="428"/>
      <c r="E11" s="428"/>
      <c r="F11" s="428"/>
      <c r="G11" s="421"/>
      <c r="H11" s="421"/>
      <c r="I11" s="421"/>
      <c r="J11" s="421"/>
      <c r="K11" s="421"/>
      <c r="L11" s="421"/>
      <c r="M11" s="421"/>
      <c r="N11" s="421"/>
      <c r="S11" s="338"/>
      <c r="AA11" s="217" t="s">
        <v>521</v>
      </c>
    </row>
    <row r="12" spans="1:29" s="210" customFormat="1" ht="3.75" customHeight="1" x14ac:dyDescent="0.3">
      <c r="A12" s="221"/>
      <c r="B12" s="212"/>
      <c r="C12" s="212"/>
      <c r="D12" s="212"/>
      <c r="E12" s="212"/>
      <c r="F12" s="215"/>
      <c r="G12" s="215"/>
      <c r="H12" s="215"/>
      <c r="I12" s="215"/>
      <c r="J12" s="215"/>
      <c r="K12" s="215"/>
      <c r="L12" s="215"/>
      <c r="M12" s="215"/>
      <c r="N12" s="215"/>
      <c r="S12" s="338"/>
    </row>
    <row r="13" spans="1:29" s="210" customFormat="1" ht="14.4" x14ac:dyDescent="0.3">
      <c r="A13" s="424" t="s">
        <v>526</v>
      </c>
      <c r="B13" s="424"/>
      <c r="C13" s="424"/>
      <c r="D13" s="424"/>
      <c r="E13" s="424"/>
      <c r="F13" s="424"/>
      <c r="G13" s="424"/>
      <c r="H13" s="424"/>
      <c r="I13" s="424"/>
      <c r="J13" s="424"/>
      <c r="K13" s="424"/>
      <c r="L13" s="424"/>
      <c r="M13" s="424"/>
      <c r="N13" s="424"/>
      <c r="S13" s="338"/>
      <c r="AB13" s="217" t="s">
        <v>526</v>
      </c>
    </row>
    <row r="14" spans="1:29" s="210" customFormat="1" ht="14.4" x14ac:dyDescent="0.3">
      <c r="A14" s="425" t="s">
        <v>527</v>
      </c>
      <c r="B14" s="425"/>
      <c r="C14" s="425"/>
      <c r="D14" s="425"/>
      <c r="E14" s="425"/>
      <c r="F14" s="425"/>
      <c r="G14" s="425"/>
      <c r="H14" s="425"/>
      <c r="I14" s="425"/>
      <c r="J14" s="425"/>
      <c r="K14" s="425"/>
      <c r="L14" s="425"/>
      <c r="M14" s="425"/>
      <c r="N14" s="425"/>
      <c r="S14" s="338"/>
    </row>
    <row r="15" spans="1:29" s="210" customFormat="1" ht="5.25" customHeight="1" x14ac:dyDescent="0.3">
      <c r="A15" s="222"/>
      <c r="B15" s="222"/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S15" s="338"/>
    </row>
    <row r="16" spans="1:29" s="210" customFormat="1" ht="14.4" x14ac:dyDescent="0.3">
      <c r="A16" s="424"/>
      <c r="B16" s="424"/>
      <c r="C16" s="424"/>
      <c r="D16" s="424"/>
      <c r="E16" s="424"/>
      <c r="F16" s="424"/>
      <c r="G16" s="424"/>
      <c r="H16" s="424"/>
      <c r="I16" s="424"/>
      <c r="J16" s="424"/>
      <c r="K16" s="424"/>
      <c r="L16" s="424"/>
      <c r="M16" s="424"/>
      <c r="N16" s="424"/>
      <c r="S16" s="338"/>
      <c r="AC16" s="217" t="s">
        <v>521</v>
      </c>
    </row>
    <row r="17" spans="1:31" s="210" customFormat="1" ht="14.4" x14ac:dyDescent="0.3">
      <c r="A17" s="425" t="s">
        <v>528</v>
      </c>
      <c r="B17" s="425"/>
      <c r="C17" s="425"/>
      <c r="D17" s="425"/>
      <c r="E17" s="425"/>
      <c r="F17" s="425"/>
      <c r="G17" s="425"/>
      <c r="H17" s="425"/>
      <c r="I17" s="425"/>
      <c r="J17" s="425"/>
      <c r="K17" s="425"/>
      <c r="L17" s="425"/>
      <c r="M17" s="425"/>
      <c r="N17" s="425"/>
      <c r="S17" s="338"/>
    </row>
    <row r="18" spans="1:31" s="210" customFormat="1" ht="21" customHeight="1" x14ac:dyDescent="0.3">
      <c r="A18" s="426" t="s">
        <v>698</v>
      </c>
      <c r="B18" s="426"/>
      <c r="C18" s="426"/>
      <c r="D18" s="426"/>
      <c r="E18" s="426"/>
      <c r="F18" s="426"/>
      <c r="G18" s="426"/>
      <c r="H18" s="426"/>
      <c r="I18" s="426"/>
      <c r="J18" s="426"/>
      <c r="K18" s="426"/>
      <c r="L18" s="426"/>
      <c r="M18" s="426"/>
      <c r="N18" s="426"/>
      <c r="S18" s="338"/>
    </row>
    <row r="19" spans="1:31" s="210" customFormat="1" ht="3.75" customHeight="1" x14ac:dyDescent="0.3">
      <c r="A19" s="223"/>
      <c r="B19" s="223"/>
      <c r="C19" s="223"/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S19" s="338"/>
    </row>
    <row r="20" spans="1:31" s="210" customFormat="1" ht="14.4" x14ac:dyDescent="0.3">
      <c r="A20" s="427" t="s">
        <v>706</v>
      </c>
      <c r="B20" s="427"/>
      <c r="C20" s="427"/>
      <c r="D20" s="427"/>
      <c r="E20" s="427"/>
      <c r="F20" s="427"/>
      <c r="G20" s="427"/>
      <c r="H20" s="427"/>
      <c r="I20" s="427"/>
      <c r="J20" s="427"/>
      <c r="K20" s="427"/>
      <c r="L20" s="427"/>
      <c r="M20" s="427"/>
      <c r="N20" s="427"/>
      <c r="S20" s="338"/>
      <c r="AD20" s="217" t="s">
        <v>529</v>
      </c>
    </row>
    <row r="21" spans="1:31" s="210" customFormat="1" ht="12" customHeight="1" x14ac:dyDescent="0.3">
      <c r="A21" s="425" t="s">
        <v>530</v>
      </c>
      <c r="B21" s="425"/>
      <c r="C21" s="425"/>
      <c r="D21" s="425"/>
      <c r="E21" s="425"/>
      <c r="F21" s="425"/>
      <c r="G21" s="425"/>
      <c r="H21" s="425"/>
      <c r="I21" s="425"/>
      <c r="J21" s="425"/>
      <c r="K21" s="425"/>
      <c r="L21" s="425"/>
      <c r="M21" s="425"/>
      <c r="N21" s="425"/>
      <c r="S21" s="338"/>
    </row>
    <row r="22" spans="1:31" s="210" customFormat="1" ht="12" customHeight="1" x14ac:dyDescent="0.3">
      <c r="A22" s="212" t="s">
        <v>531</v>
      </c>
      <c r="B22" s="224" t="s">
        <v>532</v>
      </c>
      <c r="C22" s="225" t="s">
        <v>533</v>
      </c>
      <c r="D22" s="225"/>
      <c r="E22" s="225"/>
      <c r="F22" s="216"/>
      <c r="G22" s="216"/>
      <c r="H22" s="216"/>
      <c r="I22" s="216"/>
      <c r="J22" s="216"/>
      <c r="K22" s="216"/>
      <c r="L22" s="216"/>
      <c r="M22" s="216"/>
      <c r="N22" s="216"/>
      <c r="S22" s="338"/>
    </row>
    <row r="23" spans="1:31" s="210" customFormat="1" ht="12" customHeight="1" x14ac:dyDescent="0.3">
      <c r="A23" s="212" t="s">
        <v>534</v>
      </c>
      <c r="B23" s="420"/>
      <c r="C23" s="420"/>
      <c r="D23" s="420"/>
      <c r="E23" s="420"/>
      <c r="F23" s="420"/>
      <c r="G23" s="216"/>
      <c r="H23" s="216"/>
      <c r="I23" s="216"/>
      <c r="J23" s="216"/>
      <c r="K23" s="216"/>
      <c r="L23" s="216"/>
      <c r="M23" s="216"/>
      <c r="N23" s="216"/>
      <c r="S23" s="338"/>
    </row>
    <row r="24" spans="1:31" s="210" customFormat="1" ht="14.4" x14ac:dyDescent="0.3">
      <c r="A24" s="212"/>
      <c r="B24" s="432" t="s">
        <v>535</v>
      </c>
      <c r="C24" s="432"/>
      <c r="D24" s="432"/>
      <c r="E24" s="432"/>
      <c r="F24" s="432"/>
      <c r="G24" s="226"/>
      <c r="H24" s="226"/>
      <c r="I24" s="226"/>
      <c r="J24" s="226"/>
      <c r="K24" s="226"/>
      <c r="L24" s="226"/>
      <c r="M24" s="227"/>
      <c r="N24" s="226"/>
      <c r="S24" s="338"/>
    </row>
    <row r="25" spans="1:31" s="210" customFormat="1" ht="5.25" customHeight="1" x14ac:dyDescent="0.3">
      <c r="A25" s="212"/>
      <c r="B25" s="212"/>
      <c r="C25" s="212"/>
      <c r="D25" s="228"/>
      <c r="E25" s="228"/>
      <c r="F25" s="228"/>
      <c r="G25" s="228"/>
      <c r="H25" s="228"/>
      <c r="I25" s="228"/>
      <c r="J25" s="228"/>
      <c r="K25" s="228"/>
      <c r="L25" s="228"/>
      <c r="M25" s="226"/>
      <c r="N25" s="226"/>
      <c r="S25" s="338"/>
    </row>
    <row r="26" spans="1:31" s="210" customFormat="1" ht="14.4" x14ac:dyDescent="0.3">
      <c r="A26" s="229" t="s">
        <v>536</v>
      </c>
      <c r="B26" s="212"/>
      <c r="C26" s="212"/>
      <c r="D26" s="433" t="s">
        <v>537</v>
      </c>
      <c r="E26" s="433"/>
      <c r="F26" s="433"/>
      <c r="G26" s="230"/>
      <c r="H26" s="230"/>
      <c r="I26" s="230"/>
      <c r="J26" s="230"/>
      <c r="K26" s="230"/>
      <c r="L26" s="230"/>
      <c r="M26" s="230"/>
      <c r="N26" s="230"/>
      <c r="S26" s="338"/>
      <c r="AE26" s="217" t="s">
        <v>538</v>
      </c>
    </row>
    <row r="27" spans="1:31" s="210" customFormat="1" ht="7.5" customHeight="1" x14ac:dyDescent="0.3">
      <c r="A27" s="212"/>
      <c r="B27" s="214"/>
      <c r="C27" s="214"/>
      <c r="D27" s="231"/>
      <c r="E27" s="231"/>
      <c r="F27" s="231"/>
      <c r="G27" s="231"/>
      <c r="H27" s="231"/>
      <c r="I27" s="231"/>
      <c r="J27" s="231"/>
      <c r="K27" s="231"/>
      <c r="L27" s="231"/>
      <c r="M27" s="231"/>
      <c r="N27" s="231"/>
      <c r="S27" s="338"/>
    </row>
    <row r="28" spans="1:31" s="210" customFormat="1" ht="12" customHeight="1" x14ac:dyDescent="0.3">
      <c r="A28" s="229" t="s">
        <v>539</v>
      </c>
      <c r="B28" s="214"/>
      <c r="C28" s="232">
        <v>3693.47</v>
      </c>
      <c r="D28" s="233" t="s">
        <v>700</v>
      </c>
      <c r="E28" s="234" t="s">
        <v>540</v>
      </c>
      <c r="G28" s="214"/>
      <c r="H28" s="214"/>
      <c r="I28" s="214"/>
      <c r="J28" s="214"/>
      <c r="K28" s="214"/>
      <c r="L28" s="235"/>
      <c r="M28" s="235"/>
      <c r="N28" s="214"/>
      <c r="S28" s="338"/>
    </row>
    <row r="29" spans="1:31" s="210" customFormat="1" ht="11.25" customHeight="1" x14ac:dyDescent="0.3">
      <c r="A29" s="212"/>
      <c r="B29" s="236" t="s">
        <v>541</v>
      </c>
      <c r="C29" s="237"/>
      <c r="D29" s="238"/>
      <c r="E29" s="234"/>
      <c r="G29" s="214"/>
      <c r="S29" s="338"/>
    </row>
    <row r="30" spans="1:31" s="210" customFormat="1" ht="12" customHeight="1" x14ac:dyDescent="0.3">
      <c r="A30" s="212"/>
      <c r="B30" s="239" t="s">
        <v>542</v>
      </c>
      <c r="C30" s="232">
        <v>2947.31</v>
      </c>
      <c r="D30" s="233" t="s">
        <v>701</v>
      </c>
      <c r="E30" s="234" t="s">
        <v>540</v>
      </c>
      <c r="G30" s="214" t="s">
        <v>543</v>
      </c>
      <c r="I30" s="214"/>
      <c r="J30" s="214"/>
      <c r="K30" s="214"/>
      <c r="L30" s="232">
        <v>289.79000000000002</v>
      </c>
      <c r="M30" s="240" t="s">
        <v>702</v>
      </c>
      <c r="N30" s="234" t="s">
        <v>540</v>
      </c>
      <c r="S30" s="338"/>
    </row>
    <row r="31" spans="1:31" s="210" customFormat="1" ht="12" customHeight="1" x14ac:dyDescent="0.3">
      <c r="A31" s="212"/>
      <c r="B31" s="239" t="s">
        <v>544</v>
      </c>
      <c r="C31" s="232">
        <v>130.58000000000001</v>
      </c>
      <c r="D31" s="241" t="s">
        <v>703</v>
      </c>
      <c r="E31" s="234" t="s">
        <v>540</v>
      </c>
      <c r="G31" s="214" t="s">
        <v>545</v>
      </c>
      <c r="I31" s="214"/>
      <c r="J31" s="214"/>
      <c r="K31" s="214"/>
      <c r="L31" s="434">
        <v>679.66</v>
      </c>
      <c r="M31" s="434"/>
      <c r="N31" s="234" t="s">
        <v>546</v>
      </c>
      <c r="S31" s="338"/>
    </row>
    <row r="32" spans="1:31" s="210" customFormat="1" ht="12" customHeight="1" x14ac:dyDescent="0.3">
      <c r="A32" s="212"/>
      <c r="B32" s="239" t="s">
        <v>547</v>
      </c>
      <c r="C32" s="232">
        <v>0</v>
      </c>
      <c r="D32" s="241" t="s">
        <v>548</v>
      </c>
      <c r="E32" s="234" t="s">
        <v>540</v>
      </c>
      <c r="G32" s="214" t="s">
        <v>549</v>
      </c>
      <c r="I32" s="214"/>
      <c r="J32" s="214"/>
      <c r="K32" s="214"/>
      <c r="L32" s="434">
        <v>96.77</v>
      </c>
      <c r="M32" s="434"/>
      <c r="N32" s="234" t="s">
        <v>546</v>
      </c>
      <c r="S32" s="338"/>
    </row>
    <row r="33" spans="1:38" s="210" customFormat="1" ht="12" customHeight="1" x14ac:dyDescent="0.3">
      <c r="A33" s="212"/>
      <c r="B33" s="239" t="s">
        <v>550</v>
      </c>
      <c r="C33" s="232">
        <v>0</v>
      </c>
      <c r="D33" s="233" t="s">
        <v>548</v>
      </c>
      <c r="E33" s="234" t="s">
        <v>540</v>
      </c>
      <c r="G33" s="214"/>
      <c r="H33" s="214"/>
      <c r="I33" s="214"/>
      <c r="J33" s="214"/>
      <c r="K33" s="214"/>
      <c r="L33" s="429" t="s">
        <v>551</v>
      </c>
      <c r="M33" s="429"/>
      <c r="N33" s="214"/>
      <c r="S33" s="338"/>
    </row>
    <row r="34" spans="1:38" s="210" customFormat="1" ht="7.5" customHeight="1" x14ac:dyDescent="0.3">
      <c r="A34" s="242"/>
      <c r="S34" s="338"/>
    </row>
    <row r="35" spans="1:38" s="210" customFormat="1" ht="23.25" customHeight="1" x14ac:dyDescent="0.3">
      <c r="A35" s="430" t="s">
        <v>213</v>
      </c>
      <c r="B35" s="431" t="s">
        <v>552</v>
      </c>
      <c r="C35" s="431" t="s">
        <v>214</v>
      </c>
      <c r="D35" s="431"/>
      <c r="E35" s="431"/>
      <c r="F35" s="431" t="s">
        <v>553</v>
      </c>
      <c r="G35" s="431" t="s">
        <v>20</v>
      </c>
      <c r="H35" s="431"/>
      <c r="I35" s="431"/>
      <c r="J35" s="431" t="s">
        <v>554</v>
      </c>
      <c r="K35" s="431"/>
      <c r="L35" s="431"/>
      <c r="M35" s="431" t="s">
        <v>555</v>
      </c>
      <c r="N35" s="431" t="s">
        <v>556</v>
      </c>
      <c r="S35" s="338"/>
    </row>
    <row r="36" spans="1:38" s="210" customFormat="1" ht="28.5" customHeight="1" x14ac:dyDescent="0.3">
      <c r="A36" s="430"/>
      <c r="B36" s="431"/>
      <c r="C36" s="431"/>
      <c r="D36" s="431"/>
      <c r="E36" s="431"/>
      <c r="F36" s="431"/>
      <c r="G36" s="431"/>
      <c r="H36" s="431"/>
      <c r="I36" s="431"/>
      <c r="J36" s="431"/>
      <c r="K36" s="431"/>
      <c r="L36" s="431"/>
      <c r="M36" s="431"/>
      <c r="N36" s="431"/>
      <c r="S36" s="338"/>
    </row>
    <row r="37" spans="1:38" s="210" customFormat="1" ht="20.399999999999999" x14ac:dyDescent="0.3">
      <c r="A37" s="430"/>
      <c r="B37" s="431"/>
      <c r="C37" s="431"/>
      <c r="D37" s="431"/>
      <c r="E37" s="431"/>
      <c r="F37" s="431"/>
      <c r="G37" s="243" t="s">
        <v>557</v>
      </c>
      <c r="H37" s="243" t="s">
        <v>558</v>
      </c>
      <c r="I37" s="243" t="s">
        <v>559</v>
      </c>
      <c r="J37" s="243" t="s">
        <v>557</v>
      </c>
      <c r="K37" s="243" t="s">
        <v>558</v>
      </c>
      <c r="L37" s="243" t="s">
        <v>560</v>
      </c>
      <c r="M37" s="431"/>
      <c r="N37" s="431"/>
      <c r="S37" s="338"/>
    </row>
    <row r="38" spans="1:38" s="210" customFormat="1" ht="14.4" x14ac:dyDescent="0.3">
      <c r="A38" s="244">
        <v>1</v>
      </c>
      <c r="B38" s="245">
        <v>2</v>
      </c>
      <c r="C38" s="437">
        <v>3</v>
      </c>
      <c r="D38" s="437"/>
      <c r="E38" s="437"/>
      <c r="F38" s="245">
        <v>4</v>
      </c>
      <c r="G38" s="245">
        <v>5</v>
      </c>
      <c r="H38" s="245">
        <v>6</v>
      </c>
      <c r="I38" s="245">
        <v>7</v>
      </c>
      <c r="J38" s="245">
        <v>8</v>
      </c>
      <c r="K38" s="245">
        <v>9</v>
      </c>
      <c r="L38" s="245">
        <v>10</v>
      </c>
      <c r="M38" s="245">
        <v>11</v>
      </c>
      <c r="N38" s="245">
        <v>12</v>
      </c>
      <c r="S38" s="338"/>
    </row>
    <row r="39" spans="1:38" s="210" customFormat="1" ht="14.4" x14ac:dyDescent="0.3">
      <c r="A39" s="438" t="s">
        <v>561</v>
      </c>
      <c r="B39" s="439"/>
      <c r="C39" s="439"/>
      <c r="D39" s="439"/>
      <c r="E39" s="439"/>
      <c r="F39" s="439"/>
      <c r="G39" s="439"/>
      <c r="H39" s="439"/>
      <c r="I39" s="439"/>
      <c r="J39" s="439"/>
      <c r="K39" s="439"/>
      <c r="L39" s="439"/>
      <c r="M39" s="439"/>
      <c r="N39" s="440"/>
      <c r="S39" s="338"/>
      <c r="AF39" s="246" t="s">
        <v>561</v>
      </c>
    </row>
    <row r="40" spans="1:38" s="210" customFormat="1" ht="31.8" x14ac:dyDescent="0.3">
      <c r="A40" s="247" t="s">
        <v>301</v>
      </c>
      <c r="B40" s="248" t="s">
        <v>562</v>
      </c>
      <c r="C40" s="441" t="s">
        <v>563</v>
      </c>
      <c r="D40" s="441"/>
      <c r="E40" s="441"/>
      <c r="F40" s="249" t="s">
        <v>564</v>
      </c>
      <c r="G40" s="250">
        <v>0.22</v>
      </c>
      <c r="H40" s="251">
        <v>1</v>
      </c>
      <c r="I40" s="252">
        <v>0.22</v>
      </c>
      <c r="J40" s="253"/>
      <c r="K40" s="250"/>
      <c r="L40" s="253"/>
      <c r="M40" s="250"/>
      <c r="N40" s="254"/>
      <c r="S40" s="338"/>
      <c r="AF40" s="246"/>
      <c r="AG40" s="255" t="s">
        <v>563</v>
      </c>
    </row>
    <row r="41" spans="1:38" s="210" customFormat="1" ht="14.4" x14ac:dyDescent="0.3">
      <c r="A41" s="256"/>
      <c r="B41" s="257"/>
      <c r="C41" s="435" t="s">
        <v>565</v>
      </c>
      <c r="D41" s="435"/>
      <c r="E41" s="435"/>
      <c r="F41" s="435"/>
      <c r="G41" s="435"/>
      <c r="H41" s="435"/>
      <c r="I41" s="435"/>
      <c r="J41" s="435"/>
      <c r="K41" s="435"/>
      <c r="L41" s="435"/>
      <c r="M41" s="435"/>
      <c r="N41" s="442"/>
      <c r="S41" s="338"/>
      <c r="AF41" s="246"/>
      <c r="AG41" s="255"/>
      <c r="AH41" s="258" t="s">
        <v>565</v>
      </c>
    </row>
    <row r="42" spans="1:38" s="210" customFormat="1" ht="52.2" x14ac:dyDescent="0.3">
      <c r="A42" s="283"/>
      <c r="B42" s="260" t="s">
        <v>704</v>
      </c>
      <c r="C42" s="443" t="s">
        <v>705</v>
      </c>
      <c r="D42" s="443"/>
      <c r="E42" s="443"/>
      <c r="F42" s="443"/>
      <c r="G42" s="443"/>
      <c r="H42" s="443"/>
      <c r="I42" s="443"/>
      <c r="J42" s="443"/>
      <c r="K42" s="443"/>
      <c r="L42" s="443"/>
      <c r="M42" s="443"/>
      <c r="N42" s="444"/>
      <c r="S42" s="338"/>
      <c r="AF42" s="246"/>
      <c r="AG42" s="255"/>
      <c r="AI42" s="258" t="s">
        <v>705</v>
      </c>
    </row>
    <row r="43" spans="1:38" s="210" customFormat="1" ht="14.4" x14ac:dyDescent="0.3">
      <c r="A43" s="259"/>
      <c r="B43" s="260" t="s">
        <v>301</v>
      </c>
      <c r="C43" s="435" t="s">
        <v>566</v>
      </c>
      <c r="D43" s="435"/>
      <c r="E43" s="435"/>
      <c r="F43" s="261"/>
      <c r="G43" s="262"/>
      <c r="H43" s="262"/>
      <c r="I43" s="262"/>
      <c r="J43" s="263">
        <v>730.95</v>
      </c>
      <c r="K43" s="267">
        <v>1.1499999999999999</v>
      </c>
      <c r="L43" s="263">
        <v>184.93</v>
      </c>
      <c r="M43" s="264">
        <v>41.8</v>
      </c>
      <c r="N43" s="265">
        <v>7730.07</v>
      </c>
      <c r="S43" s="338"/>
      <c r="AF43" s="246"/>
      <c r="AG43" s="255"/>
      <c r="AJ43" s="258" t="s">
        <v>566</v>
      </c>
    </row>
    <row r="44" spans="1:38" s="210" customFormat="1" ht="14.4" x14ac:dyDescent="0.3">
      <c r="A44" s="259"/>
      <c r="B44" s="260" t="s">
        <v>304</v>
      </c>
      <c r="C44" s="435" t="s">
        <v>567</v>
      </c>
      <c r="D44" s="435"/>
      <c r="E44" s="435"/>
      <c r="F44" s="261"/>
      <c r="G44" s="262"/>
      <c r="H44" s="262"/>
      <c r="I44" s="262"/>
      <c r="J44" s="266">
        <v>3309.83</v>
      </c>
      <c r="K44" s="267">
        <v>1.1499999999999999</v>
      </c>
      <c r="L44" s="263">
        <v>837.39</v>
      </c>
      <c r="M44" s="267">
        <v>13.59</v>
      </c>
      <c r="N44" s="265">
        <v>11380.13</v>
      </c>
      <c r="S44" s="338"/>
      <c r="AF44" s="246"/>
      <c r="AG44" s="255"/>
      <c r="AJ44" s="258" t="s">
        <v>567</v>
      </c>
    </row>
    <row r="45" spans="1:38" s="210" customFormat="1" ht="14.4" x14ac:dyDescent="0.3">
      <c r="A45" s="259"/>
      <c r="B45" s="260" t="s">
        <v>568</v>
      </c>
      <c r="C45" s="435" t="s">
        <v>569</v>
      </c>
      <c r="D45" s="435"/>
      <c r="E45" s="435"/>
      <c r="F45" s="261"/>
      <c r="G45" s="262"/>
      <c r="H45" s="262"/>
      <c r="I45" s="262"/>
      <c r="J45" s="263">
        <v>446.48</v>
      </c>
      <c r="K45" s="267">
        <v>1.1499999999999999</v>
      </c>
      <c r="L45" s="263">
        <v>112.96</v>
      </c>
      <c r="M45" s="264">
        <v>41.8</v>
      </c>
      <c r="N45" s="265">
        <v>4721.7299999999996</v>
      </c>
      <c r="S45" s="338"/>
      <c r="AF45" s="246"/>
      <c r="AG45" s="255"/>
      <c r="AJ45" s="258" t="s">
        <v>569</v>
      </c>
    </row>
    <row r="46" spans="1:38" s="210" customFormat="1" ht="14.4" x14ac:dyDescent="0.3">
      <c r="A46" s="268"/>
      <c r="B46" s="260"/>
      <c r="C46" s="435" t="s">
        <v>570</v>
      </c>
      <c r="D46" s="435"/>
      <c r="E46" s="435"/>
      <c r="F46" s="261" t="s">
        <v>571</v>
      </c>
      <c r="G46" s="264">
        <v>82.5</v>
      </c>
      <c r="H46" s="267">
        <v>1.1499999999999999</v>
      </c>
      <c r="I46" s="271">
        <v>20.872499999999999</v>
      </c>
      <c r="J46" s="269"/>
      <c r="K46" s="262"/>
      <c r="L46" s="269"/>
      <c r="M46" s="262"/>
      <c r="N46" s="270"/>
      <c r="S46" s="338"/>
      <c r="AF46" s="246"/>
      <c r="AG46" s="255"/>
      <c r="AK46" s="258" t="s">
        <v>570</v>
      </c>
    </row>
    <row r="47" spans="1:38" s="210" customFormat="1" ht="14.4" x14ac:dyDescent="0.3">
      <c r="A47" s="268"/>
      <c r="B47" s="260"/>
      <c r="C47" s="435" t="s">
        <v>572</v>
      </c>
      <c r="D47" s="435"/>
      <c r="E47" s="435"/>
      <c r="F47" s="261" t="s">
        <v>571</v>
      </c>
      <c r="G47" s="267">
        <v>34.17</v>
      </c>
      <c r="H47" s="267">
        <v>1.1499999999999999</v>
      </c>
      <c r="I47" s="289">
        <v>8.6450099999999992</v>
      </c>
      <c r="J47" s="269"/>
      <c r="K47" s="262"/>
      <c r="L47" s="269"/>
      <c r="M47" s="262"/>
      <c r="N47" s="270"/>
      <c r="S47" s="338"/>
      <c r="AF47" s="246"/>
      <c r="AG47" s="255"/>
      <c r="AK47" s="258" t="s">
        <v>572</v>
      </c>
    </row>
    <row r="48" spans="1:38" s="210" customFormat="1" ht="14.4" x14ac:dyDescent="0.3">
      <c r="A48" s="259"/>
      <c r="B48" s="260"/>
      <c r="C48" s="436" t="s">
        <v>573</v>
      </c>
      <c r="D48" s="436"/>
      <c r="E48" s="436"/>
      <c r="F48" s="272"/>
      <c r="G48" s="273"/>
      <c r="H48" s="273"/>
      <c r="I48" s="273"/>
      <c r="J48" s="274">
        <v>4040.78</v>
      </c>
      <c r="K48" s="273"/>
      <c r="L48" s="274">
        <v>1022.32</v>
      </c>
      <c r="M48" s="273"/>
      <c r="N48" s="276">
        <v>19110.2</v>
      </c>
      <c r="S48" s="338"/>
      <c r="AF48" s="246"/>
      <c r="AG48" s="255"/>
      <c r="AL48" s="258" t="s">
        <v>573</v>
      </c>
    </row>
    <row r="49" spans="1:52" s="210" customFormat="1" ht="14.4" x14ac:dyDescent="0.3">
      <c r="A49" s="268"/>
      <c r="B49" s="260"/>
      <c r="C49" s="435" t="s">
        <v>574</v>
      </c>
      <c r="D49" s="435"/>
      <c r="E49" s="435"/>
      <c r="F49" s="261"/>
      <c r="G49" s="262"/>
      <c r="H49" s="262"/>
      <c r="I49" s="262"/>
      <c r="J49" s="269"/>
      <c r="K49" s="262"/>
      <c r="L49" s="263">
        <v>297.89</v>
      </c>
      <c r="M49" s="262"/>
      <c r="N49" s="265">
        <v>12451.8</v>
      </c>
      <c r="S49" s="338"/>
      <c r="AF49" s="246"/>
      <c r="AG49" s="255"/>
      <c r="AK49" s="258" t="s">
        <v>574</v>
      </c>
    </row>
    <row r="50" spans="1:52" s="210" customFormat="1" ht="21.6" x14ac:dyDescent="0.3">
      <c r="A50" s="268"/>
      <c r="B50" s="260" t="s">
        <v>575</v>
      </c>
      <c r="C50" s="435" t="s">
        <v>576</v>
      </c>
      <c r="D50" s="435"/>
      <c r="E50" s="435"/>
      <c r="F50" s="261" t="s">
        <v>577</v>
      </c>
      <c r="G50" s="277">
        <v>110</v>
      </c>
      <c r="H50" s="262"/>
      <c r="I50" s="277">
        <v>110</v>
      </c>
      <c r="J50" s="269"/>
      <c r="K50" s="262"/>
      <c r="L50" s="263">
        <v>327.68</v>
      </c>
      <c r="M50" s="262"/>
      <c r="N50" s="265">
        <v>13696.98</v>
      </c>
      <c r="S50" s="338"/>
      <c r="AF50" s="246"/>
      <c r="AG50" s="255"/>
      <c r="AK50" s="258" t="s">
        <v>576</v>
      </c>
    </row>
    <row r="51" spans="1:52" s="210" customFormat="1" ht="40.799999999999997" x14ac:dyDescent="0.3">
      <c r="A51" s="268"/>
      <c r="B51" s="260" t="s">
        <v>578</v>
      </c>
      <c r="C51" s="435" t="s">
        <v>579</v>
      </c>
      <c r="D51" s="435"/>
      <c r="E51" s="435"/>
      <c r="F51" s="261" t="s">
        <v>577</v>
      </c>
      <c r="G51" s="277">
        <v>73</v>
      </c>
      <c r="H51" s="267">
        <v>0.85</v>
      </c>
      <c r="I51" s="267">
        <v>62.05</v>
      </c>
      <c r="J51" s="269"/>
      <c r="K51" s="262"/>
      <c r="L51" s="263">
        <v>184.84</v>
      </c>
      <c r="M51" s="262"/>
      <c r="N51" s="265">
        <v>7726.34</v>
      </c>
      <c r="S51" s="338"/>
      <c r="AF51" s="246"/>
      <c r="AG51" s="255"/>
      <c r="AK51" s="258" t="s">
        <v>579</v>
      </c>
    </row>
    <row r="52" spans="1:52" s="210" customFormat="1" ht="14.4" x14ac:dyDescent="0.3">
      <c r="A52" s="278"/>
      <c r="B52" s="311"/>
      <c r="C52" s="441" t="s">
        <v>580</v>
      </c>
      <c r="D52" s="441"/>
      <c r="E52" s="441"/>
      <c r="F52" s="249"/>
      <c r="G52" s="250"/>
      <c r="H52" s="250"/>
      <c r="I52" s="250"/>
      <c r="J52" s="253"/>
      <c r="K52" s="250"/>
      <c r="L52" s="279">
        <v>1534.84</v>
      </c>
      <c r="M52" s="273"/>
      <c r="N52" s="280">
        <v>40533.519999999997</v>
      </c>
      <c r="S52" s="338"/>
      <c r="AF52" s="246"/>
      <c r="AG52" s="255"/>
      <c r="AM52" s="255" t="s">
        <v>580</v>
      </c>
    </row>
    <row r="53" spans="1:52" s="210" customFormat="1" ht="14.4" x14ac:dyDescent="0.3">
      <c r="A53" s="247" t="s">
        <v>304</v>
      </c>
      <c r="B53" s="248" t="s">
        <v>581</v>
      </c>
      <c r="C53" s="441" t="s">
        <v>582</v>
      </c>
      <c r="D53" s="441"/>
      <c r="E53" s="441"/>
      <c r="F53" s="249" t="s">
        <v>178</v>
      </c>
      <c r="G53" s="250">
        <v>22</v>
      </c>
      <c r="H53" s="251">
        <v>1</v>
      </c>
      <c r="I53" s="251">
        <v>22</v>
      </c>
      <c r="J53" s="281">
        <v>384.04</v>
      </c>
      <c r="K53" s="282">
        <v>1.0506</v>
      </c>
      <c r="L53" s="279">
        <v>8876.39</v>
      </c>
      <c r="M53" s="252">
        <v>8.92</v>
      </c>
      <c r="N53" s="280">
        <v>79177.399999999994</v>
      </c>
      <c r="S53" s="338"/>
      <c r="AF53" s="246"/>
      <c r="AG53" s="255" t="s">
        <v>582</v>
      </c>
      <c r="AM53" s="255"/>
    </row>
    <row r="54" spans="1:52" s="210" customFormat="1" ht="14.4" x14ac:dyDescent="0.3">
      <c r="A54" s="278"/>
      <c r="B54" s="311"/>
      <c r="C54" s="435" t="s">
        <v>583</v>
      </c>
      <c r="D54" s="435"/>
      <c r="E54" s="435"/>
      <c r="F54" s="435"/>
      <c r="G54" s="435"/>
      <c r="H54" s="435"/>
      <c r="I54" s="435"/>
      <c r="J54" s="435"/>
      <c r="K54" s="435"/>
      <c r="L54" s="435"/>
      <c r="M54" s="435"/>
      <c r="N54" s="442"/>
      <c r="S54" s="338"/>
      <c r="AF54" s="246"/>
      <c r="AG54" s="255"/>
      <c r="AM54" s="255"/>
      <c r="AN54" s="258" t="s">
        <v>583</v>
      </c>
    </row>
    <row r="55" spans="1:52" s="210" customFormat="1" ht="14.4" x14ac:dyDescent="0.3">
      <c r="A55" s="256"/>
      <c r="B55" s="257"/>
      <c r="C55" s="435" t="s">
        <v>584</v>
      </c>
      <c r="D55" s="435"/>
      <c r="E55" s="435"/>
      <c r="F55" s="435"/>
      <c r="G55" s="435"/>
      <c r="H55" s="435"/>
      <c r="I55" s="435"/>
      <c r="J55" s="435"/>
      <c r="K55" s="435"/>
      <c r="L55" s="435"/>
      <c r="M55" s="435"/>
      <c r="N55" s="442"/>
      <c r="S55" s="338"/>
      <c r="AF55" s="246"/>
      <c r="AG55" s="255"/>
      <c r="AM55" s="255"/>
      <c r="AO55" s="258" t="s">
        <v>584</v>
      </c>
    </row>
    <row r="56" spans="1:52" s="210" customFormat="1" ht="20.399999999999999" x14ac:dyDescent="0.3">
      <c r="A56" s="283"/>
      <c r="B56" s="260" t="s">
        <v>585</v>
      </c>
      <c r="C56" s="443" t="s">
        <v>586</v>
      </c>
      <c r="D56" s="443"/>
      <c r="E56" s="443"/>
      <c r="F56" s="443"/>
      <c r="G56" s="443"/>
      <c r="H56" s="443"/>
      <c r="I56" s="443"/>
      <c r="J56" s="443"/>
      <c r="K56" s="443"/>
      <c r="L56" s="443"/>
      <c r="M56" s="443"/>
      <c r="N56" s="444"/>
      <c r="S56" s="338"/>
      <c r="AF56" s="246"/>
      <c r="AG56" s="255"/>
      <c r="AI56" s="258" t="s">
        <v>586</v>
      </c>
      <c r="AM56" s="255"/>
    </row>
    <row r="57" spans="1:52" s="210" customFormat="1" ht="14.4" x14ac:dyDescent="0.3">
      <c r="A57" s="283"/>
      <c r="B57" s="260"/>
      <c r="C57" s="443" t="s">
        <v>587</v>
      </c>
      <c r="D57" s="443"/>
      <c r="E57" s="443"/>
      <c r="F57" s="443"/>
      <c r="G57" s="443"/>
      <c r="H57" s="443"/>
      <c r="I57" s="443"/>
      <c r="J57" s="443"/>
      <c r="K57" s="443"/>
      <c r="L57" s="443"/>
      <c r="M57" s="443"/>
      <c r="N57" s="444"/>
      <c r="S57" s="338"/>
      <c r="AF57" s="246"/>
      <c r="AG57" s="255"/>
      <c r="AI57" s="258" t="s">
        <v>587</v>
      </c>
      <c r="AM57" s="255"/>
    </row>
    <row r="58" spans="1:52" s="210" customFormat="1" ht="14.4" x14ac:dyDescent="0.3">
      <c r="A58" s="278"/>
      <c r="B58" s="311"/>
      <c r="C58" s="441" t="s">
        <v>580</v>
      </c>
      <c r="D58" s="441"/>
      <c r="E58" s="441"/>
      <c r="F58" s="249"/>
      <c r="G58" s="250"/>
      <c r="H58" s="250"/>
      <c r="I58" s="250"/>
      <c r="J58" s="253"/>
      <c r="K58" s="250"/>
      <c r="L58" s="279">
        <v>8876.39</v>
      </c>
      <c r="M58" s="273"/>
      <c r="N58" s="280">
        <v>79177.399999999994</v>
      </c>
      <c r="S58" s="338"/>
      <c r="AF58" s="246"/>
      <c r="AG58" s="255"/>
      <c r="AM58" s="255" t="s">
        <v>580</v>
      </c>
    </row>
    <row r="59" spans="1:52" s="210" customFormat="1" ht="42" x14ac:dyDescent="0.3">
      <c r="A59" s="247" t="s">
        <v>568</v>
      </c>
      <c r="B59" s="248" t="s">
        <v>588</v>
      </c>
      <c r="C59" s="441" t="s">
        <v>589</v>
      </c>
      <c r="D59" s="441"/>
      <c r="E59" s="441"/>
      <c r="F59" s="249" t="s">
        <v>590</v>
      </c>
      <c r="G59" s="250">
        <v>0.48</v>
      </c>
      <c r="H59" s="251">
        <v>1</v>
      </c>
      <c r="I59" s="252">
        <v>0.48</v>
      </c>
      <c r="J59" s="253"/>
      <c r="K59" s="250"/>
      <c r="L59" s="253"/>
      <c r="M59" s="250"/>
      <c r="N59" s="254"/>
      <c r="R59" s="210" t="s">
        <v>696</v>
      </c>
      <c r="S59" s="338"/>
      <c r="AF59" s="246"/>
      <c r="AG59" s="255" t="s">
        <v>589</v>
      </c>
      <c r="AL59" s="255"/>
    </row>
    <row r="60" spans="1:52" s="210" customFormat="1" ht="14.4" x14ac:dyDescent="0.3">
      <c r="A60" s="256"/>
      <c r="B60" s="257"/>
      <c r="C60" s="435" t="s">
        <v>591</v>
      </c>
      <c r="D60" s="435"/>
      <c r="E60" s="435"/>
      <c r="F60" s="435"/>
      <c r="G60" s="435"/>
      <c r="H60" s="435"/>
      <c r="I60" s="435"/>
      <c r="J60" s="435"/>
      <c r="K60" s="435"/>
      <c r="L60" s="435"/>
      <c r="M60" s="435"/>
      <c r="N60" s="442"/>
      <c r="R60" s="445" t="s">
        <v>699</v>
      </c>
      <c r="S60" s="445"/>
      <c r="T60" s="445"/>
      <c r="U60" s="445"/>
      <c r="V60" s="445"/>
      <c r="W60" s="445"/>
      <c r="X60" s="445"/>
      <c r="Y60" s="445"/>
      <c r="Z60" s="445"/>
      <c r="AA60" s="445"/>
      <c r="AB60" s="445"/>
      <c r="AC60" s="445"/>
      <c r="AD60" s="445"/>
      <c r="AE60" s="445"/>
      <c r="AF60" s="445"/>
      <c r="AG60" s="445"/>
      <c r="AH60" s="445"/>
      <c r="AI60" s="445"/>
      <c r="AJ60" s="445"/>
      <c r="AK60" s="445"/>
      <c r="AL60" s="445"/>
      <c r="AM60" s="445"/>
      <c r="AN60" s="445"/>
      <c r="AO60" s="445"/>
      <c r="AP60" s="445"/>
      <c r="AQ60" s="445"/>
      <c r="AR60" s="445"/>
      <c r="AS60" s="445"/>
      <c r="AT60" s="445"/>
      <c r="AU60" s="445"/>
      <c r="AV60" s="445"/>
      <c r="AW60" s="445"/>
      <c r="AX60" s="445"/>
      <c r="AY60" s="445"/>
      <c r="AZ60" s="445"/>
    </row>
    <row r="61" spans="1:52" s="210" customFormat="1" ht="20.399999999999999" x14ac:dyDescent="0.3">
      <c r="A61" s="283"/>
      <c r="B61" s="260" t="s">
        <v>704</v>
      </c>
      <c r="C61" s="443" t="s">
        <v>705</v>
      </c>
      <c r="D61" s="443"/>
      <c r="E61" s="443"/>
      <c r="F61" s="443"/>
      <c r="G61" s="443"/>
      <c r="H61" s="443"/>
      <c r="I61" s="443"/>
      <c r="J61" s="443"/>
      <c r="K61" s="443"/>
      <c r="L61" s="443"/>
      <c r="M61" s="443"/>
      <c r="N61" s="444"/>
      <c r="R61" s="445"/>
      <c r="S61" s="445"/>
      <c r="T61" s="445"/>
      <c r="U61" s="445"/>
      <c r="V61" s="445"/>
      <c r="W61" s="445"/>
      <c r="X61" s="445"/>
      <c r="Y61" s="445"/>
      <c r="Z61" s="445"/>
      <c r="AA61" s="445"/>
      <c r="AB61" s="445"/>
      <c r="AC61" s="445"/>
      <c r="AD61" s="445"/>
      <c r="AE61" s="445"/>
      <c r="AF61" s="445"/>
      <c r="AG61" s="445"/>
      <c r="AH61" s="445"/>
      <c r="AI61" s="445"/>
      <c r="AJ61" s="445"/>
      <c r="AK61" s="445"/>
      <c r="AL61" s="445"/>
      <c r="AM61" s="445"/>
      <c r="AN61" s="445"/>
      <c r="AO61" s="445"/>
      <c r="AP61" s="445"/>
      <c r="AQ61" s="445"/>
      <c r="AR61" s="445"/>
      <c r="AS61" s="445"/>
      <c r="AT61" s="445"/>
      <c r="AU61" s="445"/>
      <c r="AV61" s="445"/>
      <c r="AW61" s="445"/>
      <c r="AX61" s="445"/>
      <c r="AY61" s="445"/>
      <c r="AZ61" s="445"/>
    </row>
    <row r="62" spans="1:52" s="210" customFormat="1" ht="14.4" x14ac:dyDescent="0.3">
      <c r="A62" s="259"/>
      <c r="B62" s="260" t="s">
        <v>301</v>
      </c>
      <c r="C62" s="435" t="s">
        <v>566</v>
      </c>
      <c r="D62" s="435"/>
      <c r="E62" s="435"/>
      <c r="F62" s="261"/>
      <c r="G62" s="262"/>
      <c r="H62" s="262"/>
      <c r="I62" s="262"/>
      <c r="J62" s="266">
        <v>8507.94</v>
      </c>
      <c r="K62" s="267">
        <v>1.1499999999999999</v>
      </c>
      <c r="L62" s="266">
        <v>4696.38</v>
      </c>
      <c r="M62" s="264">
        <v>41.8</v>
      </c>
      <c r="N62" s="265">
        <v>196308.68</v>
      </c>
      <c r="R62" s="445"/>
      <c r="S62" s="445"/>
      <c r="T62" s="445"/>
      <c r="U62" s="445"/>
      <c r="V62" s="445"/>
      <c r="W62" s="445"/>
      <c r="X62" s="445"/>
      <c r="Y62" s="445"/>
      <c r="Z62" s="445"/>
      <c r="AA62" s="445"/>
      <c r="AB62" s="445"/>
      <c r="AC62" s="445"/>
      <c r="AD62" s="445"/>
      <c r="AE62" s="445"/>
      <c r="AF62" s="445"/>
      <c r="AG62" s="445"/>
      <c r="AH62" s="445"/>
      <c r="AI62" s="445"/>
      <c r="AJ62" s="445"/>
      <c r="AK62" s="445"/>
      <c r="AL62" s="445"/>
      <c r="AM62" s="445"/>
      <c r="AN62" s="445"/>
      <c r="AO62" s="445"/>
      <c r="AP62" s="445"/>
      <c r="AQ62" s="445"/>
      <c r="AR62" s="445"/>
      <c r="AS62" s="445"/>
      <c r="AT62" s="445"/>
      <c r="AU62" s="445"/>
      <c r="AV62" s="445"/>
      <c r="AW62" s="445"/>
      <c r="AX62" s="445"/>
      <c r="AY62" s="445"/>
      <c r="AZ62" s="445"/>
    </row>
    <row r="63" spans="1:52" s="210" customFormat="1" ht="14.4" x14ac:dyDescent="0.3">
      <c r="A63" s="259"/>
      <c r="B63" s="260" t="s">
        <v>304</v>
      </c>
      <c r="C63" s="435" t="s">
        <v>567</v>
      </c>
      <c r="D63" s="435"/>
      <c r="E63" s="435"/>
      <c r="F63" s="261"/>
      <c r="G63" s="262"/>
      <c r="H63" s="262"/>
      <c r="I63" s="262"/>
      <c r="J63" s="266">
        <v>18710.8</v>
      </c>
      <c r="K63" s="267">
        <v>1.1499999999999999</v>
      </c>
      <c r="L63" s="266">
        <v>10328.36</v>
      </c>
      <c r="M63" s="267">
        <v>13.59</v>
      </c>
      <c r="N63" s="265">
        <v>140362.41</v>
      </c>
      <c r="R63" s="445"/>
      <c r="S63" s="445"/>
      <c r="T63" s="445"/>
      <c r="U63" s="445"/>
      <c r="V63" s="445"/>
      <c r="W63" s="445"/>
      <c r="X63" s="445"/>
      <c r="Y63" s="445"/>
      <c r="Z63" s="445"/>
      <c r="AA63" s="445"/>
      <c r="AB63" s="445"/>
      <c r="AC63" s="445"/>
      <c r="AD63" s="445"/>
      <c r="AE63" s="445"/>
      <c r="AF63" s="445"/>
      <c r="AG63" s="445"/>
      <c r="AH63" s="445"/>
      <c r="AI63" s="445"/>
      <c r="AJ63" s="445"/>
      <c r="AK63" s="445"/>
      <c r="AL63" s="445"/>
      <c r="AM63" s="445"/>
      <c r="AN63" s="445"/>
      <c r="AO63" s="445"/>
      <c r="AP63" s="445"/>
      <c r="AQ63" s="445"/>
      <c r="AR63" s="445"/>
      <c r="AS63" s="445"/>
      <c r="AT63" s="445"/>
      <c r="AU63" s="445"/>
      <c r="AV63" s="445"/>
      <c r="AW63" s="445"/>
      <c r="AX63" s="445"/>
      <c r="AY63" s="445"/>
      <c r="AZ63" s="445"/>
    </row>
    <row r="64" spans="1:52" s="210" customFormat="1" ht="14.4" x14ac:dyDescent="0.3">
      <c r="A64" s="259"/>
      <c r="B64" s="260" t="s">
        <v>568</v>
      </c>
      <c r="C64" s="435" t="s">
        <v>569</v>
      </c>
      <c r="D64" s="435"/>
      <c r="E64" s="435"/>
      <c r="F64" s="261"/>
      <c r="G64" s="262"/>
      <c r="H64" s="262"/>
      <c r="I64" s="262"/>
      <c r="J64" s="266">
        <v>1848.3</v>
      </c>
      <c r="K64" s="267">
        <v>1.1499999999999999</v>
      </c>
      <c r="L64" s="266">
        <v>1020.26</v>
      </c>
      <c r="M64" s="264">
        <v>41.8</v>
      </c>
      <c r="N64" s="265">
        <v>42646.87</v>
      </c>
      <c r="S64" s="338"/>
      <c r="AF64" s="246"/>
      <c r="AG64" s="255"/>
      <c r="AJ64" s="258" t="s">
        <v>569</v>
      </c>
      <c r="AM64" s="255"/>
    </row>
    <row r="65" spans="1:40" s="210" customFormat="1" ht="14.4" x14ac:dyDescent="0.3">
      <c r="A65" s="259"/>
      <c r="B65" s="260" t="s">
        <v>592</v>
      </c>
      <c r="C65" s="435" t="s">
        <v>593</v>
      </c>
      <c r="D65" s="435"/>
      <c r="E65" s="435"/>
      <c r="F65" s="261"/>
      <c r="G65" s="262"/>
      <c r="H65" s="262"/>
      <c r="I65" s="262"/>
      <c r="J65" s="266">
        <v>21932.11</v>
      </c>
      <c r="K65" s="262"/>
      <c r="L65" s="266">
        <v>10527.41</v>
      </c>
      <c r="M65" s="267">
        <v>8.92</v>
      </c>
      <c r="N65" s="265">
        <v>93904.5</v>
      </c>
      <c r="S65" s="338"/>
      <c r="AF65" s="246"/>
      <c r="AG65" s="255"/>
      <c r="AJ65" s="258" t="s">
        <v>593</v>
      </c>
      <c r="AM65" s="255"/>
    </row>
    <row r="66" spans="1:40" s="210" customFormat="1" ht="14.4" x14ac:dyDescent="0.3">
      <c r="A66" s="268"/>
      <c r="B66" s="260"/>
      <c r="C66" s="435" t="s">
        <v>570</v>
      </c>
      <c r="D66" s="435"/>
      <c r="E66" s="435"/>
      <c r="F66" s="261" t="s">
        <v>571</v>
      </c>
      <c r="G66" s="267">
        <v>845.72</v>
      </c>
      <c r="H66" s="267">
        <v>1.1499999999999999</v>
      </c>
      <c r="I66" s="289">
        <v>466.83744000000002</v>
      </c>
      <c r="J66" s="269"/>
      <c r="K66" s="262"/>
      <c r="L66" s="269"/>
      <c r="M66" s="262"/>
      <c r="N66" s="270"/>
      <c r="S66" s="338"/>
      <c r="AF66" s="246"/>
      <c r="AG66" s="255"/>
      <c r="AK66" s="258" t="s">
        <v>570</v>
      </c>
      <c r="AM66" s="255"/>
    </row>
    <row r="67" spans="1:40" s="210" customFormat="1" ht="14.4" x14ac:dyDescent="0.3">
      <c r="A67" s="268"/>
      <c r="B67" s="260"/>
      <c r="C67" s="435" t="s">
        <v>572</v>
      </c>
      <c r="D67" s="435"/>
      <c r="E67" s="435"/>
      <c r="F67" s="261" t="s">
        <v>571</v>
      </c>
      <c r="G67" s="267">
        <v>150.28</v>
      </c>
      <c r="H67" s="267">
        <v>1.1499999999999999</v>
      </c>
      <c r="I67" s="289">
        <v>82.954560000000001</v>
      </c>
      <c r="J67" s="269"/>
      <c r="K67" s="262"/>
      <c r="L67" s="269"/>
      <c r="M67" s="262"/>
      <c r="N67" s="270"/>
      <c r="S67" s="338"/>
      <c r="AF67" s="246"/>
      <c r="AG67" s="255"/>
      <c r="AK67" s="258" t="s">
        <v>572</v>
      </c>
      <c r="AM67" s="255"/>
    </row>
    <row r="68" spans="1:40" s="210" customFormat="1" ht="14.4" x14ac:dyDescent="0.3">
      <c r="A68" s="259"/>
      <c r="B68" s="260"/>
      <c r="C68" s="436" t="s">
        <v>573</v>
      </c>
      <c r="D68" s="436"/>
      <c r="E68" s="436"/>
      <c r="F68" s="272"/>
      <c r="G68" s="273"/>
      <c r="H68" s="273"/>
      <c r="I68" s="273"/>
      <c r="J68" s="274">
        <v>49150.85</v>
      </c>
      <c r="K68" s="273"/>
      <c r="L68" s="274">
        <v>25552.15</v>
      </c>
      <c r="M68" s="273"/>
      <c r="N68" s="276">
        <v>430575.59</v>
      </c>
      <c r="S68" s="338"/>
      <c r="AF68" s="246"/>
      <c r="AG68" s="255"/>
      <c r="AL68" s="258" t="s">
        <v>573</v>
      </c>
      <c r="AM68" s="255"/>
    </row>
    <row r="69" spans="1:40" s="210" customFormat="1" ht="14.4" x14ac:dyDescent="0.3">
      <c r="A69" s="268"/>
      <c r="B69" s="260"/>
      <c r="C69" s="435" t="s">
        <v>574</v>
      </c>
      <c r="D69" s="435"/>
      <c r="E69" s="435"/>
      <c r="F69" s="261"/>
      <c r="G69" s="262"/>
      <c r="H69" s="262"/>
      <c r="I69" s="262"/>
      <c r="J69" s="269"/>
      <c r="K69" s="262"/>
      <c r="L69" s="266">
        <v>5716.64</v>
      </c>
      <c r="M69" s="262"/>
      <c r="N69" s="265">
        <v>238955.55</v>
      </c>
      <c r="S69" s="338"/>
      <c r="AF69" s="246"/>
      <c r="AG69" s="255"/>
      <c r="AK69" s="258" t="s">
        <v>574</v>
      </c>
      <c r="AM69" s="255"/>
    </row>
    <row r="70" spans="1:40" s="210" customFormat="1" ht="21.6" x14ac:dyDescent="0.3">
      <c r="A70" s="268"/>
      <c r="B70" s="260" t="s">
        <v>594</v>
      </c>
      <c r="C70" s="435" t="s">
        <v>595</v>
      </c>
      <c r="D70" s="435"/>
      <c r="E70" s="435"/>
      <c r="F70" s="261" t="s">
        <v>577</v>
      </c>
      <c r="G70" s="277">
        <v>117</v>
      </c>
      <c r="H70" s="262"/>
      <c r="I70" s="277">
        <v>117</v>
      </c>
      <c r="J70" s="269"/>
      <c r="K70" s="262"/>
      <c r="L70" s="266">
        <v>6688.47</v>
      </c>
      <c r="M70" s="262"/>
      <c r="N70" s="265">
        <v>279577.99</v>
      </c>
      <c r="S70" s="338"/>
      <c r="AF70" s="246"/>
      <c r="AG70" s="255"/>
      <c r="AK70" s="258" t="s">
        <v>595</v>
      </c>
      <c r="AM70" s="255"/>
    </row>
    <row r="71" spans="1:40" s="210" customFormat="1" ht="40.799999999999997" x14ac:dyDescent="0.3">
      <c r="A71" s="268"/>
      <c r="B71" s="260" t="s">
        <v>596</v>
      </c>
      <c r="C71" s="435" t="s">
        <v>597</v>
      </c>
      <c r="D71" s="435"/>
      <c r="E71" s="435"/>
      <c r="F71" s="261" t="s">
        <v>577</v>
      </c>
      <c r="G71" s="277">
        <v>74</v>
      </c>
      <c r="H71" s="267">
        <v>0.85</v>
      </c>
      <c r="I71" s="264">
        <v>62.9</v>
      </c>
      <c r="J71" s="269"/>
      <c r="K71" s="262"/>
      <c r="L71" s="266">
        <v>3595.77</v>
      </c>
      <c r="M71" s="262"/>
      <c r="N71" s="265">
        <v>150303.04000000001</v>
      </c>
      <c r="S71" s="338"/>
      <c r="AF71" s="246"/>
      <c r="AG71" s="255"/>
      <c r="AK71" s="258" t="s">
        <v>597</v>
      </c>
      <c r="AM71" s="255"/>
    </row>
    <row r="72" spans="1:40" s="210" customFormat="1" ht="14.4" x14ac:dyDescent="0.3">
      <c r="A72" s="278"/>
      <c r="B72" s="311"/>
      <c r="C72" s="441" t="s">
        <v>580</v>
      </c>
      <c r="D72" s="441"/>
      <c r="E72" s="441"/>
      <c r="F72" s="249"/>
      <c r="G72" s="250"/>
      <c r="H72" s="250"/>
      <c r="I72" s="250"/>
      <c r="J72" s="253"/>
      <c r="K72" s="250"/>
      <c r="L72" s="279">
        <v>35836.39</v>
      </c>
      <c r="M72" s="273"/>
      <c r="N72" s="280">
        <v>860456.62</v>
      </c>
      <c r="S72" s="338"/>
      <c r="AF72" s="246"/>
      <c r="AG72" s="255"/>
      <c r="AM72" s="255" t="s">
        <v>580</v>
      </c>
    </row>
    <row r="73" spans="1:40" s="210" customFormat="1" ht="62.4" x14ac:dyDescent="0.3">
      <c r="A73" s="247" t="s">
        <v>592</v>
      </c>
      <c r="B73" s="248" t="s">
        <v>598</v>
      </c>
      <c r="C73" s="441" t="s">
        <v>599</v>
      </c>
      <c r="D73" s="441"/>
      <c r="E73" s="441"/>
      <c r="F73" s="249" t="s">
        <v>182</v>
      </c>
      <c r="G73" s="250">
        <v>480</v>
      </c>
      <c r="H73" s="251">
        <v>1</v>
      </c>
      <c r="I73" s="251">
        <v>480</v>
      </c>
      <c r="J73" s="281">
        <v>373.66</v>
      </c>
      <c r="K73" s="250"/>
      <c r="L73" s="279">
        <v>179356.79999999999</v>
      </c>
      <c r="M73" s="252">
        <v>8.92</v>
      </c>
      <c r="N73" s="280">
        <v>1599862.66</v>
      </c>
      <c r="S73" s="338"/>
      <c r="AF73" s="246"/>
      <c r="AG73" s="255" t="s">
        <v>599</v>
      </c>
      <c r="AM73" s="255"/>
    </row>
    <row r="74" spans="1:40" s="210" customFormat="1" ht="14.4" x14ac:dyDescent="0.3">
      <c r="A74" s="278"/>
      <c r="B74" s="311"/>
      <c r="C74" s="435" t="s">
        <v>583</v>
      </c>
      <c r="D74" s="435"/>
      <c r="E74" s="435"/>
      <c r="F74" s="435"/>
      <c r="G74" s="435"/>
      <c r="H74" s="435"/>
      <c r="I74" s="435"/>
      <c r="J74" s="435"/>
      <c r="K74" s="435"/>
      <c r="L74" s="435"/>
      <c r="M74" s="435"/>
      <c r="N74" s="442"/>
      <c r="S74" s="338"/>
      <c r="AF74" s="246"/>
      <c r="AG74" s="255"/>
      <c r="AM74" s="255"/>
      <c r="AN74" s="258" t="s">
        <v>583</v>
      </c>
    </row>
    <row r="75" spans="1:40" s="210" customFormat="1" ht="14.4" x14ac:dyDescent="0.3">
      <c r="A75" s="278"/>
      <c r="B75" s="311"/>
      <c r="C75" s="441" t="s">
        <v>580</v>
      </c>
      <c r="D75" s="441"/>
      <c r="E75" s="441"/>
      <c r="F75" s="249"/>
      <c r="G75" s="250"/>
      <c r="H75" s="250"/>
      <c r="I75" s="250"/>
      <c r="J75" s="253"/>
      <c r="K75" s="250"/>
      <c r="L75" s="279">
        <v>179356.79999999999</v>
      </c>
      <c r="M75" s="273"/>
      <c r="N75" s="280">
        <v>1599862.66</v>
      </c>
      <c r="S75" s="338"/>
      <c r="AF75" s="246"/>
      <c r="AG75" s="255"/>
      <c r="AM75" s="255" t="s">
        <v>580</v>
      </c>
    </row>
    <row r="76" spans="1:40" s="210" customFormat="1" ht="42" x14ac:dyDescent="0.3">
      <c r="A76" s="247" t="s">
        <v>313</v>
      </c>
      <c r="B76" s="248" t="s">
        <v>600</v>
      </c>
      <c r="C76" s="441" t="s">
        <v>601</v>
      </c>
      <c r="D76" s="441"/>
      <c r="E76" s="441"/>
      <c r="F76" s="249" t="s">
        <v>178</v>
      </c>
      <c r="G76" s="250">
        <v>32</v>
      </c>
      <c r="H76" s="251">
        <v>1</v>
      </c>
      <c r="I76" s="251">
        <v>32</v>
      </c>
      <c r="J76" s="281">
        <v>205</v>
      </c>
      <c r="K76" s="250"/>
      <c r="L76" s="279">
        <v>6560</v>
      </c>
      <c r="M76" s="252">
        <v>8.92</v>
      </c>
      <c r="N76" s="280">
        <v>58515.199999999997</v>
      </c>
      <c r="S76" s="338">
        <f>N76/G76*1.2</f>
        <v>2194.3199999999997</v>
      </c>
      <c r="AF76" s="246"/>
      <c r="AG76" s="255" t="s">
        <v>601</v>
      </c>
      <c r="AM76" s="255"/>
    </row>
    <row r="77" spans="1:40" s="210" customFormat="1" ht="14.4" x14ac:dyDescent="0.3">
      <c r="A77" s="278"/>
      <c r="B77" s="311"/>
      <c r="C77" s="435" t="s">
        <v>583</v>
      </c>
      <c r="D77" s="435"/>
      <c r="E77" s="435"/>
      <c r="F77" s="435"/>
      <c r="G77" s="435"/>
      <c r="H77" s="435"/>
      <c r="I77" s="435"/>
      <c r="J77" s="435"/>
      <c r="K77" s="435"/>
      <c r="L77" s="435"/>
      <c r="M77" s="435"/>
      <c r="N77" s="442"/>
      <c r="S77" s="338"/>
      <c r="AF77" s="246"/>
      <c r="AG77" s="255"/>
      <c r="AM77" s="255"/>
      <c r="AN77" s="258" t="s">
        <v>583</v>
      </c>
    </row>
    <row r="78" spans="1:40" s="210" customFormat="1" ht="14.4" x14ac:dyDescent="0.3">
      <c r="A78" s="278"/>
      <c r="B78" s="311"/>
      <c r="C78" s="441" t="s">
        <v>580</v>
      </c>
      <c r="D78" s="441"/>
      <c r="E78" s="441"/>
      <c r="F78" s="249"/>
      <c r="G78" s="250"/>
      <c r="H78" s="250"/>
      <c r="I78" s="250"/>
      <c r="J78" s="253"/>
      <c r="K78" s="250"/>
      <c r="L78" s="279">
        <v>6560</v>
      </c>
      <c r="M78" s="273"/>
      <c r="N78" s="280">
        <v>58515.199999999997</v>
      </c>
      <c r="S78" s="338"/>
      <c r="AF78" s="246"/>
      <c r="AG78" s="255"/>
      <c r="AM78" s="255" t="s">
        <v>580</v>
      </c>
    </row>
    <row r="79" spans="1:40" s="210" customFormat="1" ht="21.6" x14ac:dyDescent="0.3">
      <c r="A79" s="247" t="s">
        <v>320</v>
      </c>
      <c r="B79" s="248" t="s">
        <v>602</v>
      </c>
      <c r="C79" s="441" t="s">
        <v>603</v>
      </c>
      <c r="D79" s="441"/>
      <c r="E79" s="441"/>
      <c r="F79" s="249" t="s">
        <v>604</v>
      </c>
      <c r="G79" s="250">
        <v>0.40810000000000002</v>
      </c>
      <c r="H79" s="251">
        <v>1</v>
      </c>
      <c r="I79" s="282">
        <v>0.40810000000000002</v>
      </c>
      <c r="J79" s="253"/>
      <c r="K79" s="250"/>
      <c r="L79" s="253"/>
      <c r="M79" s="250"/>
      <c r="N79" s="254"/>
      <c r="S79" s="338"/>
      <c r="AF79" s="246"/>
      <c r="AG79" s="255" t="s">
        <v>603</v>
      </c>
      <c r="AM79" s="255"/>
    </row>
    <row r="80" spans="1:40" s="210" customFormat="1" ht="14.4" x14ac:dyDescent="0.3">
      <c r="A80" s="256"/>
      <c r="B80" s="257"/>
      <c r="C80" s="435" t="s">
        <v>605</v>
      </c>
      <c r="D80" s="435"/>
      <c r="E80" s="435"/>
      <c r="F80" s="435"/>
      <c r="G80" s="435"/>
      <c r="H80" s="435"/>
      <c r="I80" s="435"/>
      <c r="J80" s="435"/>
      <c r="K80" s="435"/>
      <c r="L80" s="435"/>
      <c r="M80" s="435"/>
      <c r="N80" s="442"/>
      <c r="S80" s="338"/>
      <c r="AF80" s="246"/>
      <c r="AG80" s="255"/>
      <c r="AH80" s="258" t="s">
        <v>605</v>
      </c>
      <c r="AM80" s="255"/>
    </row>
    <row r="81" spans="1:39" s="210" customFormat="1" ht="52.2" x14ac:dyDescent="0.3">
      <c r="A81" s="283"/>
      <c r="B81" s="260" t="s">
        <v>704</v>
      </c>
      <c r="C81" s="443" t="s">
        <v>705</v>
      </c>
      <c r="D81" s="443"/>
      <c r="E81" s="443"/>
      <c r="F81" s="443"/>
      <c r="G81" s="443"/>
      <c r="H81" s="443"/>
      <c r="I81" s="443"/>
      <c r="J81" s="443"/>
      <c r="K81" s="443"/>
      <c r="L81" s="443"/>
      <c r="M81" s="443"/>
      <c r="N81" s="444"/>
      <c r="S81" s="338"/>
      <c r="AF81" s="246"/>
      <c r="AG81" s="255"/>
      <c r="AI81" s="258" t="s">
        <v>705</v>
      </c>
      <c r="AM81" s="255"/>
    </row>
    <row r="82" spans="1:39" s="210" customFormat="1" ht="14.4" x14ac:dyDescent="0.3">
      <c r="A82" s="259"/>
      <c r="B82" s="260" t="s">
        <v>301</v>
      </c>
      <c r="C82" s="435" t="s">
        <v>566</v>
      </c>
      <c r="D82" s="435"/>
      <c r="E82" s="435"/>
      <c r="F82" s="261"/>
      <c r="G82" s="262"/>
      <c r="H82" s="262"/>
      <c r="I82" s="262"/>
      <c r="J82" s="263">
        <v>19.32</v>
      </c>
      <c r="K82" s="267">
        <v>1.1499999999999999</v>
      </c>
      <c r="L82" s="263">
        <v>9.07</v>
      </c>
      <c r="M82" s="264">
        <v>41.8</v>
      </c>
      <c r="N82" s="284">
        <v>379.13</v>
      </c>
      <c r="S82" s="338"/>
      <c r="AF82" s="246"/>
      <c r="AG82" s="255"/>
      <c r="AJ82" s="258" t="s">
        <v>566</v>
      </c>
      <c r="AM82" s="255"/>
    </row>
    <row r="83" spans="1:39" s="210" customFormat="1" ht="14.4" x14ac:dyDescent="0.3">
      <c r="A83" s="259"/>
      <c r="B83" s="260" t="s">
        <v>304</v>
      </c>
      <c r="C83" s="435" t="s">
        <v>567</v>
      </c>
      <c r="D83" s="435"/>
      <c r="E83" s="435"/>
      <c r="F83" s="261"/>
      <c r="G83" s="262"/>
      <c r="H83" s="262"/>
      <c r="I83" s="262"/>
      <c r="J83" s="263">
        <v>6.01</v>
      </c>
      <c r="K83" s="267">
        <v>1.1499999999999999</v>
      </c>
      <c r="L83" s="263">
        <v>2.82</v>
      </c>
      <c r="M83" s="267">
        <v>13.59</v>
      </c>
      <c r="N83" s="284">
        <v>38.32</v>
      </c>
      <c r="S83" s="338"/>
      <c r="AF83" s="246"/>
      <c r="AG83" s="255"/>
      <c r="AJ83" s="258" t="s">
        <v>567</v>
      </c>
      <c r="AM83" s="255"/>
    </row>
    <row r="84" spans="1:39" s="210" customFormat="1" ht="14.4" x14ac:dyDescent="0.3">
      <c r="A84" s="259"/>
      <c r="B84" s="260" t="s">
        <v>568</v>
      </c>
      <c r="C84" s="435" t="s">
        <v>569</v>
      </c>
      <c r="D84" s="435"/>
      <c r="E84" s="435"/>
      <c r="F84" s="261"/>
      <c r="G84" s="262"/>
      <c r="H84" s="262"/>
      <c r="I84" s="262"/>
      <c r="J84" s="263">
        <v>0.22</v>
      </c>
      <c r="K84" s="267">
        <v>1.1499999999999999</v>
      </c>
      <c r="L84" s="263">
        <v>0.1</v>
      </c>
      <c r="M84" s="264">
        <v>41.8</v>
      </c>
      <c r="N84" s="284">
        <v>4.18</v>
      </c>
      <c r="S84" s="338"/>
      <c r="AF84" s="246"/>
      <c r="AG84" s="255"/>
      <c r="AJ84" s="258" t="s">
        <v>569</v>
      </c>
      <c r="AM84" s="255"/>
    </row>
    <row r="85" spans="1:39" s="210" customFormat="1" ht="14.4" x14ac:dyDescent="0.3">
      <c r="A85" s="259"/>
      <c r="B85" s="260" t="s">
        <v>592</v>
      </c>
      <c r="C85" s="435" t="s">
        <v>593</v>
      </c>
      <c r="D85" s="435"/>
      <c r="E85" s="435"/>
      <c r="F85" s="261"/>
      <c r="G85" s="262"/>
      <c r="H85" s="262"/>
      <c r="I85" s="262"/>
      <c r="J85" s="263">
        <v>138.16</v>
      </c>
      <c r="K85" s="262"/>
      <c r="L85" s="263">
        <v>56.38</v>
      </c>
      <c r="M85" s="267">
        <v>8.92</v>
      </c>
      <c r="N85" s="284">
        <v>502.91</v>
      </c>
      <c r="S85" s="338"/>
      <c r="AF85" s="246"/>
      <c r="AG85" s="255"/>
      <c r="AJ85" s="258" t="s">
        <v>593</v>
      </c>
      <c r="AM85" s="255"/>
    </row>
    <row r="86" spans="1:39" s="210" customFormat="1" ht="14.4" x14ac:dyDescent="0.3">
      <c r="A86" s="268"/>
      <c r="B86" s="260"/>
      <c r="C86" s="435" t="s">
        <v>570</v>
      </c>
      <c r="D86" s="435"/>
      <c r="E86" s="435"/>
      <c r="F86" s="261" t="s">
        <v>571</v>
      </c>
      <c r="G86" s="267">
        <v>2.13</v>
      </c>
      <c r="H86" s="267">
        <v>1.1499999999999999</v>
      </c>
      <c r="I86" s="285">
        <v>0.999641</v>
      </c>
      <c r="J86" s="269"/>
      <c r="K86" s="262"/>
      <c r="L86" s="269"/>
      <c r="M86" s="262"/>
      <c r="N86" s="270"/>
      <c r="S86" s="338"/>
      <c r="AF86" s="246"/>
      <c r="AG86" s="255"/>
      <c r="AK86" s="258" t="s">
        <v>570</v>
      </c>
      <c r="AM86" s="255"/>
    </row>
    <row r="87" spans="1:39" s="210" customFormat="1" ht="14.4" x14ac:dyDescent="0.3">
      <c r="A87" s="268"/>
      <c r="B87" s="260"/>
      <c r="C87" s="435" t="s">
        <v>572</v>
      </c>
      <c r="D87" s="435"/>
      <c r="E87" s="435"/>
      <c r="F87" s="261" t="s">
        <v>571</v>
      </c>
      <c r="G87" s="267">
        <v>0.02</v>
      </c>
      <c r="H87" s="267">
        <v>1.1499999999999999</v>
      </c>
      <c r="I87" s="334">
        <v>9.3863000000000002E-3</v>
      </c>
      <c r="J87" s="269"/>
      <c r="K87" s="262"/>
      <c r="L87" s="269"/>
      <c r="M87" s="262"/>
      <c r="N87" s="270"/>
      <c r="S87" s="338"/>
      <c r="AF87" s="246"/>
      <c r="AG87" s="255"/>
      <c r="AK87" s="258" t="s">
        <v>572</v>
      </c>
      <c r="AM87" s="255"/>
    </row>
    <row r="88" spans="1:39" s="210" customFormat="1" ht="14.4" x14ac:dyDescent="0.3">
      <c r="A88" s="259"/>
      <c r="B88" s="260"/>
      <c r="C88" s="436" t="s">
        <v>573</v>
      </c>
      <c r="D88" s="436"/>
      <c r="E88" s="436"/>
      <c r="F88" s="272"/>
      <c r="G88" s="273"/>
      <c r="H88" s="273"/>
      <c r="I88" s="273"/>
      <c r="J88" s="275">
        <v>163.49</v>
      </c>
      <c r="K88" s="273"/>
      <c r="L88" s="275">
        <v>68.27</v>
      </c>
      <c r="M88" s="273"/>
      <c r="N88" s="286">
        <v>920.36</v>
      </c>
      <c r="S88" s="338"/>
      <c r="AF88" s="246"/>
      <c r="AG88" s="255"/>
      <c r="AL88" s="258" t="s">
        <v>573</v>
      </c>
      <c r="AM88" s="255"/>
    </row>
    <row r="89" spans="1:39" s="210" customFormat="1" ht="14.4" x14ac:dyDescent="0.3">
      <c r="A89" s="268"/>
      <c r="B89" s="260"/>
      <c r="C89" s="435" t="s">
        <v>574</v>
      </c>
      <c r="D89" s="435"/>
      <c r="E89" s="435"/>
      <c r="F89" s="261"/>
      <c r="G89" s="262"/>
      <c r="H89" s="262"/>
      <c r="I89" s="262"/>
      <c r="J89" s="269"/>
      <c r="K89" s="262"/>
      <c r="L89" s="263">
        <v>9.17</v>
      </c>
      <c r="M89" s="262"/>
      <c r="N89" s="284">
        <v>383.31</v>
      </c>
      <c r="S89" s="338"/>
      <c r="AF89" s="246"/>
      <c r="AG89" s="255"/>
      <c r="AK89" s="258" t="s">
        <v>574</v>
      </c>
      <c r="AM89" s="255"/>
    </row>
    <row r="90" spans="1:39" s="210" customFormat="1" ht="21.6" x14ac:dyDescent="0.3">
      <c r="A90" s="268"/>
      <c r="B90" s="260" t="s">
        <v>606</v>
      </c>
      <c r="C90" s="435" t="s">
        <v>607</v>
      </c>
      <c r="D90" s="435"/>
      <c r="E90" s="435"/>
      <c r="F90" s="261" t="s">
        <v>577</v>
      </c>
      <c r="G90" s="277">
        <v>94</v>
      </c>
      <c r="H90" s="262"/>
      <c r="I90" s="277">
        <v>94</v>
      </c>
      <c r="J90" s="269"/>
      <c r="K90" s="262"/>
      <c r="L90" s="263">
        <v>8.6199999999999992</v>
      </c>
      <c r="M90" s="262"/>
      <c r="N90" s="284">
        <v>360.31</v>
      </c>
      <c r="S90" s="338"/>
      <c r="AF90" s="246"/>
      <c r="AG90" s="255"/>
      <c r="AK90" s="258" t="s">
        <v>607</v>
      </c>
      <c r="AM90" s="255"/>
    </row>
    <row r="91" spans="1:39" s="210" customFormat="1" ht="40.799999999999997" x14ac:dyDescent="0.3">
      <c r="A91" s="268"/>
      <c r="B91" s="260" t="s">
        <v>608</v>
      </c>
      <c r="C91" s="435" t="s">
        <v>609</v>
      </c>
      <c r="D91" s="435"/>
      <c r="E91" s="435"/>
      <c r="F91" s="261" t="s">
        <v>577</v>
      </c>
      <c r="G91" s="277">
        <v>51</v>
      </c>
      <c r="H91" s="267">
        <v>0.85</v>
      </c>
      <c r="I91" s="267">
        <v>43.35</v>
      </c>
      <c r="J91" s="269"/>
      <c r="K91" s="262"/>
      <c r="L91" s="263">
        <v>3.98</v>
      </c>
      <c r="M91" s="262"/>
      <c r="N91" s="284">
        <v>166.16</v>
      </c>
      <c r="S91" s="338"/>
      <c r="AF91" s="246"/>
      <c r="AG91" s="255"/>
      <c r="AK91" s="258" t="s">
        <v>609</v>
      </c>
      <c r="AM91" s="255"/>
    </row>
    <row r="92" spans="1:39" s="210" customFormat="1" ht="14.4" x14ac:dyDescent="0.3">
      <c r="A92" s="278"/>
      <c r="B92" s="311"/>
      <c r="C92" s="441" t="s">
        <v>580</v>
      </c>
      <c r="D92" s="441"/>
      <c r="E92" s="441"/>
      <c r="F92" s="249"/>
      <c r="G92" s="250"/>
      <c r="H92" s="250"/>
      <c r="I92" s="250"/>
      <c r="J92" s="253"/>
      <c r="K92" s="250"/>
      <c r="L92" s="281">
        <v>80.87</v>
      </c>
      <c r="M92" s="273"/>
      <c r="N92" s="280">
        <v>1446.83</v>
      </c>
      <c r="S92" s="338"/>
      <c r="AF92" s="246"/>
      <c r="AG92" s="255"/>
      <c r="AM92" s="255" t="s">
        <v>580</v>
      </c>
    </row>
    <row r="93" spans="1:39" s="210" customFormat="1" ht="31.8" x14ac:dyDescent="0.3">
      <c r="A93" s="247" t="s">
        <v>610</v>
      </c>
      <c r="B93" s="248" t="s">
        <v>611</v>
      </c>
      <c r="C93" s="441" t="s">
        <v>612</v>
      </c>
      <c r="D93" s="441"/>
      <c r="E93" s="441"/>
      <c r="F93" s="249" t="s">
        <v>181</v>
      </c>
      <c r="G93" s="250">
        <v>1.512</v>
      </c>
      <c r="H93" s="251">
        <v>1</v>
      </c>
      <c r="I93" s="287">
        <v>1.512</v>
      </c>
      <c r="J93" s="253"/>
      <c r="K93" s="250"/>
      <c r="L93" s="253"/>
      <c r="M93" s="250"/>
      <c r="N93" s="254"/>
      <c r="S93" s="338"/>
      <c r="AF93" s="246"/>
      <c r="AG93" s="255" t="s">
        <v>612</v>
      </c>
      <c r="AM93" s="255"/>
    </row>
    <row r="94" spans="1:39" s="210" customFormat="1" ht="52.2" x14ac:dyDescent="0.3">
      <c r="A94" s="283"/>
      <c r="B94" s="260" t="s">
        <v>704</v>
      </c>
      <c r="C94" s="443" t="s">
        <v>705</v>
      </c>
      <c r="D94" s="443"/>
      <c r="E94" s="443"/>
      <c r="F94" s="443"/>
      <c r="G94" s="443"/>
      <c r="H94" s="443"/>
      <c r="I94" s="443"/>
      <c r="J94" s="443"/>
      <c r="K94" s="443"/>
      <c r="L94" s="443"/>
      <c r="M94" s="443"/>
      <c r="N94" s="444"/>
      <c r="S94" s="338"/>
      <c r="AF94" s="246"/>
      <c r="AG94" s="255"/>
      <c r="AI94" s="258" t="s">
        <v>705</v>
      </c>
      <c r="AM94" s="255"/>
    </row>
    <row r="95" spans="1:39" s="210" customFormat="1" ht="14.4" x14ac:dyDescent="0.3">
      <c r="A95" s="259"/>
      <c r="B95" s="260" t="s">
        <v>301</v>
      </c>
      <c r="C95" s="435" t="s">
        <v>566</v>
      </c>
      <c r="D95" s="435"/>
      <c r="E95" s="435"/>
      <c r="F95" s="261"/>
      <c r="G95" s="262"/>
      <c r="H95" s="262"/>
      <c r="I95" s="262"/>
      <c r="J95" s="263">
        <v>136.63999999999999</v>
      </c>
      <c r="K95" s="267">
        <v>1.1499999999999999</v>
      </c>
      <c r="L95" s="263">
        <v>237.59</v>
      </c>
      <c r="M95" s="264">
        <v>41.8</v>
      </c>
      <c r="N95" s="265">
        <v>9931.26</v>
      </c>
      <c r="S95" s="338"/>
      <c r="AF95" s="246"/>
      <c r="AG95" s="255"/>
      <c r="AJ95" s="258" t="s">
        <v>566</v>
      </c>
      <c r="AM95" s="255"/>
    </row>
    <row r="96" spans="1:39" s="210" customFormat="1" ht="14.4" x14ac:dyDescent="0.3">
      <c r="A96" s="259"/>
      <c r="B96" s="260" t="s">
        <v>304</v>
      </c>
      <c r="C96" s="435" t="s">
        <v>567</v>
      </c>
      <c r="D96" s="435"/>
      <c r="E96" s="435"/>
      <c r="F96" s="261"/>
      <c r="G96" s="262"/>
      <c r="H96" s="262"/>
      <c r="I96" s="262"/>
      <c r="J96" s="263">
        <v>40.130000000000003</v>
      </c>
      <c r="K96" s="267">
        <v>1.1499999999999999</v>
      </c>
      <c r="L96" s="263">
        <v>69.78</v>
      </c>
      <c r="M96" s="267">
        <v>13.59</v>
      </c>
      <c r="N96" s="284">
        <v>948.31</v>
      </c>
      <c r="S96" s="338"/>
      <c r="AF96" s="246"/>
      <c r="AG96" s="255"/>
      <c r="AJ96" s="258" t="s">
        <v>567</v>
      </c>
      <c r="AM96" s="255"/>
    </row>
    <row r="97" spans="1:41" s="210" customFormat="1" ht="14.4" x14ac:dyDescent="0.3">
      <c r="A97" s="259"/>
      <c r="B97" s="260" t="s">
        <v>568</v>
      </c>
      <c r="C97" s="435" t="s">
        <v>569</v>
      </c>
      <c r="D97" s="435"/>
      <c r="E97" s="435"/>
      <c r="F97" s="261"/>
      <c r="G97" s="262"/>
      <c r="H97" s="262"/>
      <c r="I97" s="262"/>
      <c r="J97" s="263">
        <v>6.84</v>
      </c>
      <c r="K97" s="267">
        <v>1.1499999999999999</v>
      </c>
      <c r="L97" s="263">
        <v>11.89</v>
      </c>
      <c r="M97" s="264">
        <v>41.8</v>
      </c>
      <c r="N97" s="284">
        <v>497</v>
      </c>
      <c r="S97" s="338"/>
      <c r="AF97" s="246"/>
      <c r="AG97" s="255"/>
      <c r="AJ97" s="258" t="s">
        <v>569</v>
      </c>
      <c r="AM97" s="255"/>
    </row>
    <row r="98" spans="1:41" s="210" customFormat="1" ht="14.4" x14ac:dyDescent="0.3">
      <c r="A98" s="259"/>
      <c r="B98" s="260" t="s">
        <v>592</v>
      </c>
      <c r="C98" s="435" t="s">
        <v>593</v>
      </c>
      <c r="D98" s="435"/>
      <c r="E98" s="435"/>
      <c r="F98" s="261"/>
      <c r="G98" s="262"/>
      <c r="H98" s="262"/>
      <c r="I98" s="262"/>
      <c r="J98" s="263">
        <v>298.82</v>
      </c>
      <c r="K98" s="262"/>
      <c r="L98" s="263">
        <v>451.82</v>
      </c>
      <c r="M98" s="267">
        <v>8.92</v>
      </c>
      <c r="N98" s="265">
        <v>4030.23</v>
      </c>
      <c r="S98" s="338"/>
      <c r="AF98" s="246"/>
      <c r="AG98" s="255"/>
      <c r="AJ98" s="258" t="s">
        <v>593</v>
      </c>
      <c r="AM98" s="255"/>
    </row>
    <row r="99" spans="1:41" s="210" customFormat="1" ht="14.4" x14ac:dyDescent="0.3">
      <c r="A99" s="268"/>
      <c r="B99" s="260"/>
      <c r="C99" s="435" t="s">
        <v>570</v>
      </c>
      <c r="D99" s="435"/>
      <c r="E99" s="435"/>
      <c r="F99" s="261" t="s">
        <v>571</v>
      </c>
      <c r="G99" s="277">
        <v>14</v>
      </c>
      <c r="H99" s="267">
        <v>1.1499999999999999</v>
      </c>
      <c r="I99" s="271">
        <v>24.3432</v>
      </c>
      <c r="J99" s="269"/>
      <c r="K99" s="262"/>
      <c r="L99" s="269"/>
      <c r="M99" s="262"/>
      <c r="N99" s="270"/>
      <c r="S99" s="338"/>
      <c r="AF99" s="246"/>
      <c r="AG99" s="255"/>
      <c r="AK99" s="258" t="s">
        <v>570</v>
      </c>
      <c r="AM99" s="255"/>
    </row>
    <row r="100" spans="1:41" s="210" customFormat="1" ht="14.4" x14ac:dyDescent="0.3">
      <c r="A100" s="268"/>
      <c r="B100" s="260"/>
      <c r="C100" s="435" t="s">
        <v>572</v>
      </c>
      <c r="D100" s="435"/>
      <c r="E100" s="435"/>
      <c r="F100" s="261" t="s">
        <v>571</v>
      </c>
      <c r="G100" s="267">
        <v>0.59</v>
      </c>
      <c r="H100" s="267">
        <v>1.1499999999999999</v>
      </c>
      <c r="I100" s="285">
        <v>1.025892</v>
      </c>
      <c r="J100" s="269"/>
      <c r="K100" s="262"/>
      <c r="L100" s="269"/>
      <c r="M100" s="262"/>
      <c r="N100" s="270"/>
      <c r="S100" s="338"/>
      <c r="AF100" s="246"/>
      <c r="AG100" s="255"/>
      <c r="AK100" s="258" t="s">
        <v>572</v>
      </c>
      <c r="AM100" s="255"/>
    </row>
    <row r="101" spans="1:41" s="210" customFormat="1" ht="14.4" x14ac:dyDescent="0.3">
      <c r="A101" s="259"/>
      <c r="B101" s="260"/>
      <c r="C101" s="436" t="s">
        <v>573</v>
      </c>
      <c r="D101" s="436"/>
      <c r="E101" s="436"/>
      <c r="F101" s="272"/>
      <c r="G101" s="273"/>
      <c r="H101" s="273"/>
      <c r="I101" s="273"/>
      <c r="J101" s="275">
        <v>475.59</v>
      </c>
      <c r="K101" s="273"/>
      <c r="L101" s="275">
        <v>759.19</v>
      </c>
      <c r="M101" s="273"/>
      <c r="N101" s="276">
        <v>14909.8</v>
      </c>
      <c r="S101" s="338"/>
      <c r="AF101" s="246"/>
      <c r="AG101" s="255"/>
      <c r="AL101" s="258" t="s">
        <v>573</v>
      </c>
      <c r="AM101" s="255"/>
    </row>
    <row r="102" spans="1:41" s="210" customFormat="1" ht="14.4" x14ac:dyDescent="0.3">
      <c r="A102" s="268"/>
      <c r="B102" s="260"/>
      <c r="C102" s="435" t="s">
        <v>574</v>
      </c>
      <c r="D102" s="435"/>
      <c r="E102" s="435"/>
      <c r="F102" s="261"/>
      <c r="G102" s="262"/>
      <c r="H102" s="262"/>
      <c r="I102" s="262"/>
      <c r="J102" s="269"/>
      <c r="K102" s="262"/>
      <c r="L102" s="263">
        <v>249.48</v>
      </c>
      <c r="M102" s="262"/>
      <c r="N102" s="265">
        <v>10428.26</v>
      </c>
      <c r="S102" s="338"/>
      <c r="AF102" s="246"/>
      <c r="AG102" s="255"/>
      <c r="AK102" s="258" t="s">
        <v>574</v>
      </c>
      <c r="AM102" s="255"/>
    </row>
    <row r="103" spans="1:41" s="210" customFormat="1" ht="14.4" x14ac:dyDescent="0.3">
      <c r="A103" s="268"/>
      <c r="B103" s="260" t="s">
        <v>613</v>
      </c>
      <c r="C103" s="435" t="s">
        <v>614</v>
      </c>
      <c r="D103" s="435"/>
      <c r="E103" s="435"/>
      <c r="F103" s="261" t="s">
        <v>577</v>
      </c>
      <c r="G103" s="277">
        <v>97</v>
      </c>
      <c r="H103" s="262"/>
      <c r="I103" s="277">
        <v>97</v>
      </c>
      <c r="J103" s="269"/>
      <c r="K103" s="262"/>
      <c r="L103" s="263">
        <v>242</v>
      </c>
      <c r="M103" s="262"/>
      <c r="N103" s="265">
        <v>10115.41</v>
      </c>
      <c r="S103" s="338"/>
      <c r="AF103" s="246"/>
      <c r="AG103" s="255"/>
      <c r="AK103" s="258" t="s">
        <v>614</v>
      </c>
      <c r="AM103" s="255"/>
    </row>
    <row r="104" spans="1:41" s="210" customFormat="1" ht="20.399999999999999" x14ac:dyDescent="0.3">
      <c r="A104" s="268"/>
      <c r="B104" s="260" t="s">
        <v>615</v>
      </c>
      <c r="C104" s="435" t="s">
        <v>616</v>
      </c>
      <c r="D104" s="435"/>
      <c r="E104" s="435"/>
      <c r="F104" s="261" t="s">
        <v>577</v>
      </c>
      <c r="G104" s="277">
        <v>55</v>
      </c>
      <c r="H104" s="267">
        <v>0.85</v>
      </c>
      <c r="I104" s="267">
        <v>46.75</v>
      </c>
      <c r="J104" s="269"/>
      <c r="K104" s="262"/>
      <c r="L104" s="263">
        <v>116.63</v>
      </c>
      <c r="M104" s="262"/>
      <c r="N104" s="265">
        <v>4875.21</v>
      </c>
      <c r="S104" s="338"/>
      <c r="AF104" s="246"/>
      <c r="AG104" s="255"/>
      <c r="AK104" s="258" t="s">
        <v>616</v>
      </c>
      <c r="AM104" s="255"/>
    </row>
    <row r="105" spans="1:41" s="210" customFormat="1" ht="14.4" x14ac:dyDescent="0.3">
      <c r="A105" s="278"/>
      <c r="B105" s="311"/>
      <c r="C105" s="441" t="s">
        <v>580</v>
      </c>
      <c r="D105" s="441"/>
      <c r="E105" s="441"/>
      <c r="F105" s="249"/>
      <c r="G105" s="250"/>
      <c r="H105" s="250"/>
      <c r="I105" s="250"/>
      <c r="J105" s="253"/>
      <c r="K105" s="250"/>
      <c r="L105" s="279">
        <v>1117.82</v>
      </c>
      <c r="M105" s="273"/>
      <c r="N105" s="280">
        <v>29900.42</v>
      </c>
      <c r="S105" s="338"/>
      <c r="AF105" s="246"/>
      <c r="AG105" s="255"/>
      <c r="AM105" s="255" t="s">
        <v>580</v>
      </c>
    </row>
    <row r="106" spans="1:41" s="210" customFormat="1" ht="14.4" x14ac:dyDescent="0.3">
      <c r="A106" s="247" t="s">
        <v>617</v>
      </c>
      <c r="B106" s="248" t="s">
        <v>581</v>
      </c>
      <c r="C106" s="441" t="s">
        <v>475</v>
      </c>
      <c r="D106" s="441"/>
      <c r="E106" s="441"/>
      <c r="F106" s="249" t="s">
        <v>178</v>
      </c>
      <c r="G106" s="250">
        <v>14</v>
      </c>
      <c r="H106" s="251">
        <v>1</v>
      </c>
      <c r="I106" s="251">
        <v>14</v>
      </c>
      <c r="J106" s="281">
        <v>690.35</v>
      </c>
      <c r="K106" s="282">
        <v>1.0506</v>
      </c>
      <c r="L106" s="279">
        <v>10153.94</v>
      </c>
      <c r="M106" s="252">
        <v>8.92</v>
      </c>
      <c r="N106" s="280">
        <v>90573.14</v>
      </c>
      <c r="S106" s="338"/>
      <c r="AF106" s="246"/>
      <c r="AG106" s="255" t="s">
        <v>475</v>
      </c>
      <c r="AM106" s="255"/>
    </row>
    <row r="107" spans="1:41" s="210" customFormat="1" ht="14.4" x14ac:dyDescent="0.3">
      <c r="A107" s="278"/>
      <c r="B107" s="311"/>
      <c r="C107" s="435" t="s">
        <v>583</v>
      </c>
      <c r="D107" s="435"/>
      <c r="E107" s="435"/>
      <c r="F107" s="435"/>
      <c r="G107" s="435"/>
      <c r="H107" s="435"/>
      <c r="I107" s="435"/>
      <c r="J107" s="435"/>
      <c r="K107" s="435"/>
      <c r="L107" s="435"/>
      <c r="M107" s="435"/>
      <c r="N107" s="442"/>
      <c r="S107" s="338"/>
      <c r="AF107" s="246"/>
      <c r="AG107" s="255"/>
      <c r="AM107" s="255"/>
      <c r="AN107" s="258" t="s">
        <v>583</v>
      </c>
    </row>
    <row r="108" spans="1:41" s="210" customFormat="1" ht="14.4" x14ac:dyDescent="0.3">
      <c r="A108" s="256"/>
      <c r="B108" s="257"/>
      <c r="C108" s="435" t="s">
        <v>618</v>
      </c>
      <c r="D108" s="435"/>
      <c r="E108" s="435"/>
      <c r="F108" s="435"/>
      <c r="G108" s="435"/>
      <c r="H108" s="435"/>
      <c r="I108" s="435"/>
      <c r="J108" s="435"/>
      <c r="K108" s="435"/>
      <c r="L108" s="435"/>
      <c r="M108" s="435"/>
      <c r="N108" s="442"/>
      <c r="S108" s="338"/>
      <c r="AF108" s="246"/>
      <c r="AG108" s="255"/>
      <c r="AM108" s="255"/>
      <c r="AO108" s="258" t="s">
        <v>618</v>
      </c>
    </row>
    <row r="109" spans="1:41" s="210" customFormat="1" ht="20.399999999999999" x14ac:dyDescent="0.3">
      <c r="A109" s="283"/>
      <c r="B109" s="260" t="s">
        <v>585</v>
      </c>
      <c r="C109" s="443" t="s">
        <v>586</v>
      </c>
      <c r="D109" s="443"/>
      <c r="E109" s="443"/>
      <c r="F109" s="443"/>
      <c r="G109" s="443"/>
      <c r="H109" s="443"/>
      <c r="I109" s="443"/>
      <c r="J109" s="443"/>
      <c r="K109" s="443"/>
      <c r="L109" s="443"/>
      <c r="M109" s="443"/>
      <c r="N109" s="444"/>
      <c r="S109" s="338"/>
      <c r="AF109" s="246"/>
      <c r="AG109" s="255"/>
      <c r="AI109" s="258" t="s">
        <v>586</v>
      </c>
      <c r="AM109" s="255"/>
    </row>
    <row r="110" spans="1:41" s="210" customFormat="1" ht="14.4" x14ac:dyDescent="0.3">
      <c r="A110" s="283"/>
      <c r="B110" s="260"/>
      <c r="C110" s="443" t="s">
        <v>587</v>
      </c>
      <c r="D110" s="443"/>
      <c r="E110" s="443"/>
      <c r="F110" s="443"/>
      <c r="G110" s="443"/>
      <c r="H110" s="443"/>
      <c r="I110" s="443"/>
      <c r="J110" s="443"/>
      <c r="K110" s="443"/>
      <c r="L110" s="443"/>
      <c r="M110" s="443"/>
      <c r="N110" s="444"/>
      <c r="S110" s="338"/>
      <c r="AF110" s="246"/>
      <c r="AG110" s="255"/>
      <c r="AI110" s="258" t="s">
        <v>587</v>
      </c>
      <c r="AM110" s="255"/>
    </row>
    <row r="111" spans="1:41" s="210" customFormat="1" ht="14.4" x14ac:dyDescent="0.3">
      <c r="A111" s="278"/>
      <c r="B111" s="311"/>
      <c r="C111" s="441" t="s">
        <v>580</v>
      </c>
      <c r="D111" s="441"/>
      <c r="E111" s="441"/>
      <c r="F111" s="249"/>
      <c r="G111" s="250"/>
      <c r="H111" s="250"/>
      <c r="I111" s="250"/>
      <c r="J111" s="253"/>
      <c r="K111" s="250"/>
      <c r="L111" s="279">
        <v>10153.94</v>
      </c>
      <c r="M111" s="273"/>
      <c r="N111" s="280">
        <v>90573.14</v>
      </c>
      <c r="S111" s="338"/>
      <c r="AF111" s="246"/>
      <c r="AG111" s="255"/>
      <c r="AM111" s="255" t="s">
        <v>580</v>
      </c>
    </row>
    <row r="112" spans="1:41" s="210" customFormat="1" ht="31.8" x14ac:dyDescent="0.3">
      <c r="A112" s="247" t="s">
        <v>619</v>
      </c>
      <c r="B112" s="248" t="s">
        <v>620</v>
      </c>
      <c r="C112" s="441" t="s">
        <v>621</v>
      </c>
      <c r="D112" s="441"/>
      <c r="E112" s="441"/>
      <c r="F112" s="249" t="s">
        <v>622</v>
      </c>
      <c r="G112" s="250">
        <v>6</v>
      </c>
      <c r="H112" s="251">
        <v>1</v>
      </c>
      <c r="I112" s="251">
        <v>6</v>
      </c>
      <c r="J112" s="253"/>
      <c r="K112" s="250"/>
      <c r="L112" s="253"/>
      <c r="M112" s="250"/>
      <c r="N112" s="254"/>
      <c r="S112" s="338"/>
      <c r="AF112" s="246"/>
      <c r="AG112" s="255" t="s">
        <v>621</v>
      </c>
      <c r="AM112" s="255"/>
    </row>
    <row r="113" spans="1:40" s="210" customFormat="1" ht="52.2" x14ac:dyDescent="0.3">
      <c r="A113" s="283"/>
      <c r="B113" s="260" t="s">
        <v>704</v>
      </c>
      <c r="C113" s="443" t="s">
        <v>705</v>
      </c>
      <c r="D113" s="443"/>
      <c r="E113" s="443"/>
      <c r="F113" s="443"/>
      <c r="G113" s="443"/>
      <c r="H113" s="443"/>
      <c r="I113" s="443"/>
      <c r="J113" s="443"/>
      <c r="K113" s="443"/>
      <c r="L113" s="443"/>
      <c r="M113" s="443"/>
      <c r="N113" s="444"/>
      <c r="S113" s="338"/>
      <c r="AF113" s="246"/>
      <c r="AG113" s="255"/>
      <c r="AI113" s="258" t="s">
        <v>705</v>
      </c>
      <c r="AM113" s="255"/>
    </row>
    <row r="114" spans="1:40" s="210" customFormat="1" ht="14.4" x14ac:dyDescent="0.3">
      <c r="A114" s="259"/>
      <c r="B114" s="260" t="s">
        <v>301</v>
      </c>
      <c r="C114" s="435" t="s">
        <v>566</v>
      </c>
      <c r="D114" s="435"/>
      <c r="E114" s="435"/>
      <c r="F114" s="261"/>
      <c r="G114" s="262"/>
      <c r="H114" s="262"/>
      <c r="I114" s="262"/>
      <c r="J114" s="263">
        <v>17.16</v>
      </c>
      <c r="K114" s="267">
        <v>1.1499999999999999</v>
      </c>
      <c r="L114" s="263">
        <v>118.4</v>
      </c>
      <c r="M114" s="264">
        <v>41.8</v>
      </c>
      <c r="N114" s="265">
        <v>4949.12</v>
      </c>
      <c r="S114" s="338"/>
      <c r="AF114" s="246"/>
      <c r="AG114" s="255"/>
      <c r="AJ114" s="258" t="s">
        <v>566</v>
      </c>
      <c r="AM114" s="255"/>
    </row>
    <row r="115" spans="1:40" s="210" customFormat="1" ht="14.4" x14ac:dyDescent="0.3">
      <c r="A115" s="259"/>
      <c r="B115" s="260" t="s">
        <v>304</v>
      </c>
      <c r="C115" s="435" t="s">
        <v>567</v>
      </c>
      <c r="D115" s="435"/>
      <c r="E115" s="435"/>
      <c r="F115" s="261"/>
      <c r="G115" s="262"/>
      <c r="H115" s="262"/>
      <c r="I115" s="262"/>
      <c r="J115" s="263">
        <v>58.45</v>
      </c>
      <c r="K115" s="267">
        <v>1.1499999999999999</v>
      </c>
      <c r="L115" s="263">
        <v>403.31</v>
      </c>
      <c r="M115" s="267">
        <v>13.59</v>
      </c>
      <c r="N115" s="265">
        <v>5480.98</v>
      </c>
      <c r="S115" s="338"/>
      <c r="AF115" s="246"/>
      <c r="AG115" s="255"/>
      <c r="AJ115" s="258" t="s">
        <v>567</v>
      </c>
      <c r="AM115" s="255"/>
    </row>
    <row r="116" spans="1:40" s="210" customFormat="1" ht="14.4" x14ac:dyDescent="0.3">
      <c r="A116" s="259"/>
      <c r="B116" s="260" t="s">
        <v>568</v>
      </c>
      <c r="C116" s="435" t="s">
        <v>569</v>
      </c>
      <c r="D116" s="435"/>
      <c r="E116" s="435"/>
      <c r="F116" s="261"/>
      <c r="G116" s="262"/>
      <c r="H116" s="262"/>
      <c r="I116" s="262"/>
      <c r="J116" s="263">
        <v>5.12</v>
      </c>
      <c r="K116" s="267">
        <v>1.1499999999999999</v>
      </c>
      <c r="L116" s="263">
        <v>35.33</v>
      </c>
      <c r="M116" s="264">
        <v>41.8</v>
      </c>
      <c r="N116" s="265">
        <v>1476.79</v>
      </c>
      <c r="S116" s="338"/>
      <c r="AF116" s="246"/>
      <c r="AG116" s="255"/>
      <c r="AJ116" s="258" t="s">
        <v>569</v>
      </c>
      <c r="AM116" s="255"/>
    </row>
    <row r="117" spans="1:40" s="210" customFormat="1" ht="14.4" x14ac:dyDescent="0.3">
      <c r="A117" s="259"/>
      <c r="B117" s="260" t="s">
        <v>592</v>
      </c>
      <c r="C117" s="435" t="s">
        <v>593</v>
      </c>
      <c r="D117" s="435"/>
      <c r="E117" s="435"/>
      <c r="F117" s="261"/>
      <c r="G117" s="262"/>
      <c r="H117" s="262"/>
      <c r="I117" s="262"/>
      <c r="J117" s="263">
        <v>2.74</v>
      </c>
      <c r="K117" s="262"/>
      <c r="L117" s="263">
        <v>16.440000000000001</v>
      </c>
      <c r="M117" s="267">
        <v>8.92</v>
      </c>
      <c r="N117" s="284">
        <v>146.63999999999999</v>
      </c>
      <c r="S117" s="338"/>
      <c r="AF117" s="246"/>
      <c r="AG117" s="255"/>
      <c r="AJ117" s="258" t="s">
        <v>593</v>
      </c>
      <c r="AM117" s="255"/>
    </row>
    <row r="118" spans="1:40" s="210" customFormat="1" ht="14.4" x14ac:dyDescent="0.3">
      <c r="A118" s="268"/>
      <c r="B118" s="260"/>
      <c r="C118" s="435" t="s">
        <v>570</v>
      </c>
      <c r="D118" s="435"/>
      <c r="E118" s="435"/>
      <c r="F118" s="261" t="s">
        <v>571</v>
      </c>
      <c r="G118" s="267">
        <v>1.73</v>
      </c>
      <c r="H118" s="267">
        <v>1.1499999999999999</v>
      </c>
      <c r="I118" s="288">
        <v>11.936999999999999</v>
      </c>
      <c r="J118" s="269"/>
      <c r="K118" s="262"/>
      <c r="L118" s="269"/>
      <c r="M118" s="262"/>
      <c r="N118" s="270"/>
      <c r="S118" s="338"/>
      <c r="AF118" s="246"/>
      <c r="AG118" s="255"/>
      <c r="AK118" s="258" t="s">
        <v>570</v>
      </c>
      <c r="AM118" s="255"/>
    </row>
    <row r="119" spans="1:40" s="210" customFormat="1" ht="14.4" x14ac:dyDescent="0.3">
      <c r="A119" s="268"/>
      <c r="B119" s="260"/>
      <c r="C119" s="435" t="s">
        <v>572</v>
      </c>
      <c r="D119" s="435"/>
      <c r="E119" s="435"/>
      <c r="F119" s="261" t="s">
        <v>571</v>
      </c>
      <c r="G119" s="267">
        <v>0.36</v>
      </c>
      <c r="H119" s="267">
        <v>1.1499999999999999</v>
      </c>
      <c r="I119" s="288">
        <v>2.484</v>
      </c>
      <c r="J119" s="269"/>
      <c r="K119" s="262"/>
      <c r="L119" s="269"/>
      <c r="M119" s="262"/>
      <c r="N119" s="270"/>
      <c r="S119" s="338"/>
      <c r="AF119" s="246"/>
      <c r="AG119" s="255"/>
      <c r="AK119" s="258" t="s">
        <v>572</v>
      </c>
      <c r="AM119" s="255"/>
    </row>
    <row r="120" spans="1:40" s="210" customFormat="1" ht="14.4" x14ac:dyDescent="0.3">
      <c r="A120" s="259"/>
      <c r="B120" s="260"/>
      <c r="C120" s="436" t="s">
        <v>573</v>
      </c>
      <c r="D120" s="436"/>
      <c r="E120" s="436"/>
      <c r="F120" s="272"/>
      <c r="G120" s="273"/>
      <c r="H120" s="273"/>
      <c r="I120" s="273"/>
      <c r="J120" s="275">
        <v>78.349999999999994</v>
      </c>
      <c r="K120" s="273"/>
      <c r="L120" s="275">
        <v>538.15</v>
      </c>
      <c r="M120" s="273"/>
      <c r="N120" s="276">
        <v>10576.74</v>
      </c>
      <c r="S120" s="338"/>
      <c r="AF120" s="246"/>
      <c r="AG120" s="255"/>
      <c r="AL120" s="258" t="s">
        <v>573</v>
      </c>
      <c r="AM120" s="255"/>
    </row>
    <row r="121" spans="1:40" s="210" customFormat="1" ht="14.4" x14ac:dyDescent="0.3">
      <c r="A121" s="268"/>
      <c r="B121" s="260"/>
      <c r="C121" s="435" t="s">
        <v>574</v>
      </c>
      <c r="D121" s="435"/>
      <c r="E121" s="435"/>
      <c r="F121" s="261"/>
      <c r="G121" s="262"/>
      <c r="H121" s="262"/>
      <c r="I121" s="262"/>
      <c r="J121" s="269"/>
      <c r="K121" s="262"/>
      <c r="L121" s="263">
        <v>153.72999999999999</v>
      </c>
      <c r="M121" s="262"/>
      <c r="N121" s="265">
        <v>6425.91</v>
      </c>
      <c r="S121" s="338"/>
      <c r="AF121" s="246"/>
      <c r="AG121" s="255"/>
      <c r="AK121" s="258" t="s">
        <v>574</v>
      </c>
      <c r="AM121" s="255"/>
    </row>
    <row r="122" spans="1:40" s="210" customFormat="1" ht="21.6" x14ac:dyDescent="0.3">
      <c r="A122" s="268"/>
      <c r="B122" s="260" t="s">
        <v>594</v>
      </c>
      <c r="C122" s="435" t="s">
        <v>595</v>
      </c>
      <c r="D122" s="435"/>
      <c r="E122" s="435"/>
      <c r="F122" s="261" t="s">
        <v>577</v>
      </c>
      <c r="G122" s="277">
        <v>117</v>
      </c>
      <c r="H122" s="262"/>
      <c r="I122" s="277">
        <v>117</v>
      </c>
      <c r="J122" s="269"/>
      <c r="K122" s="262"/>
      <c r="L122" s="263">
        <v>179.86</v>
      </c>
      <c r="M122" s="262"/>
      <c r="N122" s="265">
        <v>7518.31</v>
      </c>
      <c r="S122" s="338"/>
      <c r="AF122" s="246"/>
      <c r="AG122" s="255"/>
      <c r="AK122" s="258" t="s">
        <v>595</v>
      </c>
      <c r="AM122" s="255"/>
    </row>
    <row r="123" spans="1:40" s="210" customFormat="1" ht="40.799999999999997" x14ac:dyDescent="0.3">
      <c r="A123" s="268"/>
      <c r="B123" s="260" t="s">
        <v>596</v>
      </c>
      <c r="C123" s="435" t="s">
        <v>597</v>
      </c>
      <c r="D123" s="435"/>
      <c r="E123" s="435"/>
      <c r="F123" s="261" t="s">
        <v>577</v>
      </c>
      <c r="G123" s="277">
        <v>74</v>
      </c>
      <c r="H123" s="267">
        <v>0.85</v>
      </c>
      <c r="I123" s="264">
        <v>62.9</v>
      </c>
      <c r="J123" s="269"/>
      <c r="K123" s="262"/>
      <c r="L123" s="263">
        <v>96.7</v>
      </c>
      <c r="M123" s="262"/>
      <c r="N123" s="265">
        <v>4041.9</v>
      </c>
      <c r="S123" s="338"/>
      <c r="AF123" s="246"/>
      <c r="AG123" s="255"/>
      <c r="AK123" s="258" t="s">
        <v>597</v>
      </c>
      <c r="AM123" s="255"/>
    </row>
    <row r="124" spans="1:40" s="210" customFormat="1" ht="14.4" x14ac:dyDescent="0.3">
      <c r="A124" s="278"/>
      <c r="B124" s="311"/>
      <c r="C124" s="441" t="s">
        <v>580</v>
      </c>
      <c r="D124" s="441"/>
      <c r="E124" s="441"/>
      <c r="F124" s="249"/>
      <c r="G124" s="250"/>
      <c r="H124" s="250"/>
      <c r="I124" s="250"/>
      <c r="J124" s="253"/>
      <c r="K124" s="250"/>
      <c r="L124" s="281">
        <v>814.71</v>
      </c>
      <c r="M124" s="273"/>
      <c r="N124" s="280">
        <v>22136.95</v>
      </c>
      <c r="S124" s="338"/>
      <c r="AF124" s="246"/>
      <c r="AG124" s="255"/>
      <c r="AM124" s="255" t="s">
        <v>580</v>
      </c>
    </row>
    <row r="125" spans="1:40" s="210" customFormat="1" ht="42" x14ac:dyDescent="0.3">
      <c r="A125" s="247" t="s">
        <v>252</v>
      </c>
      <c r="B125" s="248" t="s">
        <v>623</v>
      </c>
      <c r="C125" s="441" t="s">
        <v>624</v>
      </c>
      <c r="D125" s="441"/>
      <c r="E125" s="441"/>
      <c r="F125" s="249" t="s">
        <v>178</v>
      </c>
      <c r="G125" s="250">
        <v>6</v>
      </c>
      <c r="H125" s="251">
        <v>1</v>
      </c>
      <c r="I125" s="251">
        <v>6</v>
      </c>
      <c r="J125" s="281">
        <v>315.48</v>
      </c>
      <c r="K125" s="250"/>
      <c r="L125" s="279">
        <v>1892.88</v>
      </c>
      <c r="M125" s="252">
        <v>8.92</v>
      </c>
      <c r="N125" s="280">
        <v>16884.490000000002</v>
      </c>
      <c r="S125" s="338"/>
      <c r="AF125" s="246"/>
      <c r="AG125" s="255" t="s">
        <v>624</v>
      </c>
      <c r="AM125" s="255"/>
    </row>
    <row r="126" spans="1:40" s="210" customFormat="1" ht="14.4" x14ac:dyDescent="0.3">
      <c r="A126" s="278"/>
      <c r="B126" s="311"/>
      <c r="C126" s="435" t="s">
        <v>583</v>
      </c>
      <c r="D126" s="435"/>
      <c r="E126" s="435"/>
      <c r="F126" s="435"/>
      <c r="G126" s="435"/>
      <c r="H126" s="435"/>
      <c r="I126" s="435"/>
      <c r="J126" s="435"/>
      <c r="K126" s="435"/>
      <c r="L126" s="435"/>
      <c r="M126" s="435"/>
      <c r="N126" s="442"/>
      <c r="S126" s="338"/>
      <c r="AF126" s="246"/>
      <c r="AG126" s="255"/>
      <c r="AM126" s="255"/>
      <c r="AN126" s="258" t="s">
        <v>583</v>
      </c>
    </row>
    <row r="127" spans="1:40" s="210" customFormat="1" ht="14.4" x14ac:dyDescent="0.3">
      <c r="A127" s="278"/>
      <c r="B127" s="311"/>
      <c r="C127" s="441" t="s">
        <v>580</v>
      </c>
      <c r="D127" s="441"/>
      <c r="E127" s="441"/>
      <c r="F127" s="249"/>
      <c r="G127" s="250"/>
      <c r="H127" s="250"/>
      <c r="I127" s="250"/>
      <c r="J127" s="253"/>
      <c r="K127" s="250"/>
      <c r="L127" s="279">
        <v>1892.88</v>
      </c>
      <c r="M127" s="273"/>
      <c r="N127" s="280">
        <v>16884.490000000002</v>
      </c>
      <c r="S127" s="338"/>
      <c r="AF127" s="246"/>
      <c r="AG127" s="255"/>
      <c r="AM127" s="255" t="s">
        <v>580</v>
      </c>
    </row>
    <row r="128" spans="1:40" s="210" customFormat="1" ht="31.8" x14ac:dyDescent="0.3">
      <c r="A128" s="247" t="s">
        <v>625</v>
      </c>
      <c r="B128" s="248" t="s">
        <v>620</v>
      </c>
      <c r="C128" s="441" t="s">
        <v>626</v>
      </c>
      <c r="D128" s="441"/>
      <c r="E128" s="441"/>
      <c r="F128" s="249" t="s">
        <v>622</v>
      </c>
      <c r="G128" s="250">
        <v>4</v>
      </c>
      <c r="H128" s="251">
        <v>1</v>
      </c>
      <c r="I128" s="251">
        <v>4</v>
      </c>
      <c r="J128" s="253"/>
      <c r="K128" s="250"/>
      <c r="L128" s="253"/>
      <c r="M128" s="250"/>
      <c r="N128" s="254"/>
      <c r="S128" s="338"/>
      <c r="AF128" s="246"/>
      <c r="AG128" s="255" t="s">
        <v>626</v>
      </c>
      <c r="AM128" s="255"/>
    </row>
    <row r="129" spans="1:40" s="210" customFormat="1" ht="52.2" x14ac:dyDescent="0.3">
      <c r="A129" s="283"/>
      <c r="B129" s="260" t="s">
        <v>704</v>
      </c>
      <c r="C129" s="443" t="s">
        <v>705</v>
      </c>
      <c r="D129" s="443"/>
      <c r="E129" s="443"/>
      <c r="F129" s="443"/>
      <c r="G129" s="443"/>
      <c r="H129" s="443"/>
      <c r="I129" s="443"/>
      <c r="J129" s="443"/>
      <c r="K129" s="443"/>
      <c r="L129" s="443"/>
      <c r="M129" s="443"/>
      <c r="N129" s="444"/>
      <c r="S129" s="338"/>
      <c r="AF129" s="246"/>
      <c r="AG129" s="255"/>
      <c r="AI129" s="258" t="s">
        <v>705</v>
      </c>
      <c r="AM129" s="255"/>
    </row>
    <row r="130" spans="1:40" s="210" customFormat="1" ht="14.4" x14ac:dyDescent="0.3">
      <c r="A130" s="259"/>
      <c r="B130" s="260" t="s">
        <v>301</v>
      </c>
      <c r="C130" s="435" t="s">
        <v>566</v>
      </c>
      <c r="D130" s="435"/>
      <c r="E130" s="435"/>
      <c r="F130" s="261"/>
      <c r="G130" s="262"/>
      <c r="H130" s="262"/>
      <c r="I130" s="262"/>
      <c r="J130" s="263">
        <v>17.16</v>
      </c>
      <c r="K130" s="267">
        <v>1.1499999999999999</v>
      </c>
      <c r="L130" s="263">
        <v>78.94</v>
      </c>
      <c r="M130" s="264">
        <v>41.8</v>
      </c>
      <c r="N130" s="265">
        <v>3299.69</v>
      </c>
      <c r="S130" s="338"/>
      <c r="AF130" s="246"/>
      <c r="AG130" s="255"/>
      <c r="AJ130" s="258" t="s">
        <v>566</v>
      </c>
      <c r="AM130" s="255"/>
    </row>
    <row r="131" spans="1:40" s="210" customFormat="1" ht="14.4" x14ac:dyDescent="0.3">
      <c r="A131" s="259"/>
      <c r="B131" s="260" t="s">
        <v>304</v>
      </c>
      <c r="C131" s="435" t="s">
        <v>567</v>
      </c>
      <c r="D131" s="435"/>
      <c r="E131" s="435"/>
      <c r="F131" s="261"/>
      <c r="G131" s="262"/>
      <c r="H131" s="262"/>
      <c r="I131" s="262"/>
      <c r="J131" s="263">
        <v>58.45</v>
      </c>
      <c r="K131" s="267">
        <v>1.1499999999999999</v>
      </c>
      <c r="L131" s="263">
        <v>268.87</v>
      </c>
      <c r="M131" s="267">
        <v>13.59</v>
      </c>
      <c r="N131" s="265">
        <v>3653.94</v>
      </c>
      <c r="S131" s="338"/>
      <c r="AF131" s="246"/>
      <c r="AG131" s="255"/>
      <c r="AJ131" s="258" t="s">
        <v>567</v>
      </c>
      <c r="AM131" s="255"/>
    </row>
    <row r="132" spans="1:40" s="210" customFormat="1" ht="14.4" x14ac:dyDescent="0.3">
      <c r="A132" s="259"/>
      <c r="B132" s="260" t="s">
        <v>568</v>
      </c>
      <c r="C132" s="435" t="s">
        <v>569</v>
      </c>
      <c r="D132" s="435"/>
      <c r="E132" s="435"/>
      <c r="F132" s="261"/>
      <c r="G132" s="262"/>
      <c r="H132" s="262"/>
      <c r="I132" s="262"/>
      <c r="J132" s="263">
        <v>5.12</v>
      </c>
      <c r="K132" s="267">
        <v>1.1499999999999999</v>
      </c>
      <c r="L132" s="263">
        <v>23.55</v>
      </c>
      <c r="M132" s="264">
        <v>41.8</v>
      </c>
      <c r="N132" s="284">
        <v>984.39</v>
      </c>
      <c r="S132" s="338"/>
      <c r="AF132" s="246"/>
      <c r="AG132" s="255"/>
      <c r="AJ132" s="258" t="s">
        <v>569</v>
      </c>
      <c r="AM132" s="255"/>
    </row>
    <row r="133" spans="1:40" s="210" customFormat="1" ht="14.4" x14ac:dyDescent="0.3">
      <c r="A133" s="259"/>
      <c r="B133" s="260" t="s">
        <v>592</v>
      </c>
      <c r="C133" s="435" t="s">
        <v>593</v>
      </c>
      <c r="D133" s="435"/>
      <c r="E133" s="435"/>
      <c r="F133" s="261"/>
      <c r="G133" s="262"/>
      <c r="H133" s="262"/>
      <c r="I133" s="262"/>
      <c r="J133" s="263">
        <v>2.74</v>
      </c>
      <c r="K133" s="262"/>
      <c r="L133" s="263">
        <v>10.96</v>
      </c>
      <c r="M133" s="267">
        <v>8.92</v>
      </c>
      <c r="N133" s="284">
        <v>97.76</v>
      </c>
      <c r="S133" s="338"/>
      <c r="AF133" s="246"/>
      <c r="AG133" s="255"/>
      <c r="AJ133" s="258" t="s">
        <v>593</v>
      </c>
      <c r="AM133" s="255"/>
    </row>
    <row r="134" spans="1:40" s="210" customFormat="1" ht="14.4" x14ac:dyDescent="0.3">
      <c r="A134" s="268"/>
      <c r="B134" s="260"/>
      <c r="C134" s="435" t="s">
        <v>570</v>
      </c>
      <c r="D134" s="435"/>
      <c r="E134" s="435"/>
      <c r="F134" s="261" t="s">
        <v>571</v>
      </c>
      <c r="G134" s="267">
        <v>1.73</v>
      </c>
      <c r="H134" s="267">
        <v>1.1499999999999999</v>
      </c>
      <c r="I134" s="288">
        <v>7.9580000000000002</v>
      </c>
      <c r="J134" s="269"/>
      <c r="K134" s="262"/>
      <c r="L134" s="269"/>
      <c r="M134" s="262"/>
      <c r="N134" s="270"/>
      <c r="S134" s="338"/>
      <c r="AF134" s="246"/>
      <c r="AG134" s="255"/>
      <c r="AK134" s="258" t="s">
        <v>570</v>
      </c>
      <c r="AM134" s="255"/>
    </row>
    <row r="135" spans="1:40" s="210" customFormat="1" ht="14.4" x14ac:dyDescent="0.3">
      <c r="A135" s="268"/>
      <c r="B135" s="260"/>
      <c r="C135" s="435" t="s">
        <v>572</v>
      </c>
      <c r="D135" s="435"/>
      <c r="E135" s="435"/>
      <c r="F135" s="261" t="s">
        <v>571</v>
      </c>
      <c r="G135" s="267">
        <v>0.36</v>
      </c>
      <c r="H135" s="267">
        <v>1.1499999999999999</v>
      </c>
      <c r="I135" s="288">
        <v>1.6559999999999999</v>
      </c>
      <c r="J135" s="269"/>
      <c r="K135" s="262"/>
      <c r="L135" s="269"/>
      <c r="M135" s="262"/>
      <c r="N135" s="270"/>
      <c r="S135" s="338"/>
      <c r="AF135" s="246"/>
      <c r="AG135" s="255"/>
      <c r="AK135" s="258" t="s">
        <v>572</v>
      </c>
      <c r="AM135" s="255"/>
    </row>
    <row r="136" spans="1:40" s="210" customFormat="1" ht="14.4" x14ac:dyDescent="0.3">
      <c r="A136" s="259"/>
      <c r="B136" s="260"/>
      <c r="C136" s="436" t="s">
        <v>573</v>
      </c>
      <c r="D136" s="436"/>
      <c r="E136" s="436"/>
      <c r="F136" s="272"/>
      <c r="G136" s="273"/>
      <c r="H136" s="273"/>
      <c r="I136" s="273"/>
      <c r="J136" s="275">
        <v>78.349999999999994</v>
      </c>
      <c r="K136" s="273"/>
      <c r="L136" s="275">
        <v>358.77</v>
      </c>
      <c r="M136" s="273"/>
      <c r="N136" s="276">
        <v>7051.39</v>
      </c>
      <c r="S136" s="338"/>
      <c r="AF136" s="246"/>
      <c r="AG136" s="255"/>
      <c r="AL136" s="258" t="s">
        <v>573</v>
      </c>
      <c r="AM136" s="255"/>
    </row>
    <row r="137" spans="1:40" s="210" customFormat="1" ht="14.4" x14ac:dyDescent="0.3">
      <c r="A137" s="268"/>
      <c r="B137" s="260"/>
      <c r="C137" s="435" t="s">
        <v>574</v>
      </c>
      <c r="D137" s="435"/>
      <c r="E137" s="435"/>
      <c r="F137" s="261"/>
      <c r="G137" s="262"/>
      <c r="H137" s="262"/>
      <c r="I137" s="262"/>
      <c r="J137" s="269"/>
      <c r="K137" s="262"/>
      <c r="L137" s="263">
        <v>102.49</v>
      </c>
      <c r="M137" s="262"/>
      <c r="N137" s="265">
        <v>4284.08</v>
      </c>
      <c r="S137" s="338"/>
      <c r="AF137" s="246"/>
      <c r="AG137" s="255"/>
      <c r="AK137" s="258" t="s">
        <v>574</v>
      </c>
      <c r="AM137" s="255"/>
    </row>
    <row r="138" spans="1:40" s="210" customFormat="1" ht="21.6" x14ac:dyDescent="0.3">
      <c r="A138" s="268"/>
      <c r="B138" s="260" t="s">
        <v>594</v>
      </c>
      <c r="C138" s="435" t="s">
        <v>595</v>
      </c>
      <c r="D138" s="435"/>
      <c r="E138" s="435"/>
      <c r="F138" s="261" t="s">
        <v>577</v>
      </c>
      <c r="G138" s="277">
        <v>117</v>
      </c>
      <c r="H138" s="262"/>
      <c r="I138" s="277">
        <v>117</v>
      </c>
      <c r="J138" s="269"/>
      <c r="K138" s="262"/>
      <c r="L138" s="263">
        <v>119.91</v>
      </c>
      <c r="M138" s="262"/>
      <c r="N138" s="265">
        <v>5012.37</v>
      </c>
      <c r="S138" s="338"/>
      <c r="AF138" s="246"/>
      <c r="AG138" s="255"/>
      <c r="AK138" s="258" t="s">
        <v>595</v>
      </c>
      <c r="AM138" s="255"/>
    </row>
    <row r="139" spans="1:40" s="210" customFormat="1" ht="40.799999999999997" x14ac:dyDescent="0.3">
      <c r="A139" s="268"/>
      <c r="B139" s="260" t="s">
        <v>596</v>
      </c>
      <c r="C139" s="435" t="s">
        <v>597</v>
      </c>
      <c r="D139" s="435"/>
      <c r="E139" s="435"/>
      <c r="F139" s="261" t="s">
        <v>577</v>
      </c>
      <c r="G139" s="277">
        <v>74</v>
      </c>
      <c r="H139" s="267">
        <v>0.85</v>
      </c>
      <c r="I139" s="264">
        <v>62.9</v>
      </c>
      <c r="J139" s="269"/>
      <c r="K139" s="262"/>
      <c r="L139" s="263">
        <v>64.47</v>
      </c>
      <c r="M139" s="262"/>
      <c r="N139" s="265">
        <v>2694.69</v>
      </c>
      <c r="S139" s="338"/>
      <c r="AF139" s="246"/>
      <c r="AG139" s="255"/>
      <c r="AK139" s="258" t="s">
        <v>597</v>
      </c>
      <c r="AM139" s="255"/>
    </row>
    <row r="140" spans="1:40" s="210" customFormat="1" ht="14.4" x14ac:dyDescent="0.3">
      <c r="A140" s="278"/>
      <c r="B140" s="311"/>
      <c r="C140" s="441" t="s">
        <v>580</v>
      </c>
      <c r="D140" s="441"/>
      <c r="E140" s="441"/>
      <c r="F140" s="249"/>
      <c r="G140" s="250"/>
      <c r="H140" s="250"/>
      <c r="I140" s="250"/>
      <c r="J140" s="253"/>
      <c r="K140" s="250"/>
      <c r="L140" s="281">
        <v>543.15</v>
      </c>
      <c r="M140" s="273"/>
      <c r="N140" s="280">
        <v>14758.45</v>
      </c>
      <c r="S140" s="338"/>
      <c r="AF140" s="246"/>
      <c r="AG140" s="255"/>
      <c r="AM140" s="255" t="s">
        <v>580</v>
      </c>
    </row>
    <row r="141" spans="1:40" s="210" customFormat="1" ht="42" x14ac:dyDescent="0.3">
      <c r="A141" s="247" t="s">
        <v>335</v>
      </c>
      <c r="B141" s="248" t="s">
        <v>627</v>
      </c>
      <c r="C141" s="441" t="s">
        <v>628</v>
      </c>
      <c r="D141" s="441"/>
      <c r="E141" s="441"/>
      <c r="F141" s="249" t="s">
        <v>178</v>
      </c>
      <c r="G141" s="250">
        <v>4</v>
      </c>
      <c r="H141" s="251">
        <v>1</v>
      </c>
      <c r="I141" s="251">
        <v>4</v>
      </c>
      <c r="J141" s="281">
        <v>507.69</v>
      </c>
      <c r="K141" s="250"/>
      <c r="L141" s="279">
        <v>2030.76</v>
      </c>
      <c r="M141" s="252">
        <v>8.92</v>
      </c>
      <c r="N141" s="280">
        <v>18114.38</v>
      </c>
      <c r="S141" s="340" t="s">
        <v>707</v>
      </c>
      <c r="AF141" s="246"/>
      <c r="AG141" s="255" t="s">
        <v>628</v>
      </c>
      <c r="AM141" s="255"/>
    </row>
    <row r="142" spans="1:40" s="210" customFormat="1" ht="14.4" x14ac:dyDescent="0.3">
      <c r="A142" s="278"/>
      <c r="B142" s="311"/>
      <c r="C142" s="435" t="s">
        <v>583</v>
      </c>
      <c r="D142" s="435"/>
      <c r="E142" s="435"/>
      <c r="F142" s="435"/>
      <c r="G142" s="435"/>
      <c r="H142" s="435"/>
      <c r="I142" s="435"/>
      <c r="J142" s="435"/>
      <c r="K142" s="435"/>
      <c r="L142" s="435"/>
      <c r="M142" s="435"/>
      <c r="N142" s="442"/>
      <c r="S142" s="338"/>
      <c r="AF142" s="246"/>
      <c r="AG142" s="255"/>
      <c r="AM142" s="255"/>
      <c r="AN142" s="258" t="s">
        <v>583</v>
      </c>
    </row>
    <row r="143" spans="1:40" s="210" customFormat="1" ht="14.4" x14ac:dyDescent="0.3">
      <c r="A143" s="278"/>
      <c r="B143" s="311"/>
      <c r="C143" s="441" t="s">
        <v>580</v>
      </c>
      <c r="D143" s="441"/>
      <c r="E143" s="441"/>
      <c r="F143" s="249"/>
      <c r="G143" s="250"/>
      <c r="H143" s="250"/>
      <c r="I143" s="250"/>
      <c r="J143" s="253"/>
      <c r="K143" s="250"/>
      <c r="L143" s="279">
        <v>2030.76</v>
      </c>
      <c r="M143" s="273"/>
      <c r="N143" s="280">
        <v>18114.38</v>
      </c>
      <c r="S143" s="338"/>
      <c r="AF143" s="246"/>
      <c r="AG143" s="255"/>
      <c r="AM143" s="255" t="s">
        <v>580</v>
      </c>
    </row>
    <row r="144" spans="1:40" s="210" customFormat="1" ht="72" x14ac:dyDescent="0.3">
      <c r="A144" s="247" t="s">
        <v>629</v>
      </c>
      <c r="B144" s="248" t="s">
        <v>630</v>
      </c>
      <c r="C144" s="441" t="s">
        <v>631</v>
      </c>
      <c r="D144" s="441"/>
      <c r="E144" s="441"/>
      <c r="F144" s="249" t="s">
        <v>632</v>
      </c>
      <c r="G144" s="250">
        <v>0.1</v>
      </c>
      <c r="H144" s="251">
        <v>1</v>
      </c>
      <c r="I144" s="290">
        <v>0.1</v>
      </c>
      <c r="J144" s="253"/>
      <c r="K144" s="250"/>
      <c r="L144" s="253"/>
      <c r="M144" s="250"/>
      <c r="N144" s="254"/>
      <c r="S144" s="341" t="s">
        <v>710</v>
      </c>
      <c r="AF144" s="246"/>
      <c r="AG144" s="255" t="s">
        <v>631</v>
      </c>
      <c r="AM144" s="255"/>
    </row>
    <row r="145" spans="1:40" s="210" customFormat="1" ht="14.4" x14ac:dyDescent="0.3">
      <c r="A145" s="256"/>
      <c r="B145" s="257"/>
      <c r="C145" s="435" t="s">
        <v>633</v>
      </c>
      <c r="D145" s="435"/>
      <c r="E145" s="435"/>
      <c r="F145" s="435"/>
      <c r="G145" s="435"/>
      <c r="H145" s="435"/>
      <c r="I145" s="435"/>
      <c r="J145" s="435"/>
      <c r="K145" s="435"/>
      <c r="L145" s="435"/>
      <c r="M145" s="435"/>
      <c r="N145" s="442"/>
      <c r="S145" s="338"/>
      <c r="AF145" s="246"/>
      <c r="AG145" s="255"/>
      <c r="AH145" s="258" t="s">
        <v>633</v>
      </c>
      <c r="AM145" s="255"/>
    </row>
    <row r="146" spans="1:40" s="210" customFormat="1" ht="52.2" x14ac:dyDescent="0.3">
      <c r="A146" s="283"/>
      <c r="B146" s="260" t="s">
        <v>704</v>
      </c>
      <c r="C146" s="443" t="s">
        <v>705</v>
      </c>
      <c r="D146" s="443"/>
      <c r="E146" s="443"/>
      <c r="F146" s="443"/>
      <c r="G146" s="443"/>
      <c r="H146" s="443"/>
      <c r="I146" s="443"/>
      <c r="J146" s="443"/>
      <c r="K146" s="443"/>
      <c r="L146" s="443"/>
      <c r="M146" s="443"/>
      <c r="N146" s="444"/>
      <c r="S146" s="338"/>
      <c r="AF146" s="246"/>
      <c r="AG146" s="255"/>
      <c r="AI146" s="258" t="s">
        <v>705</v>
      </c>
      <c r="AM146" s="255"/>
    </row>
    <row r="147" spans="1:40" s="210" customFormat="1" ht="14.4" x14ac:dyDescent="0.3">
      <c r="A147" s="259"/>
      <c r="B147" s="260" t="s">
        <v>301</v>
      </c>
      <c r="C147" s="435" t="s">
        <v>566</v>
      </c>
      <c r="D147" s="435"/>
      <c r="E147" s="435"/>
      <c r="F147" s="261"/>
      <c r="G147" s="262"/>
      <c r="H147" s="262"/>
      <c r="I147" s="262"/>
      <c r="J147" s="263">
        <v>84.35</v>
      </c>
      <c r="K147" s="267">
        <v>1.1499999999999999</v>
      </c>
      <c r="L147" s="263">
        <v>9.6999999999999993</v>
      </c>
      <c r="M147" s="264">
        <v>41.8</v>
      </c>
      <c r="N147" s="284">
        <v>405.46</v>
      </c>
      <c r="S147" s="338"/>
      <c r="AF147" s="246"/>
      <c r="AG147" s="255"/>
      <c r="AJ147" s="258" t="s">
        <v>566</v>
      </c>
      <c r="AM147" s="255"/>
    </row>
    <row r="148" spans="1:40" s="210" customFormat="1" ht="14.4" x14ac:dyDescent="0.3">
      <c r="A148" s="259"/>
      <c r="B148" s="260" t="s">
        <v>304</v>
      </c>
      <c r="C148" s="435" t="s">
        <v>567</v>
      </c>
      <c r="D148" s="435"/>
      <c r="E148" s="435"/>
      <c r="F148" s="261"/>
      <c r="G148" s="262"/>
      <c r="H148" s="262"/>
      <c r="I148" s="262"/>
      <c r="J148" s="263">
        <v>0.37</v>
      </c>
      <c r="K148" s="267">
        <v>1.1499999999999999</v>
      </c>
      <c r="L148" s="263">
        <v>0.04</v>
      </c>
      <c r="M148" s="267">
        <v>13.59</v>
      </c>
      <c r="N148" s="284">
        <v>0.54</v>
      </c>
      <c r="S148" s="338"/>
      <c r="AF148" s="246"/>
      <c r="AG148" s="255"/>
      <c r="AJ148" s="258" t="s">
        <v>567</v>
      </c>
      <c r="AM148" s="255"/>
    </row>
    <row r="149" spans="1:40" s="210" customFormat="1" ht="14.4" x14ac:dyDescent="0.3">
      <c r="A149" s="259"/>
      <c r="B149" s="260" t="s">
        <v>592</v>
      </c>
      <c r="C149" s="435" t="s">
        <v>593</v>
      </c>
      <c r="D149" s="435"/>
      <c r="E149" s="435"/>
      <c r="F149" s="261"/>
      <c r="G149" s="262"/>
      <c r="H149" s="262"/>
      <c r="I149" s="262"/>
      <c r="J149" s="263">
        <v>1.37</v>
      </c>
      <c r="K149" s="262"/>
      <c r="L149" s="263">
        <v>0.14000000000000001</v>
      </c>
      <c r="M149" s="267">
        <v>8.92</v>
      </c>
      <c r="N149" s="284">
        <v>1.25</v>
      </c>
      <c r="S149" s="338"/>
      <c r="AF149" s="246"/>
      <c r="AG149" s="255"/>
      <c r="AJ149" s="258" t="s">
        <v>593</v>
      </c>
      <c r="AM149" s="255"/>
    </row>
    <row r="150" spans="1:40" s="210" customFormat="1" ht="14.4" x14ac:dyDescent="0.3">
      <c r="A150" s="268"/>
      <c r="B150" s="260"/>
      <c r="C150" s="435" t="s">
        <v>570</v>
      </c>
      <c r="D150" s="435"/>
      <c r="E150" s="435"/>
      <c r="F150" s="261" t="s">
        <v>571</v>
      </c>
      <c r="G150" s="264">
        <v>9.3000000000000007</v>
      </c>
      <c r="H150" s="267">
        <v>1.1499999999999999</v>
      </c>
      <c r="I150" s="271">
        <v>1.0694999999999999</v>
      </c>
      <c r="J150" s="269"/>
      <c r="K150" s="262"/>
      <c r="L150" s="269"/>
      <c r="M150" s="262"/>
      <c r="N150" s="270"/>
      <c r="S150" s="338"/>
      <c r="AF150" s="246"/>
      <c r="AG150" s="255"/>
      <c r="AK150" s="258" t="s">
        <v>570</v>
      </c>
      <c r="AM150" s="255"/>
    </row>
    <row r="151" spans="1:40" s="210" customFormat="1" ht="14.4" x14ac:dyDescent="0.3">
      <c r="A151" s="259"/>
      <c r="B151" s="260"/>
      <c r="C151" s="436" t="s">
        <v>573</v>
      </c>
      <c r="D151" s="436"/>
      <c r="E151" s="436"/>
      <c r="F151" s="272"/>
      <c r="G151" s="273"/>
      <c r="H151" s="273"/>
      <c r="I151" s="273"/>
      <c r="J151" s="275">
        <v>86.09</v>
      </c>
      <c r="K151" s="273"/>
      <c r="L151" s="275">
        <v>9.8800000000000008</v>
      </c>
      <c r="M151" s="273"/>
      <c r="N151" s="286">
        <v>407.25</v>
      </c>
      <c r="S151" s="338"/>
      <c r="AF151" s="246"/>
      <c r="AG151" s="255"/>
      <c r="AL151" s="258" t="s">
        <v>573</v>
      </c>
      <c r="AM151" s="255"/>
    </row>
    <row r="152" spans="1:40" s="210" customFormat="1" ht="14.4" x14ac:dyDescent="0.3">
      <c r="A152" s="268"/>
      <c r="B152" s="260"/>
      <c r="C152" s="435" t="s">
        <v>574</v>
      </c>
      <c r="D152" s="435"/>
      <c r="E152" s="435"/>
      <c r="F152" s="261"/>
      <c r="G152" s="262"/>
      <c r="H152" s="262"/>
      <c r="I152" s="262"/>
      <c r="J152" s="269"/>
      <c r="K152" s="262"/>
      <c r="L152" s="263">
        <v>9.6999999999999993</v>
      </c>
      <c r="M152" s="262"/>
      <c r="N152" s="284">
        <v>405.46</v>
      </c>
      <c r="S152" s="338"/>
      <c r="AF152" s="246"/>
      <c r="AG152" s="255"/>
      <c r="AK152" s="258" t="s">
        <v>574</v>
      </c>
      <c r="AM152" s="255"/>
    </row>
    <row r="153" spans="1:40" s="210" customFormat="1" ht="14.4" x14ac:dyDescent="0.3">
      <c r="A153" s="268"/>
      <c r="B153" s="260" t="s">
        <v>634</v>
      </c>
      <c r="C153" s="435" t="s">
        <v>635</v>
      </c>
      <c r="D153" s="435"/>
      <c r="E153" s="435"/>
      <c r="F153" s="261" t="s">
        <v>577</v>
      </c>
      <c r="G153" s="277">
        <v>146</v>
      </c>
      <c r="H153" s="262"/>
      <c r="I153" s="277">
        <v>146</v>
      </c>
      <c r="J153" s="269"/>
      <c r="K153" s="262"/>
      <c r="L153" s="263">
        <v>14.16</v>
      </c>
      <c r="M153" s="262"/>
      <c r="N153" s="284">
        <v>591.97</v>
      </c>
      <c r="S153" s="338"/>
      <c r="AF153" s="246"/>
      <c r="AG153" s="255"/>
      <c r="AK153" s="258" t="s">
        <v>635</v>
      </c>
      <c r="AM153" s="255"/>
    </row>
    <row r="154" spans="1:40" s="210" customFormat="1" ht="20.399999999999999" x14ac:dyDescent="0.3">
      <c r="A154" s="268"/>
      <c r="B154" s="260" t="s">
        <v>636</v>
      </c>
      <c r="C154" s="435" t="s">
        <v>637</v>
      </c>
      <c r="D154" s="435"/>
      <c r="E154" s="435"/>
      <c r="F154" s="261" t="s">
        <v>577</v>
      </c>
      <c r="G154" s="277">
        <v>75</v>
      </c>
      <c r="H154" s="267">
        <v>0.85</v>
      </c>
      <c r="I154" s="267">
        <v>63.75</v>
      </c>
      <c r="J154" s="269"/>
      <c r="K154" s="262"/>
      <c r="L154" s="263">
        <v>6.18</v>
      </c>
      <c r="M154" s="262"/>
      <c r="N154" s="284">
        <v>258.48</v>
      </c>
      <c r="S154" s="338"/>
      <c r="AF154" s="246"/>
      <c r="AG154" s="255"/>
      <c r="AK154" s="258" t="s">
        <v>637</v>
      </c>
      <c r="AM154" s="255"/>
    </row>
    <row r="155" spans="1:40" s="210" customFormat="1" ht="14.4" x14ac:dyDescent="0.3">
      <c r="A155" s="278"/>
      <c r="B155" s="311"/>
      <c r="C155" s="441" t="s">
        <v>580</v>
      </c>
      <c r="D155" s="441"/>
      <c r="E155" s="441"/>
      <c r="F155" s="249"/>
      <c r="G155" s="250"/>
      <c r="H155" s="250"/>
      <c r="I155" s="250"/>
      <c r="J155" s="253"/>
      <c r="K155" s="250"/>
      <c r="L155" s="281">
        <v>30.22</v>
      </c>
      <c r="M155" s="273"/>
      <c r="N155" s="280">
        <v>1257.7</v>
      </c>
      <c r="S155" s="338"/>
      <c r="AF155" s="246"/>
      <c r="AG155" s="255"/>
      <c r="AM155" s="255" t="s">
        <v>580</v>
      </c>
    </row>
    <row r="156" spans="1:40" s="210" customFormat="1" ht="42" x14ac:dyDescent="0.3">
      <c r="A156" s="247" t="s">
        <v>638</v>
      </c>
      <c r="B156" s="248" t="s">
        <v>639</v>
      </c>
      <c r="C156" s="441" t="s">
        <v>640</v>
      </c>
      <c r="D156" s="441"/>
      <c r="E156" s="441"/>
      <c r="F156" s="249" t="s">
        <v>182</v>
      </c>
      <c r="G156" s="250">
        <v>36</v>
      </c>
      <c r="H156" s="251">
        <v>1</v>
      </c>
      <c r="I156" s="251">
        <v>36</v>
      </c>
      <c r="J156" s="281">
        <v>219.85</v>
      </c>
      <c r="K156" s="250"/>
      <c r="L156" s="279">
        <v>7914.6</v>
      </c>
      <c r="M156" s="252">
        <v>8.92</v>
      </c>
      <c r="N156" s="280">
        <v>70598.23</v>
      </c>
      <c r="S156" s="340" t="s">
        <v>707</v>
      </c>
      <c r="AF156" s="246"/>
      <c r="AG156" s="255" t="s">
        <v>640</v>
      </c>
      <c r="AM156" s="255"/>
    </row>
    <row r="157" spans="1:40" s="210" customFormat="1" ht="14.4" x14ac:dyDescent="0.3">
      <c r="A157" s="278"/>
      <c r="B157" s="311"/>
      <c r="C157" s="435" t="s">
        <v>583</v>
      </c>
      <c r="D157" s="435"/>
      <c r="E157" s="435"/>
      <c r="F157" s="435"/>
      <c r="G157" s="435"/>
      <c r="H157" s="435"/>
      <c r="I157" s="435"/>
      <c r="J157" s="435"/>
      <c r="K157" s="435"/>
      <c r="L157" s="435"/>
      <c r="M157" s="435"/>
      <c r="N157" s="442"/>
      <c r="S157" s="338"/>
      <c r="AF157" s="246"/>
      <c r="AG157" s="255"/>
      <c r="AM157" s="255"/>
      <c r="AN157" s="258" t="s">
        <v>583</v>
      </c>
    </row>
    <row r="158" spans="1:40" s="210" customFormat="1" ht="14.4" x14ac:dyDescent="0.3">
      <c r="A158" s="278"/>
      <c r="B158" s="311"/>
      <c r="C158" s="441" t="s">
        <v>580</v>
      </c>
      <c r="D158" s="441"/>
      <c r="E158" s="441"/>
      <c r="F158" s="249"/>
      <c r="G158" s="250"/>
      <c r="H158" s="250"/>
      <c r="I158" s="250"/>
      <c r="J158" s="253"/>
      <c r="K158" s="250"/>
      <c r="L158" s="279">
        <v>7914.6</v>
      </c>
      <c r="M158" s="273"/>
      <c r="N158" s="280">
        <v>70598.23</v>
      </c>
      <c r="S158" s="338"/>
      <c r="AF158" s="246"/>
      <c r="AG158" s="255"/>
      <c r="AM158" s="255" t="s">
        <v>580</v>
      </c>
    </row>
    <row r="159" spans="1:40" s="210" customFormat="1" ht="31.8" x14ac:dyDescent="0.3">
      <c r="A159" s="247" t="s">
        <v>377</v>
      </c>
      <c r="B159" s="248" t="s">
        <v>641</v>
      </c>
      <c r="C159" s="441" t="s">
        <v>642</v>
      </c>
      <c r="D159" s="441"/>
      <c r="E159" s="441"/>
      <c r="F159" s="249" t="s">
        <v>178</v>
      </c>
      <c r="G159" s="250">
        <v>2</v>
      </c>
      <c r="H159" s="251">
        <v>1</v>
      </c>
      <c r="I159" s="251">
        <v>2</v>
      </c>
      <c r="J159" s="253"/>
      <c r="K159" s="250"/>
      <c r="L159" s="253"/>
      <c r="M159" s="250"/>
      <c r="N159" s="254"/>
      <c r="S159" s="338"/>
      <c r="AF159" s="246"/>
      <c r="AG159" s="255" t="s">
        <v>642</v>
      </c>
      <c r="AM159" s="255"/>
    </row>
    <row r="160" spans="1:40" s="210" customFormat="1" ht="52.2" x14ac:dyDescent="0.3">
      <c r="A160" s="283"/>
      <c r="B160" s="260" t="s">
        <v>704</v>
      </c>
      <c r="C160" s="443" t="s">
        <v>705</v>
      </c>
      <c r="D160" s="443"/>
      <c r="E160" s="443"/>
      <c r="F160" s="443"/>
      <c r="G160" s="443"/>
      <c r="H160" s="443"/>
      <c r="I160" s="443"/>
      <c r="J160" s="443"/>
      <c r="K160" s="443"/>
      <c r="L160" s="443"/>
      <c r="M160" s="443"/>
      <c r="N160" s="444"/>
      <c r="S160" s="338"/>
      <c r="AF160" s="246"/>
      <c r="AG160" s="255"/>
      <c r="AI160" s="258" t="s">
        <v>705</v>
      </c>
      <c r="AM160" s="255"/>
    </row>
    <row r="161" spans="1:39" s="210" customFormat="1" ht="14.4" x14ac:dyDescent="0.3">
      <c r="A161" s="259"/>
      <c r="B161" s="260" t="s">
        <v>301</v>
      </c>
      <c r="C161" s="435" t="s">
        <v>566</v>
      </c>
      <c r="D161" s="435"/>
      <c r="E161" s="435"/>
      <c r="F161" s="261"/>
      <c r="G161" s="262"/>
      <c r="H161" s="262"/>
      <c r="I161" s="262"/>
      <c r="J161" s="263">
        <v>161.85</v>
      </c>
      <c r="K161" s="267">
        <v>1.1499999999999999</v>
      </c>
      <c r="L161" s="263">
        <v>372.26</v>
      </c>
      <c r="M161" s="264">
        <v>41.8</v>
      </c>
      <c r="N161" s="265">
        <v>15560.47</v>
      </c>
      <c r="S161" s="338"/>
      <c r="AF161" s="246"/>
      <c r="AG161" s="255"/>
      <c r="AJ161" s="258" t="s">
        <v>566</v>
      </c>
      <c r="AM161" s="255"/>
    </row>
    <row r="162" spans="1:39" s="210" customFormat="1" ht="14.4" x14ac:dyDescent="0.3">
      <c r="A162" s="259"/>
      <c r="B162" s="260" t="s">
        <v>304</v>
      </c>
      <c r="C162" s="435" t="s">
        <v>567</v>
      </c>
      <c r="D162" s="435"/>
      <c r="E162" s="435"/>
      <c r="F162" s="261"/>
      <c r="G162" s="262"/>
      <c r="H162" s="262"/>
      <c r="I162" s="262"/>
      <c r="J162" s="263">
        <v>8.51</v>
      </c>
      <c r="K162" s="267">
        <v>1.1499999999999999</v>
      </c>
      <c r="L162" s="263">
        <v>19.57</v>
      </c>
      <c r="M162" s="267">
        <v>13.59</v>
      </c>
      <c r="N162" s="284">
        <v>265.95999999999998</v>
      </c>
      <c r="S162" s="338"/>
      <c r="AF162" s="246"/>
      <c r="AG162" s="255"/>
      <c r="AJ162" s="258" t="s">
        <v>567</v>
      </c>
      <c r="AM162" s="255"/>
    </row>
    <row r="163" spans="1:39" s="210" customFormat="1" ht="14.4" x14ac:dyDescent="0.3">
      <c r="A163" s="259"/>
      <c r="B163" s="260" t="s">
        <v>592</v>
      </c>
      <c r="C163" s="435" t="s">
        <v>593</v>
      </c>
      <c r="D163" s="435"/>
      <c r="E163" s="435"/>
      <c r="F163" s="261"/>
      <c r="G163" s="262"/>
      <c r="H163" s="262"/>
      <c r="I163" s="262"/>
      <c r="J163" s="263">
        <v>16.18</v>
      </c>
      <c r="K163" s="262"/>
      <c r="L163" s="263">
        <v>32.36</v>
      </c>
      <c r="M163" s="267">
        <v>8.92</v>
      </c>
      <c r="N163" s="284">
        <v>288.64999999999998</v>
      </c>
      <c r="S163" s="338"/>
      <c r="AF163" s="246"/>
      <c r="AG163" s="255"/>
      <c r="AJ163" s="258" t="s">
        <v>593</v>
      </c>
      <c r="AM163" s="255"/>
    </row>
    <row r="164" spans="1:39" s="210" customFormat="1" ht="14.4" x14ac:dyDescent="0.3">
      <c r="A164" s="268"/>
      <c r="B164" s="260"/>
      <c r="C164" s="435" t="s">
        <v>570</v>
      </c>
      <c r="D164" s="435"/>
      <c r="E164" s="435"/>
      <c r="F164" s="261" t="s">
        <v>571</v>
      </c>
      <c r="G164" s="277">
        <v>15</v>
      </c>
      <c r="H164" s="267">
        <v>1.1499999999999999</v>
      </c>
      <c r="I164" s="264">
        <v>34.5</v>
      </c>
      <c r="J164" s="269"/>
      <c r="K164" s="262"/>
      <c r="L164" s="269"/>
      <c r="M164" s="262"/>
      <c r="N164" s="270"/>
      <c r="S164" s="338"/>
      <c r="AF164" s="246"/>
      <c r="AG164" s="255"/>
      <c r="AK164" s="258" t="s">
        <v>570</v>
      </c>
      <c r="AM164" s="255"/>
    </row>
    <row r="165" spans="1:39" s="210" customFormat="1" ht="14.4" x14ac:dyDescent="0.3">
      <c r="A165" s="259"/>
      <c r="B165" s="260"/>
      <c r="C165" s="436" t="s">
        <v>573</v>
      </c>
      <c r="D165" s="436"/>
      <c r="E165" s="436"/>
      <c r="F165" s="272"/>
      <c r="G165" s="273"/>
      <c r="H165" s="273"/>
      <c r="I165" s="273"/>
      <c r="J165" s="275">
        <v>186.54</v>
      </c>
      <c r="K165" s="273"/>
      <c r="L165" s="275">
        <v>424.19</v>
      </c>
      <c r="M165" s="273"/>
      <c r="N165" s="276">
        <v>16115.08</v>
      </c>
      <c r="S165" s="338"/>
      <c r="AF165" s="246"/>
      <c r="AG165" s="255"/>
      <c r="AL165" s="258" t="s">
        <v>573</v>
      </c>
      <c r="AM165" s="255"/>
    </row>
    <row r="166" spans="1:39" s="210" customFormat="1" ht="14.4" x14ac:dyDescent="0.3">
      <c r="A166" s="268"/>
      <c r="B166" s="260"/>
      <c r="C166" s="435" t="s">
        <v>574</v>
      </c>
      <c r="D166" s="435"/>
      <c r="E166" s="435"/>
      <c r="F166" s="261"/>
      <c r="G166" s="262"/>
      <c r="H166" s="262"/>
      <c r="I166" s="262"/>
      <c r="J166" s="269"/>
      <c r="K166" s="262"/>
      <c r="L166" s="263">
        <v>372.26</v>
      </c>
      <c r="M166" s="262"/>
      <c r="N166" s="265">
        <v>15560.47</v>
      </c>
      <c r="S166" s="338"/>
      <c r="AF166" s="246"/>
      <c r="AG166" s="255"/>
      <c r="AK166" s="258" t="s">
        <v>574</v>
      </c>
      <c r="AM166" s="255"/>
    </row>
    <row r="167" spans="1:39" s="210" customFormat="1" ht="14.4" x14ac:dyDescent="0.3">
      <c r="A167" s="268"/>
      <c r="B167" s="260" t="s">
        <v>643</v>
      </c>
      <c r="C167" s="435" t="s">
        <v>644</v>
      </c>
      <c r="D167" s="435"/>
      <c r="E167" s="435"/>
      <c r="F167" s="261" t="s">
        <v>577</v>
      </c>
      <c r="G167" s="277">
        <v>90</v>
      </c>
      <c r="H167" s="262"/>
      <c r="I167" s="277">
        <v>90</v>
      </c>
      <c r="J167" s="269"/>
      <c r="K167" s="262"/>
      <c r="L167" s="263">
        <v>335.03</v>
      </c>
      <c r="M167" s="262"/>
      <c r="N167" s="265">
        <v>14004.42</v>
      </c>
      <c r="S167" s="338"/>
      <c r="AF167" s="246"/>
      <c r="AG167" s="255"/>
      <c r="AK167" s="258" t="s">
        <v>644</v>
      </c>
      <c r="AM167" s="255"/>
    </row>
    <row r="168" spans="1:39" s="210" customFormat="1" ht="14.4" x14ac:dyDescent="0.3">
      <c r="A168" s="268"/>
      <c r="B168" s="260" t="s">
        <v>645</v>
      </c>
      <c r="C168" s="435" t="s">
        <v>646</v>
      </c>
      <c r="D168" s="435"/>
      <c r="E168" s="435"/>
      <c r="F168" s="261" t="s">
        <v>577</v>
      </c>
      <c r="G168" s="277">
        <v>46</v>
      </c>
      <c r="H168" s="262"/>
      <c r="I168" s="277">
        <v>46</v>
      </c>
      <c r="J168" s="269"/>
      <c r="K168" s="262"/>
      <c r="L168" s="263">
        <v>171.24</v>
      </c>
      <c r="M168" s="262"/>
      <c r="N168" s="265">
        <v>7157.82</v>
      </c>
      <c r="S168" s="338"/>
      <c r="AF168" s="246"/>
      <c r="AG168" s="255"/>
      <c r="AK168" s="258" t="s">
        <v>646</v>
      </c>
      <c r="AM168" s="255"/>
    </row>
    <row r="169" spans="1:39" s="210" customFormat="1" ht="14.4" x14ac:dyDescent="0.3">
      <c r="A169" s="278"/>
      <c r="B169" s="311"/>
      <c r="C169" s="441" t="s">
        <v>580</v>
      </c>
      <c r="D169" s="441"/>
      <c r="E169" s="441"/>
      <c r="F169" s="249"/>
      <c r="G169" s="250"/>
      <c r="H169" s="250"/>
      <c r="I169" s="250"/>
      <c r="J169" s="253"/>
      <c r="K169" s="250"/>
      <c r="L169" s="281">
        <v>930.46</v>
      </c>
      <c r="M169" s="273"/>
      <c r="N169" s="280">
        <v>37277.32</v>
      </c>
      <c r="S169" s="338"/>
      <c r="AF169" s="246"/>
      <c r="AG169" s="255"/>
      <c r="AM169" s="255" t="s">
        <v>580</v>
      </c>
    </row>
    <row r="170" spans="1:39" s="210" customFormat="1" ht="31.8" x14ac:dyDescent="0.3">
      <c r="A170" s="247" t="s">
        <v>647</v>
      </c>
      <c r="B170" s="248" t="s">
        <v>648</v>
      </c>
      <c r="C170" s="441" t="s">
        <v>649</v>
      </c>
      <c r="D170" s="441"/>
      <c r="E170" s="441"/>
      <c r="F170" s="249" t="s">
        <v>650</v>
      </c>
      <c r="G170" s="250">
        <v>4.8</v>
      </c>
      <c r="H170" s="251">
        <v>1</v>
      </c>
      <c r="I170" s="290">
        <v>4.8</v>
      </c>
      <c r="J170" s="253"/>
      <c r="K170" s="250"/>
      <c r="L170" s="253"/>
      <c r="M170" s="250"/>
      <c r="N170" s="254"/>
      <c r="S170" s="338"/>
      <c r="AF170" s="246"/>
      <c r="AG170" s="255" t="s">
        <v>649</v>
      </c>
      <c r="AM170" s="255"/>
    </row>
    <row r="171" spans="1:39" s="210" customFormat="1" ht="14.4" x14ac:dyDescent="0.3">
      <c r="A171" s="256"/>
      <c r="B171" s="257"/>
      <c r="C171" s="435" t="s">
        <v>651</v>
      </c>
      <c r="D171" s="435"/>
      <c r="E171" s="435"/>
      <c r="F171" s="435"/>
      <c r="G171" s="435"/>
      <c r="H171" s="435"/>
      <c r="I171" s="435"/>
      <c r="J171" s="435"/>
      <c r="K171" s="435"/>
      <c r="L171" s="435"/>
      <c r="M171" s="435"/>
      <c r="N171" s="442"/>
      <c r="S171" s="338"/>
      <c r="AF171" s="246"/>
      <c r="AG171" s="255"/>
      <c r="AH171" s="258" t="s">
        <v>651</v>
      </c>
      <c r="AM171" s="255"/>
    </row>
    <row r="172" spans="1:39" s="210" customFormat="1" ht="52.2" x14ac:dyDescent="0.3">
      <c r="A172" s="283"/>
      <c r="B172" s="260" t="s">
        <v>704</v>
      </c>
      <c r="C172" s="443" t="s">
        <v>705</v>
      </c>
      <c r="D172" s="443"/>
      <c r="E172" s="443"/>
      <c r="F172" s="443"/>
      <c r="G172" s="443"/>
      <c r="H172" s="443"/>
      <c r="I172" s="443"/>
      <c r="J172" s="443"/>
      <c r="K172" s="443"/>
      <c r="L172" s="443"/>
      <c r="M172" s="443"/>
      <c r="N172" s="444"/>
      <c r="S172" s="338"/>
      <c r="AF172" s="246"/>
      <c r="AG172" s="255"/>
      <c r="AI172" s="258" t="s">
        <v>705</v>
      </c>
      <c r="AM172" s="255"/>
    </row>
    <row r="173" spans="1:39" s="210" customFormat="1" ht="14.4" x14ac:dyDescent="0.3">
      <c r="A173" s="259"/>
      <c r="B173" s="260" t="s">
        <v>301</v>
      </c>
      <c r="C173" s="435" t="s">
        <v>566</v>
      </c>
      <c r="D173" s="435"/>
      <c r="E173" s="435"/>
      <c r="F173" s="261"/>
      <c r="G173" s="262"/>
      <c r="H173" s="262"/>
      <c r="I173" s="262"/>
      <c r="J173" s="263">
        <v>58.32</v>
      </c>
      <c r="K173" s="267">
        <v>1.1499999999999999</v>
      </c>
      <c r="L173" s="263">
        <v>321.93</v>
      </c>
      <c r="M173" s="264">
        <v>41.8</v>
      </c>
      <c r="N173" s="265">
        <v>13456.67</v>
      </c>
      <c r="S173" s="338"/>
      <c r="AF173" s="246"/>
      <c r="AG173" s="255"/>
      <c r="AJ173" s="258" t="s">
        <v>566</v>
      </c>
      <c r="AM173" s="255"/>
    </row>
    <row r="174" spans="1:39" s="210" customFormat="1" ht="14.4" x14ac:dyDescent="0.3">
      <c r="A174" s="259"/>
      <c r="B174" s="260" t="s">
        <v>304</v>
      </c>
      <c r="C174" s="435" t="s">
        <v>567</v>
      </c>
      <c r="D174" s="435"/>
      <c r="E174" s="435"/>
      <c r="F174" s="261"/>
      <c r="G174" s="262"/>
      <c r="H174" s="262"/>
      <c r="I174" s="262"/>
      <c r="J174" s="263">
        <v>44.51</v>
      </c>
      <c r="K174" s="267">
        <v>1.1499999999999999</v>
      </c>
      <c r="L174" s="263">
        <v>245.7</v>
      </c>
      <c r="M174" s="267">
        <v>13.59</v>
      </c>
      <c r="N174" s="265">
        <v>3339.06</v>
      </c>
      <c r="S174" s="338"/>
      <c r="AF174" s="246"/>
      <c r="AG174" s="255"/>
      <c r="AJ174" s="258" t="s">
        <v>567</v>
      </c>
      <c r="AM174" s="255"/>
    </row>
    <row r="175" spans="1:39" s="210" customFormat="1" ht="14.4" x14ac:dyDescent="0.3">
      <c r="A175" s="259"/>
      <c r="B175" s="260" t="s">
        <v>592</v>
      </c>
      <c r="C175" s="435" t="s">
        <v>593</v>
      </c>
      <c r="D175" s="435"/>
      <c r="E175" s="435"/>
      <c r="F175" s="261"/>
      <c r="G175" s="262"/>
      <c r="H175" s="262"/>
      <c r="I175" s="262"/>
      <c r="J175" s="263">
        <v>41.62</v>
      </c>
      <c r="K175" s="262"/>
      <c r="L175" s="263">
        <v>199.78</v>
      </c>
      <c r="M175" s="267">
        <v>8.92</v>
      </c>
      <c r="N175" s="265">
        <v>1782.04</v>
      </c>
      <c r="S175" s="338"/>
      <c r="AF175" s="246"/>
      <c r="AG175" s="255"/>
      <c r="AJ175" s="258" t="s">
        <v>593</v>
      </c>
      <c r="AM175" s="255"/>
    </row>
    <row r="176" spans="1:39" s="210" customFormat="1" ht="14.4" x14ac:dyDescent="0.3">
      <c r="A176" s="268"/>
      <c r="B176" s="260"/>
      <c r="C176" s="435" t="s">
        <v>570</v>
      </c>
      <c r="D176" s="435"/>
      <c r="E176" s="435"/>
      <c r="F176" s="261" t="s">
        <v>571</v>
      </c>
      <c r="G176" s="267">
        <v>5.01</v>
      </c>
      <c r="H176" s="267">
        <v>1.1499999999999999</v>
      </c>
      <c r="I176" s="271">
        <v>27.655200000000001</v>
      </c>
      <c r="J176" s="269"/>
      <c r="K176" s="262"/>
      <c r="L176" s="269"/>
      <c r="M176" s="262"/>
      <c r="N176" s="270"/>
      <c r="S176" s="338"/>
      <c r="AF176" s="246"/>
      <c r="AG176" s="255"/>
      <c r="AK176" s="258" t="s">
        <v>570</v>
      </c>
      <c r="AM176" s="255"/>
    </row>
    <row r="177" spans="1:39" s="210" customFormat="1" ht="14.4" x14ac:dyDescent="0.3">
      <c r="A177" s="259"/>
      <c r="B177" s="260"/>
      <c r="C177" s="436" t="s">
        <v>573</v>
      </c>
      <c r="D177" s="436"/>
      <c r="E177" s="436"/>
      <c r="F177" s="272"/>
      <c r="G177" s="273"/>
      <c r="H177" s="273"/>
      <c r="I177" s="273"/>
      <c r="J177" s="275">
        <v>144.44999999999999</v>
      </c>
      <c r="K177" s="273"/>
      <c r="L177" s="275">
        <v>767.41</v>
      </c>
      <c r="M177" s="273"/>
      <c r="N177" s="276">
        <v>18577.77</v>
      </c>
      <c r="S177" s="338"/>
      <c r="AF177" s="246"/>
      <c r="AG177" s="255"/>
      <c r="AL177" s="258" t="s">
        <v>573</v>
      </c>
      <c r="AM177" s="255"/>
    </row>
    <row r="178" spans="1:39" s="210" customFormat="1" ht="14.4" x14ac:dyDescent="0.3">
      <c r="A178" s="268"/>
      <c r="B178" s="260"/>
      <c r="C178" s="435" t="s">
        <v>574</v>
      </c>
      <c r="D178" s="435"/>
      <c r="E178" s="435"/>
      <c r="F178" s="261"/>
      <c r="G178" s="262"/>
      <c r="H178" s="262"/>
      <c r="I178" s="262"/>
      <c r="J178" s="269"/>
      <c r="K178" s="262"/>
      <c r="L178" s="263">
        <v>321.93</v>
      </c>
      <c r="M178" s="262"/>
      <c r="N178" s="265">
        <v>13456.67</v>
      </c>
      <c r="S178" s="338"/>
      <c r="AF178" s="246"/>
      <c r="AG178" s="255"/>
      <c r="AK178" s="258" t="s">
        <v>574</v>
      </c>
      <c r="AM178" s="255"/>
    </row>
    <row r="179" spans="1:39" s="210" customFormat="1" ht="31.8" x14ac:dyDescent="0.3">
      <c r="A179" s="268"/>
      <c r="B179" s="260" t="s">
        <v>652</v>
      </c>
      <c r="C179" s="435" t="s">
        <v>653</v>
      </c>
      <c r="D179" s="435"/>
      <c r="E179" s="435"/>
      <c r="F179" s="261" t="s">
        <v>577</v>
      </c>
      <c r="G179" s="277">
        <v>121</v>
      </c>
      <c r="H179" s="262"/>
      <c r="I179" s="277">
        <v>121</v>
      </c>
      <c r="J179" s="269"/>
      <c r="K179" s="262"/>
      <c r="L179" s="263">
        <v>389.54</v>
      </c>
      <c r="M179" s="262"/>
      <c r="N179" s="265">
        <v>16282.57</v>
      </c>
      <c r="S179" s="338"/>
      <c r="AF179" s="246"/>
      <c r="AG179" s="255"/>
      <c r="AK179" s="258" t="s">
        <v>653</v>
      </c>
      <c r="AM179" s="255"/>
    </row>
    <row r="180" spans="1:39" s="210" customFormat="1" ht="40.799999999999997" x14ac:dyDescent="0.3">
      <c r="A180" s="268"/>
      <c r="B180" s="260" t="s">
        <v>654</v>
      </c>
      <c r="C180" s="435" t="s">
        <v>655</v>
      </c>
      <c r="D180" s="435"/>
      <c r="E180" s="435"/>
      <c r="F180" s="261" t="s">
        <v>577</v>
      </c>
      <c r="G180" s="277">
        <v>72</v>
      </c>
      <c r="H180" s="267">
        <v>0.85</v>
      </c>
      <c r="I180" s="264">
        <v>61.2</v>
      </c>
      <c r="J180" s="269"/>
      <c r="K180" s="262"/>
      <c r="L180" s="263">
        <v>197.02</v>
      </c>
      <c r="M180" s="262"/>
      <c r="N180" s="265">
        <v>8235.48</v>
      </c>
      <c r="S180" s="338"/>
      <c r="AF180" s="246"/>
      <c r="AG180" s="255"/>
      <c r="AK180" s="258" t="s">
        <v>655</v>
      </c>
      <c r="AM180" s="255"/>
    </row>
    <row r="181" spans="1:39" s="210" customFormat="1" ht="14.4" x14ac:dyDescent="0.3">
      <c r="A181" s="278"/>
      <c r="B181" s="311"/>
      <c r="C181" s="441" t="s">
        <v>580</v>
      </c>
      <c r="D181" s="441"/>
      <c r="E181" s="441"/>
      <c r="F181" s="249"/>
      <c r="G181" s="250"/>
      <c r="H181" s="250"/>
      <c r="I181" s="250"/>
      <c r="J181" s="253"/>
      <c r="K181" s="250"/>
      <c r="L181" s="279">
        <v>1353.97</v>
      </c>
      <c r="M181" s="273"/>
      <c r="N181" s="280">
        <v>43095.82</v>
      </c>
      <c r="S181" s="338"/>
      <c r="AF181" s="246"/>
      <c r="AG181" s="255"/>
      <c r="AM181" s="255" t="s">
        <v>580</v>
      </c>
    </row>
    <row r="182" spans="1:39" s="210" customFormat="1" ht="31.8" x14ac:dyDescent="0.3">
      <c r="A182" s="247" t="s">
        <v>656</v>
      </c>
      <c r="B182" s="248" t="s">
        <v>657</v>
      </c>
      <c r="C182" s="441" t="s">
        <v>658</v>
      </c>
      <c r="D182" s="441"/>
      <c r="E182" s="441"/>
      <c r="F182" s="249" t="s">
        <v>493</v>
      </c>
      <c r="G182" s="250">
        <v>60</v>
      </c>
      <c r="H182" s="251">
        <v>1</v>
      </c>
      <c r="I182" s="251">
        <v>60</v>
      </c>
      <c r="J182" s="253"/>
      <c r="K182" s="250"/>
      <c r="L182" s="253"/>
      <c r="M182" s="250"/>
      <c r="N182" s="254"/>
      <c r="S182" s="338"/>
      <c r="AF182" s="246"/>
      <c r="AG182" s="255" t="s">
        <v>658</v>
      </c>
      <c r="AM182" s="255"/>
    </row>
    <row r="183" spans="1:39" s="210" customFormat="1" ht="52.2" x14ac:dyDescent="0.3">
      <c r="A183" s="283"/>
      <c r="B183" s="260" t="s">
        <v>704</v>
      </c>
      <c r="C183" s="443" t="s">
        <v>705</v>
      </c>
      <c r="D183" s="443"/>
      <c r="E183" s="443"/>
      <c r="F183" s="443"/>
      <c r="G183" s="443"/>
      <c r="H183" s="443"/>
      <c r="I183" s="443"/>
      <c r="J183" s="443"/>
      <c r="K183" s="443"/>
      <c r="L183" s="443"/>
      <c r="M183" s="443"/>
      <c r="N183" s="444"/>
      <c r="S183" s="338"/>
      <c r="AF183" s="246"/>
      <c r="AG183" s="255"/>
      <c r="AI183" s="258" t="s">
        <v>705</v>
      </c>
      <c r="AM183" s="255"/>
    </row>
    <row r="184" spans="1:39" s="210" customFormat="1" ht="14.4" x14ac:dyDescent="0.3">
      <c r="A184" s="259"/>
      <c r="B184" s="260" t="s">
        <v>301</v>
      </c>
      <c r="C184" s="435" t="s">
        <v>566</v>
      </c>
      <c r="D184" s="435"/>
      <c r="E184" s="435"/>
      <c r="F184" s="261"/>
      <c r="G184" s="262"/>
      <c r="H184" s="262"/>
      <c r="I184" s="262"/>
      <c r="J184" s="263">
        <v>1.77</v>
      </c>
      <c r="K184" s="267">
        <v>1.1499999999999999</v>
      </c>
      <c r="L184" s="263">
        <v>122.13</v>
      </c>
      <c r="M184" s="264">
        <v>41.8</v>
      </c>
      <c r="N184" s="265">
        <v>5105.03</v>
      </c>
      <c r="S184" s="338"/>
      <c r="AF184" s="246"/>
      <c r="AG184" s="255"/>
      <c r="AJ184" s="258" t="s">
        <v>566</v>
      </c>
      <c r="AM184" s="255"/>
    </row>
    <row r="185" spans="1:39" s="210" customFormat="1" ht="14.4" x14ac:dyDescent="0.3">
      <c r="A185" s="259"/>
      <c r="B185" s="260" t="s">
        <v>592</v>
      </c>
      <c r="C185" s="435" t="s">
        <v>593</v>
      </c>
      <c r="D185" s="435"/>
      <c r="E185" s="435"/>
      <c r="F185" s="261"/>
      <c r="G185" s="262"/>
      <c r="H185" s="262"/>
      <c r="I185" s="262"/>
      <c r="J185" s="263">
        <v>0.04</v>
      </c>
      <c r="K185" s="262"/>
      <c r="L185" s="263">
        <v>2.4</v>
      </c>
      <c r="M185" s="267">
        <v>8.92</v>
      </c>
      <c r="N185" s="284">
        <v>21.41</v>
      </c>
      <c r="S185" s="338"/>
      <c r="AF185" s="246"/>
      <c r="AG185" s="255"/>
      <c r="AJ185" s="258" t="s">
        <v>593</v>
      </c>
      <c r="AM185" s="255"/>
    </row>
    <row r="186" spans="1:39" s="210" customFormat="1" ht="14.4" x14ac:dyDescent="0.3">
      <c r="A186" s="268"/>
      <c r="B186" s="260"/>
      <c r="C186" s="435" t="s">
        <v>570</v>
      </c>
      <c r="D186" s="435"/>
      <c r="E186" s="435"/>
      <c r="F186" s="261" t="s">
        <v>571</v>
      </c>
      <c r="G186" s="267">
        <v>0.16</v>
      </c>
      <c r="H186" s="267">
        <v>1.1499999999999999</v>
      </c>
      <c r="I186" s="267">
        <v>11.04</v>
      </c>
      <c r="J186" s="269"/>
      <c r="K186" s="262"/>
      <c r="L186" s="269"/>
      <c r="M186" s="262"/>
      <c r="N186" s="270"/>
      <c r="S186" s="338"/>
      <c r="AF186" s="246"/>
      <c r="AG186" s="255"/>
      <c r="AK186" s="258" t="s">
        <v>570</v>
      </c>
      <c r="AM186" s="255"/>
    </row>
    <row r="187" spans="1:39" s="210" customFormat="1" ht="14.4" x14ac:dyDescent="0.3">
      <c r="A187" s="259"/>
      <c r="B187" s="260"/>
      <c r="C187" s="436" t="s">
        <v>573</v>
      </c>
      <c r="D187" s="436"/>
      <c r="E187" s="436"/>
      <c r="F187" s="272"/>
      <c r="G187" s="273"/>
      <c r="H187" s="273"/>
      <c r="I187" s="273"/>
      <c r="J187" s="275">
        <v>1.81</v>
      </c>
      <c r="K187" s="273"/>
      <c r="L187" s="275">
        <v>124.53</v>
      </c>
      <c r="M187" s="273"/>
      <c r="N187" s="276">
        <v>5126.4399999999996</v>
      </c>
      <c r="S187" s="338"/>
      <c r="AF187" s="246"/>
      <c r="AG187" s="255"/>
      <c r="AL187" s="258" t="s">
        <v>573</v>
      </c>
      <c r="AM187" s="255"/>
    </row>
    <row r="188" spans="1:39" s="210" customFormat="1" ht="14.4" x14ac:dyDescent="0.3">
      <c r="A188" s="268"/>
      <c r="B188" s="260"/>
      <c r="C188" s="435" t="s">
        <v>574</v>
      </c>
      <c r="D188" s="435"/>
      <c r="E188" s="435"/>
      <c r="F188" s="261"/>
      <c r="G188" s="262"/>
      <c r="H188" s="262"/>
      <c r="I188" s="262"/>
      <c r="J188" s="269"/>
      <c r="K188" s="262"/>
      <c r="L188" s="263">
        <v>122.13</v>
      </c>
      <c r="M188" s="262"/>
      <c r="N188" s="265">
        <v>5105.03</v>
      </c>
      <c r="S188" s="338"/>
      <c r="AF188" s="246"/>
      <c r="AG188" s="255"/>
      <c r="AK188" s="258" t="s">
        <v>574</v>
      </c>
      <c r="AM188" s="255"/>
    </row>
    <row r="189" spans="1:39" s="210" customFormat="1" ht="14.4" x14ac:dyDescent="0.3">
      <c r="A189" s="268"/>
      <c r="B189" s="260" t="s">
        <v>659</v>
      </c>
      <c r="C189" s="435" t="s">
        <v>660</v>
      </c>
      <c r="D189" s="435"/>
      <c r="E189" s="435"/>
      <c r="F189" s="261" t="s">
        <v>577</v>
      </c>
      <c r="G189" s="277">
        <v>89</v>
      </c>
      <c r="H189" s="262"/>
      <c r="I189" s="277">
        <v>89</v>
      </c>
      <c r="J189" s="269"/>
      <c r="K189" s="262"/>
      <c r="L189" s="263">
        <v>108.7</v>
      </c>
      <c r="M189" s="262"/>
      <c r="N189" s="265">
        <v>4543.4799999999996</v>
      </c>
      <c r="S189" s="338"/>
      <c r="AF189" s="246"/>
      <c r="AG189" s="255"/>
      <c r="AK189" s="258" t="s">
        <v>660</v>
      </c>
      <c r="AM189" s="255"/>
    </row>
    <row r="190" spans="1:39" s="210" customFormat="1" ht="14.4" x14ac:dyDescent="0.3">
      <c r="A190" s="268"/>
      <c r="B190" s="260" t="s">
        <v>661</v>
      </c>
      <c r="C190" s="435" t="s">
        <v>662</v>
      </c>
      <c r="D190" s="435"/>
      <c r="E190" s="435"/>
      <c r="F190" s="261" t="s">
        <v>577</v>
      </c>
      <c r="G190" s="277">
        <v>45</v>
      </c>
      <c r="H190" s="262"/>
      <c r="I190" s="277">
        <v>45</v>
      </c>
      <c r="J190" s="269"/>
      <c r="K190" s="262"/>
      <c r="L190" s="263">
        <v>54.96</v>
      </c>
      <c r="M190" s="262"/>
      <c r="N190" s="265">
        <v>2297.2600000000002</v>
      </c>
      <c r="S190" s="338"/>
      <c r="AF190" s="246"/>
      <c r="AG190" s="255"/>
      <c r="AK190" s="258" t="s">
        <v>662</v>
      </c>
      <c r="AM190" s="255"/>
    </row>
    <row r="191" spans="1:39" s="210" customFormat="1" ht="14.4" x14ac:dyDescent="0.3">
      <c r="A191" s="278"/>
      <c r="B191" s="311"/>
      <c r="C191" s="441" t="s">
        <v>580</v>
      </c>
      <c r="D191" s="441"/>
      <c r="E191" s="441"/>
      <c r="F191" s="249"/>
      <c r="G191" s="250"/>
      <c r="H191" s="250"/>
      <c r="I191" s="250"/>
      <c r="J191" s="253"/>
      <c r="K191" s="250"/>
      <c r="L191" s="281">
        <v>288.19</v>
      </c>
      <c r="M191" s="273"/>
      <c r="N191" s="280">
        <v>11967.18</v>
      </c>
      <c r="S191" s="338"/>
      <c r="AF191" s="246"/>
      <c r="AG191" s="255"/>
      <c r="AM191" s="255" t="s">
        <v>580</v>
      </c>
    </row>
    <row r="192" spans="1:39" s="210" customFormat="1" ht="52.2" x14ac:dyDescent="0.3">
      <c r="A192" s="247" t="s">
        <v>663</v>
      </c>
      <c r="B192" s="248" t="s">
        <v>664</v>
      </c>
      <c r="C192" s="441" t="s">
        <v>665</v>
      </c>
      <c r="D192" s="441"/>
      <c r="E192" s="441"/>
      <c r="F192" s="249" t="s">
        <v>493</v>
      </c>
      <c r="G192" s="250">
        <v>60</v>
      </c>
      <c r="H192" s="251">
        <v>1</v>
      </c>
      <c r="I192" s="251">
        <v>60</v>
      </c>
      <c r="J192" s="253"/>
      <c r="K192" s="250"/>
      <c r="L192" s="253"/>
      <c r="M192" s="250"/>
      <c r="N192" s="254"/>
      <c r="S192" s="338"/>
      <c r="AF192" s="246"/>
      <c r="AG192" s="255" t="s">
        <v>665</v>
      </c>
      <c r="AM192" s="255"/>
    </row>
    <row r="193" spans="1:43" s="210" customFormat="1" ht="21.6" x14ac:dyDescent="0.3">
      <c r="A193" s="283"/>
      <c r="B193" s="260" t="s">
        <v>666</v>
      </c>
      <c r="C193" s="443" t="s">
        <v>667</v>
      </c>
      <c r="D193" s="443"/>
      <c r="E193" s="443"/>
      <c r="F193" s="443"/>
      <c r="G193" s="443"/>
      <c r="H193" s="443"/>
      <c r="I193" s="443"/>
      <c r="J193" s="443"/>
      <c r="K193" s="443"/>
      <c r="L193" s="443"/>
      <c r="M193" s="443"/>
      <c r="N193" s="444"/>
      <c r="S193" s="338"/>
      <c r="AF193" s="246"/>
      <c r="AG193" s="255"/>
      <c r="AI193" s="258" t="s">
        <v>667</v>
      </c>
      <c r="AM193" s="255"/>
    </row>
    <row r="194" spans="1:43" s="210" customFormat="1" ht="52.2" x14ac:dyDescent="0.3">
      <c r="A194" s="283"/>
      <c r="B194" s="260" t="s">
        <v>704</v>
      </c>
      <c r="C194" s="443" t="s">
        <v>705</v>
      </c>
      <c r="D194" s="443"/>
      <c r="E194" s="443"/>
      <c r="F194" s="443"/>
      <c r="G194" s="443"/>
      <c r="H194" s="443"/>
      <c r="I194" s="443"/>
      <c r="J194" s="443"/>
      <c r="K194" s="443"/>
      <c r="L194" s="443"/>
      <c r="M194" s="443"/>
      <c r="N194" s="444"/>
      <c r="S194" s="338"/>
      <c r="AF194" s="246"/>
      <c r="AG194" s="255"/>
      <c r="AI194" s="258" t="s">
        <v>705</v>
      </c>
      <c r="AM194" s="255"/>
    </row>
    <row r="195" spans="1:43" s="210" customFormat="1" ht="14.4" x14ac:dyDescent="0.3">
      <c r="A195" s="259"/>
      <c r="B195" s="260" t="s">
        <v>301</v>
      </c>
      <c r="C195" s="435" t="s">
        <v>566</v>
      </c>
      <c r="D195" s="435"/>
      <c r="E195" s="435"/>
      <c r="F195" s="261"/>
      <c r="G195" s="262"/>
      <c r="H195" s="262"/>
      <c r="I195" s="262"/>
      <c r="J195" s="263">
        <v>9.06</v>
      </c>
      <c r="K195" s="271">
        <v>1.4375</v>
      </c>
      <c r="L195" s="263">
        <v>781.43</v>
      </c>
      <c r="M195" s="264">
        <v>41.8</v>
      </c>
      <c r="N195" s="265">
        <v>32663.77</v>
      </c>
      <c r="S195" s="338"/>
      <c r="AF195" s="246"/>
      <c r="AG195" s="255"/>
      <c r="AJ195" s="258" t="s">
        <v>566</v>
      </c>
      <c r="AM195" s="255"/>
    </row>
    <row r="196" spans="1:43" s="210" customFormat="1" ht="14.4" x14ac:dyDescent="0.3">
      <c r="A196" s="259"/>
      <c r="B196" s="260" t="s">
        <v>304</v>
      </c>
      <c r="C196" s="435" t="s">
        <v>567</v>
      </c>
      <c r="D196" s="435"/>
      <c r="E196" s="435"/>
      <c r="F196" s="261"/>
      <c r="G196" s="262"/>
      <c r="H196" s="262"/>
      <c r="I196" s="262"/>
      <c r="J196" s="263">
        <v>3</v>
      </c>
      <c r="K196" s="271">
        <v>1.4375</v>
      </c>
      <c r="L196" s="263">
        <v>258.75</v>
      </c>
      <c r="M196" s="267">
        <v>13.59</v>
      </c>
      <c r="N196" s="265">
        <v>3516.41</v>
      </c>
      <c r="S196" s="338"/>
      <c r="AF196" s="246"/>
      <c r="AG196" s="255"/>
      <c r="AJ196" s="258" t="s">
        <v>567</v>
      </c>
      <c r="AM196" s="255"/>
    </row>
    <row r="197" spans="1:43" s="210" customFormat="1" ht="14.4" x14ac:dyDescent="0.3">
      <c r="A197" s="259"/>
      <c r="B197" s="260" t="s">
        <v>592</v>
      </c>
      <c r="C197" s="435" t="s">
        <v>593</v>
      </c>
      <c r="D197" s="435"/>
      <c r="E197" s="435"/>
      <c r="F197" s="261"/>
      <c r="G197" s="262"/>
      <c r="H197" s="262"/>
      <c r="I197" s="262"/>
      <c r="J197" s="263">
        <v>2.59</v>
      </c>
      <c r="K197" s="262"/>
      <c r="L197" s="263">
        <v>155.4</v>
      </c>
      <c r="M197" s="267">
        <v>8.92</v>
      </c>
      <c r="N197" s="265">
        <v>1386.17</v>
      </c>
      <c r="S197" s="338"/>
      <c r="AF197" s="246"/>
      <c r="AG197" s="255"/>
      <c r="AJ197" s="258" t="s">
        <v>593</v>
      </c>
      <c r="AM197" s="255"/>
    </row>
    <row r="198" spans="1:43" s="210" customFormat="1" ht="14.4" x14ac:dyDescent="0.3">
      <c r="A198" s="268"/>
      <c r="B198" s="260"/>
      <c r="C198" s="435" t="s">
        <v>570</v>
      </c>
      <c r="D198" s="435"/>
      <c r="E198" s="435"/>
      <c r="F198" s="261" t="s">
        <v>571</v>
      </c>
      <c r="G198" s="267">
        <v>0.84</v>
      </c>
      <c r="H198" s="271">
        <v>1.4375</v>
      </c>
      <c r="I198" s="267">
        <v>72.45</v>
      </c>
      <c r="J198" s="269"/>
      <c r="K198" s="262"/>
      <c r="L198" s="269"/>
      <c r="M198" s="262"/>
      <c r="N198" s="270"/>
      <c r="S198" s="338"/>
      <c r="AF198" s="246"/>
      <c r="AG198" s="255"/>
      <c r="AK198" s="258" t="s">
        <v>570</v>
      </c>
      <c r="AM198" s="255"/>
    </row>
    <row r="199" spans="1:43" s="210" customFormat="1" ht="14.4" x14ac:dyDescent="0.3">
      <c r="A199" s="259"/>
      <c r="B199" s="260"/>
      <c r="C199" s="436" t="s">
        <v>573</v>
      </c>
      <c r="D199" s="436"/>
      <c r="E199" s="436"/>
      <c r="F199" s="272"/>
      <c r="G199" s="273"/>
      <c r="H199" s="273"/>
      <c r="I199" s="273"/>
      <c r="J199" s="275">
        <v>14.65</v>
      </c>
      <c r="K199" s="273"/>
      <c r="L199" s="274">
        <v>1195.58</v>
      </c>
      <c r="M199" s="273"/>
      <c r="N199" s="276">
        <v>37566.35</v>
      </c>
      <c r="S199" s="338"/>
      <c r="AF199" s="246"/>
      <c r="AG199" s="255"/>
      <c r="AL199" s="258" t="s">
        <v>573</v>
      </c>
      <c r="AM199" s="255"/>
    </row>
    <row r="200" spans="1:43" s="210" customFormat="1" ht="14.4" x14ac:dyDescent="0.3">
      <c r="A200" s="268"/>
      <c r="B200" s="260"/>
      <c r="C200" s="435" t="s">
        <v>574</v>
      </c>
      <c r="D200" s="435"/>
      <c r="E200" s="435"/>
      <c r="F200" s="261"/>
      <c r="G200" s="262"/>
      <c r="H200" s="262"/>
      <c r="I200" s="262"/>
      <c r="J200" s="269"/>
      <c r="K200" s="262"/>
      <c r="L200" s="263">
        <v>781.43</v>
      </c>
      <c r="M200" s="262"/>
      <c r="N200" s="265">
        <v>32663.77</v>
      </c>
      <c r="S200" s="338"/>
      <c r="AF200" s="246"/>
      <c r="AG200" s="255"/>
      <c r="AK200" s="258" t="s">
        <v>574</v>
      </c>
      <c r="AM200" s="255"/>
    </row>
    <row r="201" spans="1:43" s="210" customFormat="1" ht="14.4" x14ac:dyDescent="0.3">
      <c r="A201" s="268"/>
      <c r="B201" s="260" t="s">
        <v>659</v>
      </c>
      <c r="C201" s="435" t="s">
        <v>660</v>
      </c>
      <c r="D201" s="435"/>
      <c r="E201" s="435"/>
      <c r="F201" s="261" t="s">
        <v>577</v>
      </c>
      <c r="G201" s="277">
        <v>89</v>
      </c>
      <c r="H201" s="262"/>
      <c r="I201" s="277">
        <v>89</v>
      </c>
      <c r="J201" s="269"/>
      <c r="K201" s="262"/>
      <c r="L201" s="263">
        <v>695.47</v>
      </c>
      <c r="M201" s="262"/>
      <c r="N201" s="265">
        <v>29070.76</v>
      </c>
      <c r="S201" s="338"/>
      <c r="AF201" s="246"/>
      <c r="AG201" s="255"/>
      <c r="AK201" s="258" t="s">
        <v>660</v>
      </c>
      <c r="AM201" s="255"/>
    </row>
    <row r="202" spans="1:43" s="210" customFormat="1" ht="14.4" x14ac:dyDescent="0.3">
      <c r="A202" s="268"/>
      <c r="B202" s="260" t="s">
        <v>661</v>
      </c>
      <c r="C202" s="435" t="s">
        <v>662</v>
      </c>
      <c r="D202" s="435"/>
      <c r="E202" s="435"/>
      <c r="F202" s="261" t="s">
        <v>577</v>
      </c>
      <c r="G202" s="277">
        <v>45</v>
      </c>
      <c r="H202" s="262"/>
      <c r="I202" s="277">
        <v>45</v>
      </c>
      <c r="J202" s="269"/>
      <c r="K202" s="262"/>
      <c r="L202" s="263">
        <v>351.64</v>
      </c>
      <c r="M202" s="262"/>
      <c r="N202" s="265">
        <v>14698.7</v>
      </c>
      <c r="S202" s="338"/>
      <c r="AF202" s="246"/>
      <c r="AG202" s="255"/>
      <c r="AK202" s="258" t="s">
        <v>662</v>
      </c>
      <c r="AM202" s="255"/>
    </row>
    <row r="203" spans="1:43" s="210" customFormat="1" ht="14.4" x14ac:dyDescent="0.3">
      <c r="A203" s="278"/>
      <c r="B203" s="311"/>
      <c r="C203" s="441" t="s">
        <v>580</v>
      </c>
      <c r="D203" s="441"/>
      <c r="E203" s="441"/>
      <c r="F203" s="249"/>
      <c r="G203" s="250"/>
      <c r="H203" s="250"/>
      <c r="I203" s="250"/>
      <c r="J203" s="253"/>
      <c r="K203" s="250"/>
      <c r="L203" s="279">
        <v>2242.69</v>
      </c>
      <c r="M203" s="273"/>
      <c r="N203" s="280">
        <v>81335.81</v>
      </c>
      <c r="S203" s="338"/>
      <c r="AF203" s="246"/>
      <c r="AG203" s="255"/>
      <c r="AM203" s="255" t="s">
        <v>580</v>
      </c>
    </row>
    <row r="204" spans="1:43" s="210" customFormat="1" ht="0" hidden="1" customHeight="1" x14ac:dyDescent="0.3">
      <c r="A204" s="291"/>
      <c r="B204" s="292"/>
      <c r="C204" s="292"/>
      <c r="D204" s="292"/>
      <c r="E204" s="292"/>
      <c r="F204" s="293"/>
      <c r="G204" s="293"/>
      <c r="H204" s="293"/>
      <c r="I204" s="293"/>
      <c r="J204" s="294"/>
      <c r="K204" s="293"/>
      <c r="L204" s="294"/>
      <c r="M204" s="262"/>
      <c r="N204" s="294"/>
      <c r="S204" s="338"/>
      <c r="AF204" s="246"/>
      <c r="AG204" s="255"/>
      <c r="AM204" s="255"/>
    </row>
    <row r="205" spans="1:43" s="210" customFormat="1" ht="11.25" hidden="1" customHeight="1" x14ac:dyDescent="0.3">
      <c r="B205" s="295"/>
      <c r="C205" s="295"/>
      <c r="D205" s="295"/>
      <c r="E205" s="295"/>
      <c r="F205" s="295"/>
      <c r="G205" s="295"/>
      <c r="H205" s="295"/>
      <c r="I205" s="295"/>
      <c r="J205" s="295"/>
      <c r="K205" s="295"/>
      <c r="L205" s="296"/>
      <c r="M205" s="296"/>
      <c r="N205" s="296"/>
      <c r="R205" s="297"/>
      <c r="S205" s="338"/>
    </row>
    <row r="206" spans="1:43" s="210" customFormat="1" ht="14.4" x14ac:dyDescent="0.3">
      <c r="A206" s="298"/>
      <c r="B206" s="299"/>
      <c r="C206" s="441" t="s">
        <v>668</v>
      </c>
      <c r="D206" s="441"/>
      <c r="E206" s="441"/>
      <c r="F206" s="441"/>
      <c r="G206" s="441"/>
      <c r="H206" s="441"/>
      <c r="I206" s="441"/>
      <c r="J206" s="441"/>
      <c r="K206" s="441"/>
      <c r="L206" s="300"/>
      <c r="M206" s="301"/>
      <c r="N206" s="302"/>
      <c r="S206" s="338"/>
      <c r="AP206" s="255" t="s">
        <v>668</v>
      </c>
    </row>
    <row r="207" spans="1:43" s="210" customFormat="1" ht="14.4" outlineLevel="1" x14ac:dyDescent="0.3">
      <c r="A207" s="303"/>
      <c r="B207" s="260"/>
      <c r="C207" s="435" t="s">
        <v>669</v>
      </c>
      <c r="D207" s="435"/>
      <c r="E207" s="435"/>
      <c r="F207" s="435"/>
      <c r="G207" s="435"/>
      <c r="H207" s="435"/>
      <c r="I207" s="435"/>
      <c r="J207" s="435"/>
      <c r="K207" s="435"/>
      <c r="L207" s="304">
        <v>247605.81</v>
      </c>
      <c r="M207" s="305"/>
      <c r="N207" s="306">
        <v>2494662.4700000002</v>
      </c>
      <c r="S207" s="338"/>
      <c r="AP207" s="255"/>
      <c r="AQ207" s="258" t="s">
        <v>669</v>
      </c>
    </row>
    <row r="208" spans="1:43" s="210" customFormat="1" ht="14.4" outlineLevel="1" x14ac:dyDescent="0.3">
      <c r="A208" s="303"/>
      <c r="B208" s="260"/>
      <c r="C208" s="435" t="s">
        <v>670</v>
      </c>
      <c r="D208" s="435"/>
      <c r="E208" s="435"/>
      <c r="F208" s="435"/>
      <c r="G208" s="435"/>
      <c r="H208" s="435"/>
      <c r="I208" s="435"/>
      <c r="J208" s="435"/>
      <c r="K208" s="435"/>
      <c r="L208" s="307"/>
      <c r="M208" s="305"/>
      <c r="N208" s="308"/>
      <c r="S208" s="338"/>
      <c r="AP208" s="255"/>
      <c r="AQ208" s="258" t="s">
        <v>670</v>
      </c>
    </row>
    <row r="209" spans="1:43" s="210" customFormat="1" ht="14.4" outlineLevel="1" x14ac:dyDescent="0.3">
      <c r="A209" s="303"/>
      <c r="B209" s="260"/>
      <c r="C209" s="435" t="s">
        <v>671</v>
      </c>
      <c r="D209" s="435"/>
      <c r="E209" s="435"/>
      <c r="F209" s="435"/>
      <c r="G209" s="435"/>
      <c r="H209" s="435"/>
      <c r="I209" s="435"/>
      <c r="J209" s="435"/>
      <c r="K209" s="435"/>
      <c r="L209" s="304">
        <v>6932.76</v>
      </c>
      <c r="M209" s="305"/>
      <c r="N209" s="306">
        <v>289789.34999999998</v>
      </c>
      <c r="S209" s="338"/>
      <c r="AP209" s="255"/>
      <c r="AQ209" s="258" t="s">
        <v>671</v>
      </c>
    </row>
    <row r="210" spans="1:43" s="210" customFormat="1" ht="14.4" outlineLevel="1" x14ac:dyDescent="0.3">
      <c r="A210" s="303"/>
      <c r="B210" s="260"/>
      <c r="C210" s="435" t="s">
        <v>672</v>
      </c>
      <c r="D210" s="435"/>
      <c r="E210" s="435"/>
      <c r="F210" s="435"/>
      <c r="G210" s="435"/>
      <c r="H210" s="435"/>
      <c r="I210" s="435"/>
      <c r="J210" s="435"/>
      <c r="K210" s="435"/>
      <c r="L210" s="304">
        <v>12434.59</v>
      </c>
      <c r="M210" s="305"/>
      <c r="N210" s="306">
        <v>168986.06</v>
      </c>
      <c r="S210" s="338"/>
      <c r="AP210" s="255"/>
      <c r="AQ210" s="258" t="s">
        <v>672</v>
      </c>
    </row>
    <row r="211" spans="1:43" s="210" customFormat="1" ht="14.4" outlineLevel="1" x14ac:dyDescent="0.3">
      <c r="A211" s="303"/>
      <c r="B211" s="260"/>
      <c r="C211" s="435" t="s">
        <v>673</v>
      </c>
      <c r="D211" s="435"/>
      <c r="E211" s="435"/>
      <c r="F211" s="435"/>
      <c r="G211" s="435"/>
      <c r="H211" s="435"/>
      <c r="I211" s="435"/>
      <c r="J211" s="435"/>
      <c r="K211" s="435"/>
      <c r="L211" s="304">
        <v>1204.0899999999999</v>
      </c>
      <c r="M211" s="305"/>
      <c r="N211" s="306">
        <v>50330.96</v>
      </c>
      <c r="S211" s="338"/>
      <c r="AP211" s="255"/>
      <c r="AQ211" s="258" t="s">
        <v>673</v>
      </c>
    </row>
    <row r="212" spans="1:43" s="210" customFormat="1" ht="14.4" outlineLevel="1" x14ac:dyDescent="0.3">
      <c r="A212" s="303"/>
      <c r="B212" s="260"/>
      <c r="C212" s="435" t="s">
        <v>674</v>
      </c>
      <c r="D212" s="435"/>
      <c r="E212" s="435"/>
      <c r="F212" s="435"/>
      <c r="G212" s="435"/>
      <c r="H212" s="435"/>
      <c r="I212" s="435"/>
      <c r="J212" s="435"/>
      <c r="K212" s="435"/>
      <c r="L212" s="304">
        <v>228238.46</v>
      </c>
      <c r="M212" s="305"/>
      <c r="N212" s="306">
        <v>2035887.06</v>
      </c>
      <c r="S212" s="338"/>
      <c r="AP212" s="255"/>
      <c r="AQ212" s="258" t="s">
        <v>674</v>
      </c>
    </row>
    <row r="213" spans="1:43" s="210" customFormat="1" ht="14.4" outlineLevel="1" x14ac:dyDescent="0.3">
      <c r="A213" s="303"/>
      <c r="B213" s="260"/>
      <c r="C213" s="435" t="s">
        <v>675</v>
      </c>
      <c r="D213" s="435"/>
      <c r="E213" s="435"/>
      <c r="F213" s="435"/>
      <c r="G213" s="435"/>
      <c r="H213" s="435"/>
      <c r="I213" s="435"/>
      <c r="J213" s="435"/>
      <c r="K213" s="435"/>
      <c r="L213" s="304">
        <v>258097.34</v>
      </c>
      <c r="M213" s="305"/>
      <c r="N213" s="306">
        <v>2947311.81</v>
      </c>
      <c r="S213" s="338"/>
      <c r="AP213" s="255"/>
      <c r="AQ213" s="258" t="s">
        <v>675</v>
      </c>
    </row>
    <row r="214" spans="1:43" s="210" customFormat="1" ht="14.4" outlineLevel="1" x14ac:dyDescent="0.3">
      <c r="A214" s="303"/>
      <c r="B214" s="260"/>
      <c r="C214" s="435" t="s">
        <v>670</v>
      </c>
      <c r="D214" s="435"/>
      <c r="E214" s="435"/>
      <c r="F214" s="435"/>
      <c r="G214" s="435"/>
      <c r="H214" s="435"/>
      <c r="I214" s="435"/>
      <c r="J214" s="435"/>
      <c r="K214" s="435"/>
      <c r="L214" s="307"/>
      <c r="M214" s="305"/>
      <c r="N214" s="308"/>
      <c r="S214" s="338"/>
      <c r="AP214" s="255"/>
      <c r="AQ214" s="258" t="s">
        <v>670</v>
      </c>
    </row>
    <row r="215" spans="1:43" s="210" customFormat="1" ht="14.4" outlineLevel="1" x14ac:dyDescent="0.3">
      <c r="A215" s="303"/>
      <c r="B215" s="260"/>
      <c r="C215" s="435" t="s">
        <v>676</v>
      </c>
      <c r="D215" s="435"/>
      <c r="E215" s="435"/>
      <c r="F215" s="435"/>
      <c r="G215" s="435"/>
      <c r="H215" s="435"/>
      <c r="I215" s="435"/>
      <c r="J215" s="435"/>
      <c r="K215" s="435"/>
      <c r="L215" s="304">
        <v>5656.94</v>
      </c>
      <c r="M215" s="305"/>
      <c r="N215" s="306">
        <v>236460.08</v>
      </c>
      <c r="S215" s="338"/>
      <c r="AP215" s="255"/>
      <c r="AQ215" s="258" t="s">
        <v>676</v>
      </c>
    </row>
    <row r="216" spans="1:43" s="210" customFormat="1" ht="14.4" outlineLevel="1" x14ac:dyDescent="0.3">
      <c r="A216" s="303"/>
      <c r="B216" s="260"/>
      <c r="C216" s="435" t="s">
        <v>677</v>
      </c>
      <c r="D216" s="435"/>
      <c r="E216" s="435"/>
      <c r="F216" s="435"/>
      <c r="G216" s="435"/>
      <c r="H216" s="435"/>
      <c r="I216" s="435"/>
      <c r="J216" s="435"/>
      <c r="K216" s="435"/>
      <c r="L216" s="304">
        <v>12156.27</v>
      </c>
      <c r="M216" s="305"/>
      <c r="N216" s="306">
        <v>165203.69</v>
      </c>
      <c r="S216" s="338"/>
      <c r="AP216" s="255"/>
      <c r="AQ216" s="258" t="s">
        <v>677</v>
      </c>
    </row>
    <row r="217" spans="1:43" s="210" customFormat="1" ht="14.4" outlineLevel="1" x14ac:dyDescent="0.3">
      <c r="A217" s="303"/>
      <c r="B217" s="260"/>
      <c r="C217" s="435" t="s">
        <v>678</v>
      </c>
      <c r="D217" s="435"/>
      <c r="E217" s="435"/>
      <c r="F217" s="435"/>
      <c r="G217" s="435"/>
      <c r="H217" s="435"/>
      <c r="I217" s="435"/>
      <c r="J217" s="435"/>
      <c r="K217" s="435"/>
      <c r="L217" s="304">
        <v>1204.0899999999999</v>
      </c>
      <c r="M217" s="305"/>
      <c r="N217" s="306">
        <v>50330.96</v>
      </c>
      <c r="S217" s="338"/>
      <c r="AP217" s="255"/>
      <c r="AQ217" s="258" t="s">
        <v>678</v>
      </c>
    </row>
    <row r="218" spans="1:43" s="210" customFormat="1" ht="14.4" outlineLevel="1" x14ac:dyDescent="0.3">
      <c r="A218" s="303"/>
      <c r="B218" s="260"/>
      <c r="C218" s="435" t="s">
        <v>679</v>
      </c>
      <c r="D218" s="435"/>
      <c r="E218" s="435"/>
      <c r="F218" s="435"/>
      <c r="G218" s="435"/>
      <c r="H218" s="435"/>
      <c r="I218" s="435"/>
      <c r="J218" s="435"/>
      <c r="K218" s="435"/>
      <c r="L218" s="304">
        <v>228048.3</v>
      </c>
      <c r="M218" s="305"/>
      <c r="N218" s="306">
        <v>2034190.83</v>
      </c>
      <c r="S218" s="338"/>
      <c r="AP218" s="255"/>
      <c r="AQ218" s="258" t="s">
        <v>679</v>
      </c>
    </row>
    <row r="219" spans="1:43" s="210" customFormat="1" ht="14.4" outlineLevel="1" x14ac:dyDescent="0.3">
      <c r="A219" s="303"/>
      <c r="B219" s="260"/>
      <c r="C219" s="435" t="s">
        <v>680</v>
      </c>
      <c r="D219" s="435"/>
      <c r="E219" s="435"/>
      <c r="F219" s="435"/>
      <c r="G219" s="435"/>
      <c r="H219" s="435"/>
      <c r="I219" s="435"/>
      <c r="J219" s="435"/>
      <c r="K219" s="435"/>
      <c r="L219" s="304">
        <v>7970.24</v>
      </c>
      <c r="M219" s="305"/>
      <c r="N219" s="306">
        <v>333155.90999999997</v>
      </c>
      <c r="S219" s="338"/>
      <c r="AP219" s="255"/>
      <c r="AQ219" s="258" t="s">
        <v>680</v>
      </c>
    </row>
    <row r="220" spans="1:43" s="210" customFormat="1" ht="14.4" outlineLevel="1" x14ac:dyDescent="0.3">
      <c r="A220" s="303"/>
      <c r="B220" s="260"/>
      <c r="C220" s="435" t="s">
        <v>681</v>
      </c>
      <c r="D220" s="435"/>
      <c r="E220" s="435"/>
      <c r="F220" s="435"/>
      <c r="G220" s="435"/>
      <c r="H220" s="435"/>
      <c r="I220" s="435"/>
      <c r="J220" s="435"/>
      <c r="K220" s="435"/>
      <c r="L220" s="304">
        <v>4265.59</v>
      </c>
      <c r="M220" s="305"/>
      <c r="N220" s="306">
        <v>178301.3</v>
      </c>
      <c r="S220" s="338"/>
      <c r="AP220" s="255"/>
      <c r="AQ220" s="258" t="s">
        <v>681</v>
      </c>
    </row>
    <row r="221" spans="1:43" s="210" customFormat="1" ht="14.4" outlineLevel="1" x14ac:dyDescent="0.3">
      <c r="A221" s="303"/>
      <c r="B221" s="260"/>
      <c r="C221" s="435" t="s">
        <v>682</v>
      </c>
      <c r="D221" s="435"/>
      <c r="E221" s="435"/>
      <c r="F221" s="435"/>
      <c r="G221" s="435"/>
      <c r="H221" s="435"/>
      <c r="I221" s="435"/>
      <c r="J221" s="435"/>
      <c r="K221" s="435"/>
      <c r="L221" s="304">
        <v>3461.34</v>
      </c>
      <c r="M221" s="305"/>
      <c r="N221" s="306">
        <v>130580.31</v>
      </c>
      <c r="S221" s="338"/>
      <c r="AP221" s="255"/>
      <c r="AQ221" s="258" t="s">
        <v>682</v>
      </c>
    </row>
    <row r="222" spans="1:43" s="210" customFormat="1" ht="14.4" outlineLevel="1" x14ac:dyDescent="0.3">
      <c r="A222" s="303"/>
      <c r="B222" s="260"/>
      <c r="C222" s="435" t="s">
        <v>670</v>
      </c>
      <c r="D222" s="435"/>
      <c r="E222" s="435"/>
      <c r="F222" s="435"/>
      <c r="G222" s="435"/>
      <c r="H222" s="435"/>
      <c r="I222" s="435"/>
      <c r="J222" s="435"/>
      <c r="K222" s="435"/>
      <c r="L222" s="307"/>
      <c r="M222" s="305"/>
      <c r="N222" s="308"/>
      <c r="S222" s="338"/>
      <c r="AP222" s="255"/>
      <c r="AQ222" s="258" t="s">
        <v>670</v>
      </c>
    </row>
    <row r="223" spans="1:43" s="210" customFormat="1" ht="14.4" outlineLevel="1" x14ac:dyDescent="0.3">
      <c r="A223" s="303"/>
      <c r="B223" s="260"/>
      <c r="C223" s="435" t="s">
        <v>676</v>
      </c>
      <c r="D223" s="435"/>
      <c r="E223" s="435"/>
      <c r="F223" s="435"/>
      <c r="G223" s="435"/>
      <c r="H223" s="435"/>
      <c r="I223" s="435"/>
      <c r="J223" s="435"/>
      <c r="K223" s="435"/>
      <c r="L223" s="304">
        <v>1275.82</v>
      </c>
      <c r="M223" s="305"/>
      <c r="N223" s="306">
        <v>53329.27</v>
      </c>
      <c r="S223" s="338"/>
      <c r="AP223" s="255"/>
      <c r="AQ223" s="258" t="s">
        <v>676</v>
      </c>
    </row>
    <row r="224" spans="1:43" s="210" customFormat="1" ht="14.4" outlineLevel="1" x14ac:dyDescent="0.3">
      <c r="A224" s="303"/>
      <c r="B224" s="260"/>
      <c r="C224" s="435" t="s">
        <v>677</v>
      </c>
      <c r="D224" s="435"/>
      <c r="E224" s="435"/>
      <c r="F224" s="435"/>
      <c r="G224" s="435"/>
      <c r="H224" s="435"/>
      <c r="I224" s="435"/>
      <c r="J224" s="435"/>
      <c r="K224" s="435"/>
      <c r="L224" s="309">
        <v>278.32</v>
      </c>
      <c r="M224" s="305"/>
      <c r="N224" s="306">
        <v>3782.37</v>
      </c>
      <c r="S224" s="338"/>
      <c r="AP224" s="255"/>
      <c r="AQ224" s="258" t="s">
        <v>677</v>
      </c>
    </row>
    <row r="225" spans="1:50" s="210" customFormat="1" ht="14.4" outlineLevel="1" x14ac:dyDescent="0.3">
      <c r="A225" s="303"/>
      <c r="B225" s="260"/>
      <c r="C225" s="435" t="s">
        <v>679</v>
      </c>
      <c r="D225" s="435"/>
      <c r="E225" s="435"/>
      <c r="F225" s="435"/>
      <c r="G225" s="435"/>
      <c r="H225" s="435"/>
      <c r="I225" s="435"/>
      <c r="J225" s="435"/>
      <c r="K225" s="435"/>
      <c r="L225" s="309">
        <v>190.16</v>
      </c>
      <c r="M225" s="305"/>
      <c r="N225" s="306">
        <v>1696.23</v>
      </c>
      <c r="S225" s="338"/>
      <c r="AP225" s="255"/>
      <c r="AQ225" s="258" t="s">
        <v>679</v>
      </c>
    </row>
    <row r="226" spans="1:50" s="210" customFormat="1" ht="14.4" outlineLevel="1" x14ac:dyDescent="0.3">
      <c r="A226" s="303"/>
      <c r="B226" s="260"/>
      <c r="C226" s="435" t="s">
        <v>680</v>
      </c>
      <c r="D226" s="435"/>
      <c r="E226" s="435"/>
      <c r="F226" s="435"/>
      <c r="G226" s="435"/>
      <c r="H226" s="435"/>
      <c r="I226" s="435"/>
      <c r="J226" s="435"/>
      <c r="K226" s="435"/>
      <c r="L226" s="304">
        <v>1139.2</v>
      </c>
      <c r="M226" s="305"/>
      <c r="N226" s="306">
        <v>47618.66</v>
      </c>
      <c r="S226" s="338"/>
      <c r="AP226" s="255"/>
      <c r="AQ226" s="258" t="s">
        <v>680</v>
      </c>
    </row>
    <row r="227" spans="1:50" s="210" customFormat="1" ht="14.4" outlineLevel="1" x14ac:dyDescent="0.3">
      <c r="A227" s="303"/>
      <c r="B227" s="260"/>
      <c r="C227" s="435" t="s">
        <v>681</v>
      </c>
      <c r="D227" s="435"/>
      <c r="E227" s="435"/>
      <c r="F227" s="435"/>
      <c r="G227" s="435"/>
      <c r="H227" s="435"/>
      <c r="I227" s="435"/>
      <c r="J227" s="435"/>
      <c r="K227" s="435"/>
      <c r="L227" s="309">
        <v>577.84</v>
      </c>
      <c r="M227" s="305"/>
      <c r="N227" s="306">
        <v>24153.78</v>
      </c>
      <c r="S227" s="338"/>
      <c r="AP227" s="255"/>
      <c r="AQ227" s="258" t="s">
        <v>681</v>
      </c>
    </row>
    <row r="228" spans="1:50" s="210" customFormat="1" ht="14.4" outlineLevel="1" x14ac:dyDescent="0.3">
      <c r="A228" s="303"/>
      <c r="B228" s="310"/>
      <c r="C228" s="449" t="s">
        <v>683</v>
      </c>
      <c r="D228" s="449"/>
      <c r="E228" s="449"/>
      <c r="F228" s="449"/>
      <c r="G228" s="449"/>
      <c r="H228" s="449"/>
      <c r="I228" s="449"/>
      <c r="J228" s="449"/>
      <c r="K228" s="449"/>
      <c r="L228" s="312">
        <v>261558.68</v>
      </c>
      <c r="M228" s="313"/>
      <c r="N228" s="314">
        <v>3077892.12</v>
      </c>
      <c r="S228" s="338"/>
      <c r="AP228" s="255"/>
      <c r="AR228" s="255" t="s">
        <v>683</v>
      </c>
    </row>
    <row r="229" spans="1:50" s="210" customFormat="1" ht="14.4" outlineLevel="1" x14ac:dyDescent="0.3">
      <c r="A229" s="303"/>
      <c r="B229" s="260"/>
      <c r="C229" s="435" t="s">
        <v>684</v>
      </c>
      <c r="D229" s="435"/>
      <c r="E229" s="435"/>
      <c r="F229" s="435"/>
      <c r="G229" s="435"/>
      <c r="H229" s="435"/>
      <c r="I229" s="435"/>
      <c r="J229" s="435"/>
      <c r="K229" s="435"/>
      <c r="L229" s="304">
        <v>8136.85</v>
      </c>
      <c r="M229" s="305"/>
      <c r="N229" s="306">
        <v>340120.31</v>
      </c>
      <c r="S229" s="338"/>
      <c r="AP229" s="255"/>
      <c r="AQ229" s="258" t="s">
        <v>684</v>
      </c>
      <c r="AR229" s="255"/>
    </row>
    <row r="230" spans="1:50" s="210" customFormat="1" ht="14.4" outlineLevel="1" x14ac:dyDescent="0.3">
      <c r="A230" s="303"/>
      <c r="B230" s="260"/>
      <c r="C230" s="435" t="s">
        <v>685</v>
      </c>
      <c r="D230" s="435"/>
      <c r="E230" s="435"/>
      <c r="F230" s="435"/>
      <c r="G230" s="435"/>
      <c r="H230" s="435"/>
      <c r="I230" s="435"/>
      <c r="J230" s="435"/>
      <c r="K230" s="435"/>
      <c r="L230" s="304">
        <v>9109.44</v>
      </c>
      <c r="M230" s="305"/>
      <c r="N230" s="306">
        <v>380774.57</v>
      </c>
      <c r="S230" s="338"/>
      <c r="AP230" s="255"/>
      <c r="AQ230" s="258" t="s">
        <v>685</v>
      </c>
      <c r="AR230" s="255"/>
    </row>
    <row r="231" spans="1:50" s="210" customFormat="1" ht="14.4" outlineLevel="1" x14ac:dyDescent="0.3">
      <c r="A231" s="303"/>
      <c r="B231" s="260"/>
      <c r="C231" s="435" t="s">
        <v>686</v>
      </c>
      <c r="D231" s="435"/>
      <c r="E231" s="435"/>
      <c r="F231" s="435"/>
      <c r="G231" s="435"/>
      <c r="H231" s="435"/>
      <c r="I231" s="435"/>
      <c r="J231" s="435"/>
      <c r="K231" s="435"/>
      <c r="L231" s="304">
        <v>4843.43</v>
      </c>
      <c r="M231" s="305"/>
      <c r="N231" s="306">
        <v>202455.08</v>
      </c>
      <c r="S231" s="338"/>
      <c r="AP231" s="255"/>
      <c r="AQ231" s="258" t="s">
        <v>686</v>
      </c>
      <c r="AR231" s="255"/>
    </row>
    <row r="232" spans="1:50" s="210" customFormat="1" ht="14.4" x14ac:dyDescent="0.3">
      <c r="A232" s="303"/>
      <c r="B232" s="260"/>
      <c r="C232" s="435" t="s">
        <v>687</v>
      </c>
      <c r="D232" s="435"/>
      <c r="E232" s="435"/>
      <c r="F232" s="435"/>
      <c r="G232" s="435"/>
      <c r="H232" s="435"/>
      <c r="I232" s="435"/>
      <c r="J232" s="435"/>
      <c r="K232" s="435"/>
      <c r="L232" s="304">
        <v>52311.74</v>
      </c>
      <c r="M232" s="305"/>
      <c r="N232" s="306">
        <v>615578.42000000004</v>
      </c>
      <c r="S232" s="338"/>
      <c r="AP232" s="255"/>
      <c r="AR232" s="255"/>
      <c r="AS232" s="258" t="s">
        <v>687</v>
      </c>
    </row>
    <row r="233" spans="1:50" s="210" customFormat="1" ht="14.4" x14ac:dyDescent="0.3">
      <c r="A233" s="303"/>
      <c r="B233" s="310"/>
      <c r="C233" s="449" t="s">
        <v>688</v>
      </c>
      <c r="D233" s="449"/>
      <c r="E233" s="449"/>
      <c r="F233" s="449"/>
      <c r="G233" s="449"/>
      <c r="H233" s="449"/>
      <c r="I233" s="449"/>
      <c r="J233" s="449"/>
      <c r="K233" s="449"/>
      <c r="L233" s="312">
        <v>313870.42</v>
      </c>
      <c r="M233" s="313"/>
      <c r="N233" s="314">
        <v>3693470.54</v>
      </c>
      <c r="R233" s="210" t="s">
        <v>697</v>
      </c>
      <c r="S233" s="338"/>
      <c r="AP233" s="255"/>
      <c r="AR233" s="255"/>
      <c r="AT233" s="255" t="s">
        <v>688</v>
      </c>
    </row>
    <row r="234" spans="1:50" s="210" customFormat="1" ht="13.5" hidden="1" customHeight="1" x14ac:dyDescent="0.3">
      <c r="B234" s="294"/>
      <c r="C234" s="292"/>
      <c r="D234" s="292"/>
      <c r="E234" s="292"/>
      <c r="F234" s="292"/>
      <c r="G234" s="292"/>
      <c r="H234" s="292"/>
      <c r="I234" s="292"/>
      <c r="J234" s="292"/>
      <c r="K234" s="292"/>
      <c r="L234" s="312"/>
      <c r="M234" s="315"/>
      <c r="N234" s="316"/>
      <c r="S234" s="338"/>
    </row>
    <row r="235" spans="1:50" s="210" customFormat="1" ht="26.25" customHeight="1" x14ac:dyDescent="0.3">
      <c r="A235" s="317"/>
      <c r="B235" s="318"/>
      <c r="C235" s="318"/>
      <c r="D235" s="318"/>
      <c r="E235" s="318"/>
      <c r="F235" s="318"/>
      <c r="G235" s="318"/>
      <c r="H235" s="318"/>
      <c r="I235" s="318"/>
      <c r="J235" s="318"/>
      <c r="K235" s="318"/>
      <c r="L235" s="318"/>
      <c r="M235" s="318"/>
      <c r="N235" s="318"/>
      <c r="S235" s="338"/>
    </row>
    <row r="236" spans="1:50" s="214" customFormat="1" ht="14.4" x14ac:dyDescent="0.3">
      <c r="A236" s="212"/>
      <c r="B236" s="319" t="s">
        <v>689</v>
      </c>
      <c r="C236" s="446"/>
      <c r="D236" s="446"/>
      <c r="E236" s="446"/>
      <c r="F236" s="446"/>
      <c r="G236" s="446"/>
      <c r="H236" s="447"/>
      <c r="I236" s="447"/>
      <c r="J236" s="447"/>
      <c r="K236" s="447"/>
      <c r="L236" s="447"/>
      <c r="M236" s="210"/>
      <c r="N236" s="210"/>
      <c r="O236" s="210"/>
      <c r="P236" s="210"/>
      <c r="Q236" s="210"/>
      <c r="R236" s="210"/>
      <c r="S236" s="338"/>
      <c r="T236" s="210"/>
      <c r="U236" s="210"/>
      <c r="V236" s="217"/>
      <c r="W236" s="217"/>
      <c r="X236" s="217"/>
      <c r="Y236" s="217"/>
      <c r="Z236" s="217"/>
      <c r="AA236" s="217"/>
      <c r="AB236" s="217"/>
      <c r="AC236" s="217"/>
      <c r="AD236" s="217"/>
      <c r="AE236" s="217"/>
      <c r="AF236" s="217"/>
      <c r="AG236" s="217"/>
      <c r="AH236" s="217"/>
      <c r="AI236" s="217"/>
      <c r="AJ236" s="217"/>
      <c r="AK236" s="217"/>
      <c r="AL236" s="217"/>
      <c r="AM236" s="217"/>
      <c r="AN236" s="217"/>
      <c r="AO236" s="217"/>
      <c r="AP236" s="217"/>
      <c r="AQ236" s="217"/>
      <c r="AR236" s="217"/>
      <c r="AS236" s="217"/>
      <c r="AT236" s="217"/>
      <c r="AU236" s="217" t="s">
        <v>521</v>
      </c>
      <c r="AV236" s="217" t="s">
        <v>690</v>
      </c>
      <c r="AW236" s="217"/>
      <c r="AX236" s="217"/>
    </row>
    <row r="237" spans="1:50" s="320" customFormat="1" ht="16.5" customHeight="1" x14ac:dyDescent="0.3">
      <c r="A237" s="215"/>
      <c r="B237" s="319"/>
      <c r="C237" s="448" t="s">
        <v>691</v>
      </c>
      <c r="D237" s="448"/>
      <c r="E237" s="448"/>
      <c r="F237" s="448"/>
      <c r="G237" s="448"/>
      <c r="H237" s="448"/>
      <c r="I237" s="448"/>
      <c r="J237" s="448"/>
      <c r="K237" s="448"/>
      <c r="L237" s="448"/>
      <c r="S237" s="342"/>
      <c r="V237" s="321"/>
      <c r="W237" s="321"/>
      <c r="X237" s="321"/>
      <c r="Y237" s="321"/>
      <c r="Z237" s="321"/>
      <c r="AA237" s="321"/>
      <c r="AB237" s="321"/>
      <c r="AC237" s="321"/>
      <c r="AD237" s="321"/>
      <c r="AE237" s="321"/>
      <c r="AF237" s="321"/>
      <c r="AG237" s="321"/>
      <c r="AH237" s="321"/>
      <c r="AI237" s="321"/>
      <c r="AJ237" s="321"/>
      <c r="AK237" s="321"/>
      <c r="AL237" s="321"/>
      <c r="AM237" s="321"/>
      <c r="AN237" s="321"/>
      <c r="AO237" s="321"/>
      <c r="AP237" s="321"/>
      <c r="AQ237" s="321"/>
      <c r="AR237" s="321"/>
      <c r="AS237" s="321"/>
      <c r="AT237" s="321"/>
      <c r="AU237" s="321"/>
      <c r="AV237" s="321"/>
      <c r="AW237" s="321"/>
      <c r="AX237" s="321"/>
    </row>
    <row r="238" spans="1:50" s="214" customFormat="1" ht="14.4" x14ac:dyDescent="0.3">
      <c r="A238" s="212"/>
      <c r="B238" s="319" t="s">
        <v>692</v>
      </c>
      <c r="C238" s="446"/>
      <c r="D238" s="446"/>
      <c r="E238" s="446"/>
      <c r="F238" s="446"/>
      <c r="G238" s="446"/>
      <c r="H238" s="447"/>
      <c r="I238" s="447"/>
      <c r="J238" s="447"/>
      <c r="K238" s="447"/>
      <c r="L238" s="447"/>
      <c r="M238" s="210"/>
      <c r="N238" s="210"/>
      <c r="O238" s="210"/>
      <c r="P238" s="210"/>
      <c r="Q238" s="210"/>
      <c r="R238" s="210"/>
      <c r="S238" s="338"/>
      <c r="T238" s="210"/>
      <c r="U238" s="210"/>
      <c r="V238" s="217"/>
      <c r="W238" s="217"/>
      <c r="X238" s="217"/>
      <c r="Y238" s="217"/>
      <c r="Z238" s="217"/>
      <c r="AA238" s="217"/>
      <c r="AB238" s="217"/>
      <c r="AC238" s="217"/>
      <c r="AD238" s="217"/>
      <c r="AE238" s="217"/>
      <c r="AF238" s="217"/>
      <c r="AG238" s="217"/>
      <c r="AH238" s="217"/>
      <c r="AI238" s="217"/>
      <c r="AJ238" s="217"/>
      <c r="AK238" s="217"/>
      <c r="AL238" s="217"/>
      <c r="AM238" s="217"/>
      <c r="AN238" s="217"/>
      <c r="AO238" s="217"/>
      <c r="AP238" s="217"/>
      <c r="AQ238" s="217"/>
      <c r="AR238" s="217"/>
      <c r="AS238" s="217"/>
      <c r="AT238" s="217"/>
      <c r="AU238" s="217"/>
      <c r="AV238" s="217"/>
      <c r="AW238" s="217" t="s">
        <v>521</v>
      </c>
      <c r="AX238" s="217" t="s">
        <v>521</v>
      </c>
    </row>
    <row r="239" spans="1:50" s="320" customFormat="1" ht="16.5" customHeight="1" x14ac:dyDescent="0.3">
      <c r="A239" s="215"/>
      <c r="C239" s="448" t="s">
        <v>691</v>
      </c>
      <c r="D239" s="448"/>
      <c r="E239" s="448"/>
      <c r="F239" s="448"/>
      <c r="G239" s="448"/>
      <c r="H239" s="448"/>
      <c r="I239" s="448"/>
      <c r="J239" s="448"/>
      <c r="K239" s="448"/>
      <c r="L239" s="448"/>
      <c r="S239" s="342"/>
      <c r="V239" s="321"/>
      <c r="W239" s="321"/>
      <c r="X239" s="321"/>
      <c r="Y239" s="321"/>
      <c r="Z239" s="321"/>
      <c r="AA239" s="321"/>
      <c r="AB239" s="321"/>
      <c r="AC239" s="321"/>
      <c r="AD239" s="321"/>
      <c r="AE239" s="321"/>
      <c r="AF239" s="321"/>
      <c r="AG239" s="321"/>
      <c r="AH239" s="321"/>
      <c r="AI239" s="321"/>
      <c r="AJ239" s="321"/>
      <c r="AK239" s="321"/>
      <c r="AL239" s="321"/>
      <c r="AM239" s="321"/>
      <c r="AN239" s="321"/>
      <c r="AO239" s="321"/>
      <c r="AP239" s="321"/>
      <c r="AQ239" s="321"/>
      <c r="AR239" s="321"/>
      <c r="AS239" s="321"/>
      <c r="AT239" s="321"/>
      <c r="AU239" s="321"/>
      <c r="AV239" s="321"/>
      <c r="AW239" s="321"/>
      <c r="AX239" s="321"/>
    </row>
    <row r="240" spans="1:50" s="214" customFormat="1" ht="19.5" customHeight="1" x14ac:dyDescent="0.2">
      <c r="A240" s="212"/>
      <c r="C240" s="322"/>
      <c r="D240" s="322"/>
      <c r="E240" s="322"/>
      <c r="F240" s="322"/>
      <c r="G240" s="322"/>
      <c r="H240" s="322"/>
      <c r="I240" s="322"/>
      <c r="J240" s="322"/>
      <c r="K240" s="322"/>
      <c r="L240" s="322"/>
      <c r="S240" s="342"/>
      <c r="V240" s="217"/>
      <c r="W240" s="217"/>
      <c r="X240" s="217"/>
      <c r="Y240" s="217"/>
      <c r="Z240" s="217"/>
      <c r="AA240" s="217"/>
      <c r="AB240" s="217"/>
      <c r="AC240" s="217"/>
      <c r="AD240" s="217"/>
      <c r="AE240" s="217"/>
      <c r="AF240" s="217"/>
      <c r="AG240" s="217"/>
      <c r="AH240" s="217"/>
      <c r="AI240" s="217"/>
      <c r="AJ240" s="217"/>
      <c r="AK240" s="217"/>
      <c r="AL240" s="217"/>
      <c r="AM240" s="217"/>
      <c r="AN240" s="217"/>
      <c r="AO240" s="217"/>
      <c r="AP240" s="217"/>
      <c r="AQ240" s="217"/>
      <c r="AR240" s="217"/>
      <c r="AS240" s="217"/>
      <c r="AT240" s="217"/>
      <c r="AU240" s="217"/>
      <c r="AV240" s="217"/>
      <c r="AW240" s="217"/>
      <c r="AX240" s="217"/>
    </row>
    <row r="241" spans="1:19" s="210" customFormat="1" ht="22.5" customHeight="1" x14ac:dyDescent="0.3">
      <c r="A241" s="443" t="s">
        <v>693</v>
      </c>
      <c r="B241" s="443"/>
      <c r="C241" s="443"/>
      <c r="D241" s="443"/>
      <c r="E241" s="443"/>
      <c r="F241" s="443"/>
      <c r="G241" s="443"/>
      <c r="H241" s="443"/>
      <c r="I241" s="443"/>
      <c r="J241" s="443"/>
      <c r="K241" s="443"/>
      <c r="L241" s="443"/>
      <c r="M241" s="443"/>
      <c r="N241" s="443"/>
      <c r="O241" s="295"/>
      <c r="P241" s="295"/>
      <c r="S241" s="338"/>
    </row>
    <row r="242" spans="1:19" s="210" customFormat="1" ht="12.75" customHeight="1" x14ac:dyDescent="0.3">
      <c r="A242" s="443" t="s">
        <v>694</v>
      </c>
      <c r="B242" s="443"/>
      <c r="C242" s="443"/>
      <c r="D242" s="443"/>
      <c r="E242" s="443"/>
      <c r="F242" s="443"/>
      <c r="G242" s="443"/>
      <c r="H242" s="443"/>
      <c r="I242" s="443"/>
      <c r="J242" s="443"/>
      <c r="K242" s="443"/>
      <c r="L242" s="443"/>
      <c r="M242" s="443"/>
      <c r="N242" s="443"/>
      <c r="O242" s="295"/>
      <c r="P242" s="295"/>
      <c r="S242" s="338"/>
    </row>
    <row r="243" spans="1:19" s="210" customFormat="1" ht="12.75" customHeight="1" x14ac:dyDescent="0.3">
      <c r="A243" s="443" t="s">
        <v>695</v>
      </c>
      <c r="B243" s="443"/>
      <c r="C243" s="443"/>
      <c r="D243" s="443"/>
      <c r="E243" s="443"/>
      <c r="F243" s="443"/>
      <c r="G243" s="443"/>
      <c r="H243" s="443"/>
      <c r="I243" s="443"/>
      <c r="J243" s="443"/>
      <c r="K243" s="443"/>
      <c r="L243" s="443"/>
      <c r="M243" s="443"/>
      <c r="N243" s="443"/>
      <c r="O243" s="295"/>
      <c r="P243" s="295"/>
      <c r="S243" s="338"/>
    </row>
    <row r="244" spans="1:19" s="210" customFormat="1" ht="19.5" customHeight="1" x14ac:dyDescent="0.3">
      <c r="S244" s="338"/>
    </row>
    <row r="245" spans="1:19" s="210" customFormat="1" ht="14.4" x14ac:dyDescent="0.3">
      <c r="B245" s="323"/>
      <c r="D245" s="323"/>
      <c r="F245" s="323"/>
      <c r="S245" s="338"/>
    </row>
  </sheetData>
  <mergeCells count="237">
    <mergeCell ref="R60:AZ63"/>
    <mergeCell ref="C238:G238"/>
    <mergeCell ref="H238:L238"/>
    <mergeCell ref="C239:L239"/>
    <mergeCell ref="A241:N241"/>
    <mergeCell ref="A242:N242"/>
    <mergeCell ref="A243:N243"/>
    <mergeCell ref="C231:K231"/>
    <mergeCell ref="C232:K232"/>
    <mergeCell ref="C233:K233"/>
    <mergeCell ref="C236:G236"/>
    <mergeCell ref="H236:L236"/>
    <mergeCell ref="C237:L237"/>
    <mergeCell ref="C225:K225"/>
    <mergeCell ref="C226:K226"/>
    <mergeCell ref="C227:K227"/>
    <mergeCell ref="C228:K228"/>
    <mergeCell ref="C229:K229"/>
    <mergeCell ref="C230:K230"/>
    <mergeCell ref="C219:K219"/>
    <mergeCell ref="C220:K220"/>
    <mergeCell ref="C221:K221"/>
    <mergeCell ref="C222:K222"/>
    <mergeCell ref="C223:K223"/>
    <mergeCell ref="C224:K224"/>
    <mergeCell ref="C213:K213"/>
    <mergeCell ref="C214:K214"/>
    <mergeCell ref="C215:K215"/>
    <mergeCell ref="C216:K216"/>
    <mergeCell ref="C217:K217"/>
    <mergeCell ref="C218:K218"/>
    <mergeCell ref="C207:K207"/>
    <mergeCell ref="C208:K208"/>
    <mergeCell ref="C209:K209"/>
    <mergeCell ref="C210:K210"/>
    <mergeCell ref="C211:K211"/>
    <mergeCell ref="C212:K212"/>
    <mergeCell ref="C199:E199"/>
    <mergeCell ref="C200:E200"/>
    <mergeCell ref="C201:E201"/>
    <mergeCell ref="C202:E202"/>
    <mergeCell ref="C203:E203"/>
    <mergeCell ref="C206:K206"/>
    <mergeCell ref="C193:N193"/>
    <mergeCell ref="C194:N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C191:E191"/>
    <mergeCell ref="C192:E192"/>
    <mergeCell ref="C181:E181"/>
    <mergeCell ref="C182:E182"/>
    <mergeCell ref="C183:N183"/>
    <mergeCell ref="C184:E184"/>
    <mergeCell ref="C185:E185"/>
    <mergeCell ref="C186:E186"/>
    <mergeCell ref="C175:E175"/>
    <mergeCell ref="C176:E176"/>
    <mergeCell ref="C177:E177"/>
    <mergeCell ref="C178:E178"/>
    <mergeCell ref="C179:E179"/>
    <mergeCell ref="C180:E180"/>
    <mergeCell ref="C169:E169"/>
    <mergeCell ref="C170:E170"/>
    <mergeCell ref="C171:N171"/>
    <mergeCell ref="C172:N172"/>
    <mergeCell ref="C173:E173"/>
    <mergeCell ref="C174:E174"/>
    <mergeCell ref="C163:E163"/>
    <mergeCell ref="C164:E164"/>
    <mergeCell ref="C165:E165"/>
    <mergeCell ref="C166:E166"/>
    <mergeCell ref="C167:E167"/>
    <mergeCell ref="C168:E168"/>
    <mergeCell ref="C157:N157"/>
    <mergeCell ref="C158:E158"/>
    <mergeCell ref="C159:E159"/>
    <mergeCell ref="C160:N160"/>
    <mergeCell ref="C161:E161"/>
    <mergeCell ref="C162:E162"/>
    <mergeCell ref="C151:E151"/>
    <mergeCell ref="C152:E152"/>
    <mergeCell ref="C153:E153"/>
    <mergeCell ref="C154:E154"/>
    <mergeCell ref="C155:E155"/>
    <mergeCell ref="C156:E156"/>
    <mergeCell ref="C145:N145"/>
    <mergeCell ref="C146:N146"/>
    <mergeCell ref="C147:E147"/>
    <mergeCell ref="C148:E148"/>
    <mergeCell ref="C149:E149"/>
    <mergeCell ref="C150:E150"/>
    <mergeCell ref="C139:E139"/>
    <mergeCell ref="C140:E140"/>
    <mergeCell ref="C141:E141"/>
    <mergeCell ref="C142:N142"/>
    <mergeCell ref="C143:E143"/>
    <mergeCell ref="C144:E144"/>
    <mergeCell ref="C133:E133"/>
    <mergeCell ref="C134:E134"/>
    <mergeCell ref="C135:E135"/>
    <mergeCell ref="C136:E136"/>
    <mergeCell ref="C137:E137"/>
    <mergeCell ref="C138:E138"/>
    <mergeCell ref="C127:E127"/>
    <mergeCell ref="C128:E128"/>
    <mergeCell ref="C129:N129"/>
    <mergeCell ref="C130:E130"/>
    <mergeCell ref="C131:E131"/>
    <mergeCell ref="C132:E132"/>
    <mergeCell ref="C121:E121"/>
    <mergeCell ref="C122:E122"/>
    <mergeCell ref="C123:E123"/>
    <mergeCell ref="C124:E124"/>
    <mergeCell ref="C125:E125"/>
    <mergeCell ref="C126:N126"/>
    <mergeCell ref="C115:E115"/>
    <mergeCell ref="C116:E116"/>
    <mergeCell ref="C117:E117"/>
    <mergeCell ref="C118:E118"/>
    <mergeCell ref="C119:E119"/>
    <mergeCell ref="C120:E120"/>
    <mergeCell ref="C109:N109"/>
    <mergeCell ref="C110:N110"/>
    <mergeCell ref="C111:E111"/>
    <mergeCell ref="C112:E112"/>
    <mergeCell ref="C113:N113"/>
    <mergeCell ref="C114:E114"/>
    <mergeCell ref="C103:E103"/>
    <mergeCell ref="C104:E104"/>
    <mergeCell ref="C105:E105"/>
    <mergeCell ref="C106:E106"/>
    <mergeCell ref="C107:N107"/>
    <mergeCell ref="C108:N108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E95"/>
    <mergeCell ref="C96:E96"/>
    <mergeCell ref="C85:E85"/>
    <mergeCell ref="C86:E86"/>
    <mergeCell ref="C87:E87"/>
    <mergeCell ref="C88:E88"/>
    <mergeCell ref="C89:E89"/>
    <mergeCell ref="C90:E90"/>
    <mergeCell ref="C79:E79"/>
    <mergeCell ref="C80:N80"/>
    <mergeCell ref="C81:N81"/>
    <mergeCell ref="C82:E82"/>
    <mergeCell ref="C83:E83"/>
    <mergeCell ref="C84:E84"/>
    <mergeCell ref="C73:E73"/>
    <mergeCell ref="C74:N74"/>
    <mergeCell ref="C75:E75"/>
    <mergeCell ref="C76:E76"/>
    <mergeCell ref="C77:N77"/>
    <mergeCell ref="C78:E78"/>
    <mergeCell ref="C67:E67"/>
    <mergeCell ref="C68:E68"/>
    <mergeCell ref="C69:E69"/>
    <mergeCell ref="C70:E70"/>
    <mergeCell ref="C71:E71"/>
    <mergeCell ref="C72:E72"/>
    <mergeCell ref="C61:N61"/>
    <mergeCell ref="C62:E62"/>
    <mergeCell ref="C63:E63"/>
    <mergeCell ref="C64:E64"/>
    <mergeCell ref="C65:E65"/>
    <mergeCell ref="C66:E66"/>
    <mergeCell ref="C55:N55"/>
    <mergeCell ref="C56:N56"/>
    <mergeCell ref="C57:N57"/>
    <mergeCell ref="C58:E58"/>
    <mergeCell ref="C59:E59"/>
    <mergeCell ref="C60:N60"/>
    <mergeCell ref="C49:E49"/>
    <mergeCell ref="C50:E50"/>
    <mergeCell ref="C51:E51"/>
    <mergeCell ref="C52:E52"/>
    <mergeCell ref="C53:E53"/>
    <mergeCell ref="C54:N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69999998807907104" right="0.69999998807907104" top="0.75" bottom="0.75" header="0.30000001192092901" footer="0.30000001192092901"/>
  <pageSetup paperSize="9" scale="79" fitToHeight="0" orientation="landscape" r:id="rId1"/>
  <headerFooter>
    <oddFooter>&amp;RСтраница &amp;P</oddFooter>
  </headerFooter>
  <rowBreaks count="1" manualBreakCount="1">
    <brk id="34" max="1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1"/>
  <sheetViews>
    <sheetView view="pageBreakPreview" zoomScale="90" zoomScaleNormal="100" zoomScaleSheetLayoutView="90" workbookViewId="0">
      <selection activeCell="A20" sqref="A20:G21"/>
    </sheetView>
  </sheetViews>
  <sheetFormatPr defaultRowHeight="14.4" x14ac:dyDescent="0.3"/>
  <cols>
    <col min="1" max="1" width="6.33203125" customWidth="1"/>
    <col min="2" max="2" width="61.5546875" customWidth="1"/>
    <col min="5" max="5" width="11.33203125" bestFit="1" customWidth="1"/>
    <col min="6" max="6" width="14" style="15" customWidth="1"/>
    <col min="7" max="7" width="13.6640625" style="15" customWidth="1"/>
    <col min="8" max="8" width="14.33203125" bestFit="1" customWidth="1"/>
  </cols>
  <sheetData>
    <row r="1" spans="1:7" s="1" customFormat="1" x14ac:dyDescent="0.3">
      <c r="A1" s="452" t="s">
        <v>187</v>
      </c>
      <c r="B1" s="452" t="s">
        <v>214</v>
      </c>
      <c r="C1" s="452" t="s">
        <v>224</v>
      </c>
      <c r="D1" s="452" t="s">
        <v>189</v>
      </c>
      <c r="E1" s="384" t="s">
        <v>254</v>
      </c>
      <c r="F1" s="384"/>
      <c r="G1" s="384"/>
    </row>
    <row r="2" spans="1:7" ht="26.4" x14ac:dyDescent="0.3">
      <c r="A2" s="452"/>
      <c r="B2" s="452"/>
      <c r="C2" s="452"/>
      <c r="D2" s="452"/>
      <c r="E2" s="75" t="s">
        <v>225</v>
      </c>
      <c r="F2" s="93" t="s">
        <v>241</v>
      </c>
      <c r="G2" s="94" t="s">
        <v>223</v>
      </c>
    </row>
    <row r="3" spans="1:7" ht="12.75" customHeight="1" x14ac:dyDescent="0.3">
      <c r="A3" s="130">
        <v>1</v>
      </c>
      <c r="B3" s="131">
        <v>2</v>
      </c>
      <c r="C3" s="131">
        <v>3</v>
      </c>
      <c r="D3" s="131">
        <v>4</v>
      </c>
      <c r="E3" s="131">
        <v>5</v>
      </c>
      <c r="F3" s="131">
        <v>6</v>
      </c>
      <c r="G3" s="131">
        <v>7</v>
      </c>
    </row>
    <row r="4" spans="1:7" ht="14.7" customHeight="1" x14ac:dyDescent="0.3">
      <c r="A4" s="450" t="s">
        <v>259</v>
      </c>
      <c r="B4" s="451"/>
      <c r="C4" s="101"/>
      <c r="D4" s="103"/>
      <c r="E4" s="101"/>
      <c r="F4" s="101"/>
      <c r="G4" s="104"/>
    </row>
    <row r="5" spans="1:7" x14ac:dyDescent="0.3">
      <c r="A5" s="87">
        <v>1</v>
      </c>
      <c r="B5" s="88" t="s">
        <v>229</v>
      </c>
      <c r="C5" s="88" t="s">
        <v>178</v>
      </c>
      <c r="D5" s="99">
        <v>2</v>
      </c>
      <c r="E5" s="81">
        <v>109572</v>
      </c>
      <c r="F5" s="81">
        <f>ROUND(E5*D5,2)</f>
        <v>219144</v>
      </c>
      <c r="G5" s="81">
        <f>ROUND(F5*1.2,2)</f>
        <v>262972.79999999999</v>
      </c>
    </row>
    <row r="6" spans="1:7" x14ac:dyDescent="0.3">
      <c r="A6" s="87">
        <f>A5+1</f>
        <v>2</v>
      </c>
      <c r="B6" s="88" t="s">
        <v>238</v>
      </c>
      <c r="C6" s="88" t="s">
        <v>182</v>
      </c>
      <c r="D6" s="98">
        <v>8.5</v>
      </c>
      <c r="E6" s="81">
        <v>4200</v>
      </c>
      <c r="F6" s="81">
        <f>ROUND(E6*D6,2)</f>
        <v>35700</v>
      </c>
      <c r="G6" s="81">
        <f>ROUND(F6*1.2,2)</f>
        <v>42840</v>
      </c>
    </row>
    <row r="7" spans="1:7" x14ac:dyDescent="0.3">
      <c r="A7" s="87">
        <f>A6+1</f>
        <v>3</v>
      </c>
      <c r="B7" s="88" t="s">
        <v>228</v>
      </c>
      <c r="C7" s="88" t="s">
        <v>182</v>
      </c>
      <c r="D7" s="99">
        <v>110</v>
      </c>
      <c r="E7" s="81">
        <f>ROUND(2315*0.9,2)</f>
        <v>2083.5</v>
      </c>
      <c r="F7" s="81">
        <f>ROUND(E7*D7,2)</f>
        <v>229185</v>
      </c>
      <c r="G7" s="81">
        <f>ROUND(F7*1.2,2)</f>
        <v>275022</v>
      </c>
    </row>
    <row r="8" spans="1:7" ht="14.7" customHeight="1" x14ac:dyDescent="0.3">
      <c r="A8" s="450" t="s">
        <v>194</v>
      </c>
      <c r="B8" s="451"/>
      <c r="C8" s="101"/>
      <c r="D8" s="103"/>
      <c r="E8" s="101"/>
      <c r="F8" s="101"/>
      <c r="G8" s="104"/>
    </row>
    <row r="9" spans="1:7" x14ac:dyDescent="0.3">
      <c r="A9" s="87">
        <f>A7+1</f>
        <v>4</v>
      </c>
      <c r="B9" s="88" t="s">
        <v>231</v>
      </c>
      <c r="C9" s="88" t="s">
        <v>181</v>
      </c>
      <c r="D9" s="97">
        <v>146.52000000000001</v>
      </c>
      <c r="E9" s="81">
        <f>ROUND(1380*0.9,2)</f>
        <v>1242</v>
      </c>
      <c r="F9" s="81">
        <f t="shared" ref="F9:F14" si="0">ROUND(E9*D9,2)</f>
        <v>181977.84</v>
      </c>
      <c r="G9" s="81">
        <f t="shared" ref="G9:G14" si="1">ROUND(F9*1.2,2)</f>
        <v>218373.41</v>
      </c>
    </row>
    <row r="10" spans="1:7" x14ac:dyDescent="0.3">
      <c r="A10" s="87">
        <f>A9+1</f>
        <v>5</v>
      </c>
      <c r="B10" s="88" t="s">
        <v>232</v>
      </c>
      <c r="C10" s="88" t="s">
        <v>181</v>
      </c>
      <c r="D10" s="97">
        <v>704.98</v>
      </c>
      <c r="E10" s="81">
        <f>ROUND(5165*0.9,2)</f>
        <v>4648.5</v>
      </c>
      <c r="F10" s="81">
        <f t="shared" si="0"/>
        <v>3277099.53</v>
      </c>
      <c r="G10" s="81">
        <f t="shared" si="1"/>
        <v>3932519.44</v>
      </c>
    </row>
    <row r="11" spans="1:7" x14ac:dyDescent="0.3">
      <c r="A11" s="87">
        <f t="shared" ref="A11:A14" si="2">A10+1</f>
        <v>6</v>
      </c>
      <c r="B11" s="88" t="s">
        <v>233</v>
      </c>
      <c r="C11" s="88" t="s">
        <v>234</v>
      </c>
      <c r="D11" s="97">
        <v>226</v>
      </c>
      <c r="E11" s="81">
        <f>ROUND(325*0.9,2)</f>
        <v>292.5</v>
      </c>
      <c r="F11" s="81">
        <f t="shared" si="0"/>
        <v>66105</v>
      </c>
      <c r="G11" s="81">
        <f t="shared" si="1"/>
        <v>79326</v>
      </c>
    </row>
    <row r="12" spans="1:7" x14ac:dyDescent="0.3">
      <c r="A12" s="87">
        <f t="shared" si="2"/>
        <v>7</v>
      </c>
      <c r="B12" s="88" t="s">
        <v>235</v>
      </c>
      <c r="C12" s="88" t="s">
        <v>234</v>
      </c>
      <c r="D12" s="97">
        <v>73.2</v>
      </c>
      <c r="E12" s="81">
        <f t="shared" ref="E12:E14" si="3">ROUND(325*0.9,2)</f>
        <v>292.5</v>
      </c>
      <c r="F12" s="81">
        <f t="shared" si="0"/>
        <v>21411</v>
      </c>
      <c r="G12" s="81">
        <f t="shared" si="1"/>
        <v>25693.200000000001</v>
      </c>
    </row>
    <row r="13" spans="1:7" x14ac:dyDescent="0.3">
      <c r="A13" s="87">
        <f t="shared" si="2"/>
        <v>8</v>
      </c>
      <c r="B13" s="88" t="s">
        <v>239</v>
      </c>
      <c r="C13" s="88" t="s">
        <v>234</v>
      </c>
      <c r="D13" s="97">
        <v>861.3</v>
      </c>
      <c r="E13" s="81">
        <f t="shared" si="3"/>
        <v>292.5</v>
      </c>
      <c r="F13" s="81">
        <f t="shared" si="0"/>
        <v>251930.25</v>
      </c>
      <c r="G13" s="81">
        <f t="shared" si="1"/>
        <v>302316.3</v>
      </c>
    </row>
    <row r="14" spans="1:7" x14ac:dyDescent="0.3">
      <c r="A14" s="87">
        <f t="shared" si="2"/>
        <v>9</v>
      </c>
      <c r="B14" s="88" t="s">
        <v>240</v>
      </c>
      <c r="C14" s="88" t="s">
        <v>234</v>
      </c>
      <c r="D14" s="97">
        <v>475.92</v>
      </c>
      <c r="E14" s="81">
        <f t="shared" si="3"/>
        <v>292.5</v>
      </c>
      <c r="F14" s="81">
        <f t="shared" si="0"/>
        <v>139206.6</v>
      </c>
      <c r="G14" s="81">
        <f t="shared" si="1"/>
        <v>167047.92000000001</v>
      </c>
    </row>
    <row r="15" spans="1:7" ht="14.7" customHeight="1" x14ac:dyDescent="0.3">
      <c r="A15" s="450" t="s">
        <v>226</v>
      </c>
      <c r="B15" s="451"/>
      <c r="C15" s="101"/>
      <c r="D15" s="103"/>
      <c r="E15" s="101"/>
      <c r="F15" s="101"/>
      <c r="G15" s="104"/>
    </row>
    <row r="16" spans="1:7" x14ac:dyDescent="0.3">
      <c r="A16" s="87">
        <f>A14+1</f>
        <v>10</v>
      </c>
      <c r="B16" s="88" t="s">
        <v>230</v>
      </c>
      <c r="C16" s="88" t="s">
        <v>181</v>
      </c>
      <c r="D16" s="97">
        <v>549.42999999999995</v>
      </c>
      <c r="E16" s="81">
        <f>ROUND(1610.8*0.9,2)</f>
        <v>1449.72</v>
      </c>
      <c r="F16" s="81">
        <f>ROUND(E16*D16,2)</f>
        <v>796519.66</v>
      </c>
      <c r="G16" s="81">
        <f>ROUND(F16*1.2,2)</f>
        <v>955823.59</v>
      </c>
    </row>
    <row r="17" spans="1:8" ht="41.4" x14ac:dyDescent="0.3">
      <c r="A17" s="87">
        <f>A16+1</f>
        <v>11</v>
      </c>
      <c r="B17" s="88" t="s">
        <v>227</v>
      </c>
      <c r="C17" s="88" t="s">
        <v>182</v>
      </c>
      <c r="D17" s="96">
        <v>284</v>
      </c>
      <c r="E17" s="81">
        <v>2348</v>
      </c>
      <c r="F17" s="81">
        <f>ROUND(E17*D17,2)</f>
        <v>666832</v>
      </c>
      <c r="G17" s="81">
        <f>ROUND(F17*1.2,2)</f>
        <v>800198.4</v>
      </c>
      <c r="H17" s="30"/>
    </row>
    <row r="18" spans="1:8" ht="41.4" x14ac:dyDescent="0.3">
      <c r="A18" s="87">
        <f>A17+1</f>
        <v>12</v>
      </c>
      <c r="B18" s="88" t="s">
        <v>237</v>
      </c>
      <c r="C18" s="88" t="s">
        <v>182</v>
      </c>
      <c r="D18" s="95">
        <v>145.63</v>
      </c>
      <c r="E18" s="81">
        <v>1587</v>
      </c>
      <c r="F18" s="81">
        <f>ROUND(E18*D18,2)</f>
        <v>231114.81</v>
      </c>
      <c r="G18" s="81">
        <f>ROUND(F18*1.2,2)</f>
        <v>277337.77</v>
      </c>
    </row>
    <row r="19" spans="1:8" s="1" customFormat="1" x14ac:dyDescent="0.3">
      <c r="A19" s="83"/>
      <c r="B19" s="386" t="s">
        <v>265</v>
      </c>
      <c r="C19" s="387"/>
      <c r="D19" s="387"/>
      <c r="E19" s="388"/>
      <c r="F19" s="92">
        <f>SUM(F5:F18)</f>
        <v>6116225.6899999985</v>
      </c>
      <c r="G19" s="92">
        <f>SUM(G5:G18)</f>
        <v>7339470.8300000001</v>
      </c>
    </row>
    <row r="20" spans="1:8" x14ac:dyDescent="0.3">
      <c r="A20" s="389" t="s">
        <v>266</v>
      </c>
      <c r="B20" s="390"/>
      <c r="C20" s="390"/>
      <c r="D20" s="390"/>
      <c r="E20" s="391"/>
      <c r="F20" s="171">
        <f>ROUND(F19*0.03,2)</f>
        <v>183486.77</v>
      </c>
      <c r="G20" s="171">
        <f>ROUND(G19*0.03,2)</f>
        <v>220184.12</v>
      </c>
      <c r="H20" s="52"/>
    </row>
    <row r="21" spans="1:8" x14ac:dyDescent="0.3">
      <c r="A21" s="389" t="s">
        <v>267</v>
      </c>
      <c r="B21" s="390"/>
      <c r="C21" s="390"/>
      <c r="D21" s="390"/>
      <c r="E21" s="391"/>
      <c r="F21" s="171">
        <f>F19+F20</f>
        <v>6299712.4599999981</v>
      </c>
      <c r="G21" s="171">
        <f>G19+G20</f>
        <v>7559654.9500000002</v>
      </c>
      <c r="H21" s="52"/>
    </row>
  </sheetData>
  <mergeCells count="11">
    <mergeCell ref="B19:E19"/>
    <mergeCell ref="A20:E20"/>
    <mergeCell ref="A21:E21"/>
    <mergeCell ref="A15:B15"/>
    <mergeCell ref="E1:G1"/>
    <mergeCell ref="A1:A2"/>
    <mergeCell ref="B1:B2"/>
    <mergeCell ref="C1:C2"/>
    <mergeCell ref="D1:D2"/>
    <mergeCell ref="A8:B8"/>
    <mergeCell ref="A4:B4"/>
  </mergeCells>
  <pageMargins left="0.7" right="0.7" top="0.75" bottom="0.75" header="0.3" footer="0.3"/>
  <pageSetup paperSize="9" scale="6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5"/>
  <sheetViews>
    <sheetView view="pageBreakPreview" zoomScale="90" zoomScaleNormal="100" zoomScaleSheetLayoutView="90" workbookViewId="0">
      <pane ySplit="2" topLeftCell="A3" activePane="bottomLeft" state="frozen"/>
      <selection pane="bottomLeft" activeCell="A11" sqref="A11:F11"/>
    </sheetView>
  </sheetViews>
  <sheetFormatPr defaultRowHeight="14.4" x14ac:dyDescent="0.3"/>
  <cols>
    <col min="1" max="1" width="5.6640625" customWidth="1"/>
    <col min="2" max="2" width="60.6640625" customWidth="1"/>
    <col min="3" max="3" width="10.33203125" style="29" customWidth="1"/>
    <col min="4" max="4" width="8.6640625" style="29"/>
    <col min="5" max="5" width="11.33203125" style="29" customWidth="1"/>
    <col min="6" max="6" width="15" style="29" customWidth="1"/>
    <col min="7" max="7" width="15.44140625" style="29" customWidth="1"/>
  </cols>
  <sheetData>
    <row r="1" spans="1:7" x14ac:dyDescent="0.3">
      <c r="A1" s="452" t="s">
        <v>187</v>
      </c>
      <c r="B1" s="452" t="s">
        <v>188</v>
      </c>
      <c r="C1" s="454" t="s">
        <v>256</v>
      </c>
      <c r="D1" s="454" t="s">
        <v>189</v>
      </c>
      <c r="E1" s="453" t="s">
        <v>254</v>
      </c>
      <c r="F1" s="453"/>
      <c r="G1" s="453"/>
    </row>
    <row r="2" spans="1:7" ht="27.6" x14ac:dyDescent="0.3">
      <c r="A2" s="452"/>
      <c r="B2" s="452"/>
      <c r="C2" s="454"/>
      <c r="D2" s="454"/>
      <c r="E2" s="76" t="s">
        <v>183</v>
      </c>
      <c r="F2" s="77" t="s">
        <v>184</v>
      </c>
      <c r="G2" s="77" t="s">
        <v>186</v>
      </c>
    </row>
    <row r="3" spans="1:7" ht="12.75" customHeight="1" x14ac:dyDescent="0.3">
      <c r="A3" s="130">
        <v>1</v>
      </c>
      <c r="B3" s="131">
        <v>2</v>
      </c>
      <c r="C3" s="131">
        <v>3</v>
      </c>
      <c r="D3" s="131">
        <v>4</v>
      </c>
      <c r="E3" s="131">
        <v>5</v>
      </c>
      <c r="F3" s="131">
        <v>6</v>
      </c>
      <c r="G3" s="131">
        <v>7</v>
      </c>
    </row>
    <row r="4" spans="1:7" x14ac:dyDescent="0.3">
      <c r="A4" s="87">
        <v>1</v>
      </c>
      <c r="B4" s="79" t="s">
        <v>161</v>
      </c>
      <c r="C4" s="87" t="s">
        <v>181</v>
      </c>
      <c r="D4" s="87">
        <v>190.476</v>
      </c>
      <c r="E4" s="81">
        <f>ROUND(1584/1.2,2)</f>
        <v>1320</v>
      </c>
      <c r="F4" s="81">
        <f>ROUND(E4*D4,2)</f>
        <v>251428.32</v>
      </c>
      <c r="G4" s="81">
        <f>ROUND(F4*1.2,2)</f>
        <v>301713.98</v>
      </c>
    </row>
    <row r="5" spans="1:7" x14ac:dyDescent="0.3">
      <c r="A5" s="87">
        <f>A4+1</f>
        <v>2</v>
      </c>
      <c r="B5" s="79" t="s">
        <v>260</v>
      </c>
      <c r="C5" s="87" t="s">
        <v>181</v>
      </c>
      <c r="D5" s="87">
        <v>642.83000000000004</v>
      </c>
      <c r="E5" s="81">
        <f>ROUND(5300/1.2,2)</f>
        <v>4416.67</v>
      </c>
      <c r="F5" s="81">
        <f t="shared" ref="F5:F10" si="0">ROUND(E5*D5,2)</f>
        <v>2839167.98</v>
      </c>
      <c r="G5" s="81">
        <f t="shared" ref="G5:G10" si="1">ROUND(F5*1.2,2)</f>
        <v>3407001.58</v>
      </c>
    </row>
    <row r="6" spans="1:7" x14ac:dyDescent="0.3">
      <c r="A6" s="87">
        <f>A5+1</f>
        <v>3</v>
      </c>
      <c r="B6" s="79" t="s">
        <v>190</v>
      </c>
      <c r="C6" s="87" t="s">
        <v>234</v>
      </c>
      <c r="D6" s="89">
        <f>300*3</f>
        <v>900</v>
      </c>
      <c r="E6" s="81">
        <f>ROUND(184/1.2,2)</f>
        <v>153.33000000000001</v>
      </c>
      <c r="F6" s="81">
        <f t="shared" si="0"/>
        <v>137997</v>
      </c>
      <c r="G6" s="81">
        <f t="shared" si="1"/>
        <v>165596.4</v>
      </c>
    </row>
    <row r="7" spans="1:7" ht="20.25" customHeight="1" x14ac:dyDescent="0.3">
      <c r="A7" s="87">
        <f t="shared" ref="A7:A11" si="2">A6+1</f>
        <v>4</v>
      </c>
      <c r="B7" s="79" t="s">
        <v>191</v>
      </c>
      <c r="C7" s="87" t="s">
        <v>182</v>
      </c>
      <c r="D7" s="89">
        <v>145.63</v>
      </c>
      <c r="E7" s="81">
        <f>ROUND(16500/1.2,2)</f>
        <v>13750</v>
      </c>
      <c r="F7" s="81">
        <f t="shared" si="0"/>
        <v>2002412.5</v>
      </c>
      <c r="G7" s="81">
        <f t="shared" si="1"/>
        <v>2402895</v>
      </c>
    </row>
    <row r="8" spans="1:7" ht="39" customHeight="1" x14ac:dyDescent="0.3">
      <c r="A8" s="87">
        <f t="shared" si="2"/>
        <v>5</v>
      </c>
      <c r="B8" s="79" t="s">
        <v>192</v>
      </c>
      <c r="C8" s="87" t="s">
        <v>182</v>
      </c>
      <c r="D8" s="89">
        <v>284</v>
      </c>
      <c r="E8" s="81">
        <f>ROUND(34100/1.2,2)</f>
        <v>28416.67</v>
      </c>
      <c r="F8" s="81">
        <f t="shared" si="0"/>
        <v>8070334.2800000003</v>
      </c>
      <c r="G8" s="81">
        <f t="shared" si="1"/>
        <v>9684401.1400000006</v>
      </c>
    </row>
    <row r="9" spans="1:7" x14ac:dyDescent="0.3">
      <c r="A9" s="87">
        <f t="shared" si="2"/>
        <v>6</v>
      </c>
      <c r="B9" s="79" t="s">
        <v>257</v>
      </c>
      <c r="C9" s="80" t="s">
        <v>178</v>
      </c>
      <c r="D9" s="89">
        <v>276</v>
      </c>
      <c r="E9" s="81">
        <f>ROUND(200/1.2,2)</f>
        <v>166.67</v>
      </c>
      <c r="F9" s="81">
        <f t="shared" si="0"/>
        <v>46000.92</v>
      </c>
      <c r="G9" s="81">
        <f t="shared" si="1"/>
        <v>55201.1</v>
      </c>
    </row>
    <row r="10" spans="1:7" x14ac:dyDescent="0.3">
      <c r="A10" s="87">
        <f t="shared" si="2"/>
        <v>7</v>
      </c>
      <c r="B10" s="79" t="s">
        <v>258</v>
      </c>
      <c r="C10" s="80" t="s">
        <v>178</v>
      </c>
      <c r="D10" s="89">
        <v>92</v>
      </c>
      <c r="E10" s="81">
        <f>ROUND(5841/1.2,2)</f>
        <v>4867.5</v>
      </c>
      <c r="F10" s="81">
        <f t="shared" si="0"/>
        <v>447810</v>
      </c>
      <c r="G10" s="81">
        <f t="shared" si="1"/>
        <v>537372</v>
      </c>
    </row>
    <row r="11" spans="1:7" x14ac:dyDescent="0.3">
      <c r="A11" s="59">
        <f t="shared" si="2"/>
        <v>8</v>
      </c>
      <c r="B11" s="173" t="s">
        <v>263</v>
      </c>
      <c r="C11" s="162" t="s">
        <v>275</v>
      </c>
      <c r="D11" s="72">
        <v>1</v>
      </c>
      <c r="E11" s="163">
        <v>330000</v>
      </c>
      <c r="F11" s="163">
        <f t="shared" ref="F11" si="3">ROUND(E11*D11,2)</f>
        <v>330000</v>
      </c>
      <c r="G11" s="163">
        <f t="shared" ref="G11" si="4">ROUND(F11*1.2,2)</f>
        <v>396000</v>
      </c>
    </row>
    <row r="12" spans="1:7" s="1" customFormat="1" x14ac:dyDescent="0.3">
      <c r="A12" s="83"/>
      <c r="B12" s="386" t="s">
        <v>265</v>
      </c>
      <c r="C12" s="387"/>
      <c r="D12" s="387"/>
      <c r="E12" s="388"/>
      <c r="F12" s="92">
        <f>SUM(F4:F11)</f>
        <v>14125151</v>
      </c>
      <c r="G12" s="92">
        <f>SUM(G4:G11)</f>
        <v>16950181.200000003</v>
      </c>
    </row>
    <row r="15" spans="1:7" x14ac:dyDescent="0.3">
      <c r="B15" s="53"/>
      <c r="G15" s="56"/>
    </row>
  </sheetData>
  <mergeCells count="6">
    <mergeCell ref="B12:E12"/>
    <mergeCell ref="E1:G1"/>
    <mergeCell ref="A1:A2"/>
    <mergeCell ref="B1:B2"/>
    <mergeCell ref="C1:C2"/>
    <mergeCell ref="D1:D2"/>
  </mergeCells>
  <pageMargins left="0.7" right="0.7" top="0.75" bottom="0.75" header="0.3" footer="0.3"/>
  <pageSetup paperSize="9"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53"/>
  <sheetViews>
    <sheetView view="pageBreakPreview" topLeftCell="A241" zoomScale="80" zoomScaleNormal="100" zoomScaleSheetLayoutView="80" workbookViewId="0">
      <selection activeCell="B95" sqref="B95"/>
    </sheetView>
  </sheetViews>
  <sheetFormatPr defaultRowHeight="14.4" x14ac:dyDescent="0.3"/>
  <cols>
    <col min="2" max="2" width="60.5546875" customWidth="1"/>
    <col min="4" max="4" width="11.5546875" customWidth="1"/>
    <col min="5" max="6" width="16.33203125" customWidth="1"/>
    <col min="7" max="7" width="17.33203125" customWidth="1"/>
    <col min="8" max="8" width="12.33203125" hidden="1" customWidth="1"/>
    <col min="9" max="9" width="0" hidden="1" customWidth="1"/>
  </cols>
  <sheetData>
    <row r="1" spans="1:9" x14ac:dyDescent="0.3">
      <c r="A1" s="394" t="s">
        <v>213</v>
      </c>
      <c r="B1" s="461" t="s">
        <v>188</v>
      </c>
      <c r="C1" s="461" t="s">
        <v>217</v>
      </c>
      <c r="D1" s="461" t="s">
        <v>189</v>
      </c>
      <c r="E1" s="461" t="s">
        <v>254</v>
      </c>
      <c r="F1" s="461"/>
      <c r="G1" s="461"/>
    </row>
    <row r="2" spans="1:9" ht="27.6" x14ac:dyDescent="0.3">
      <c r="A2" s="394"/>
      <c r="B2" s="461"/>
      <c r="C2" s="461"/>
      <c r="D2" s="461"/>
      <c r="E2" s="74" t="s">
        <v>244</v>
      </c>
      <c r="F2" s="74" t="s">
        <v>236</v>
      </c>
      <c r="G2" s="84" t="s">
        <v>223</v>
      </c>
    </row>
    <row r="3" spans="1:9" ht="17.25" customHeight="1" x14ac:dyDescent="0.3">
      <c r="A3" s="130">
        <v>1</v>
      </c>
      <c r="B3" s="131">
        <v>2</v>
      </c>
      <c r="C3" s="131">
        <v>3</v>
      </c>
      <c r="D3" s="131">
        <v>4</v>
      </c>
      <c r="E3" s="131">
        <v>5</v>
      </c>
      <c r="F3" s="131">
        <v>6</v>
      </c>
      <c r="G3" s="131">
        <v>7</v>
      </c>
    </row>
    <row r="4" spans="1:9" ht="28.5" customHeight="1" x14ac:dyDescent="0.3">
      <c r="A4" s="134"/>
      <c r="B4" s="455" t="s">
        <v>276</v>
      </c>
      <c r="C4" s="456"/>
      <c r="D4" s="457"/>
      <c r="E4" s="135"/>
      <c r="F4" s="136"/>
      <c r="G4" s="146"/>
    </row>
    <row r="5" spans="1:9" ht="18" customHeight="1" x14ac:dyDescent="0.3">
      <c r="A5" s="133"/>
      <c r="B5" s="70" t="s">
        <v>247</v>
      </c>
      <c r="C5" s="140"/>
      <c r="D5" s="140"/>
      <c r="E5" s="142"/>
      <c r="F5" s="71"/>
      <c r="G5" s="147"/>
      <c r="H5" s="169" t="s">
        <v>462</v>
      </c>
    </row>
    <row r="6" spans="1:9" ht="35.25" customHeight="1" x14ac:dyDescent="0.3">
      <c r="A6" s="72">
        <v>1</v>
      </c>
      <c r="B6" s="60" t="s">
        <v>369</v>
      </c>
      <c r="C6" s="89" t="s">
        <v>181</v>
      </c>
      <c r="D6" s="143">
        <v>322</v>
      </c>
      <c r="E6" s="149">
        <v>90.47</v>
      </c>
      <c r="F6" s="81">
        <f t="shared" ref="F6:F40" si="0">ROUND(E6*D6,2)</f>
        <v>29131.34</v>
      </c>
      <c r="G6" s="81">
        <f>ROUND(F6*1.2,2)</f>
        <v>34957.61</v>
      </c>
      <c r="H6">
        <v>325</v>
      </c>
    </row>
    <row r="7" spans="1:9" ht="15.6" x14ac:dyDescent="0.3">
      <c r="A7" s="72">
        <f>A6+1</f>
        <v>2</v>
      </c>
      <c r="B7" s="60" t="s">
        <v>370</v>
      </c>
      <c r="C7" s="89" t="s">
        <v>181</v>
      </c>
      <c r="D7" s="166" t="s">
        <v>252</v>
      </c>
      <c r="E7" s="149">
        <v>1860.11</v>
      </c>
      <c r="F7" s="81">
        <f t="shared" si="0"/>
        <v>18601.099999999999</v>
      </c>
      <c r="G7" s="81">
        <f t="shared" ref="G7:G32" si="1">ROUND(F7*1.2,2)</f>
        <v>22321.32</v>
      </c>
      <c r="H7">
        <v>1777</v>
      </c>
    </row>
    <row r="8" spans="1:9" ht="15.6" x14ac:dyDescent="0.3">
      <c r="A8" s="72">
        <f>A7+1</f>
        <v>3</v>
      </c>
      <c r="B8" s="60" t="s">
        <v>371</v>
      </c>
      <c r="C8" s="89" t="s">
        <v>181</v>
      </c>
      <c r="D8" s="166" t="s">
        <v>335</v>
      </c>
      <c r="E8" s="149">
        <v>1155.67</v>
      </c>
      <c r="F8" s="81">
        <f t="shared" si="0"/>
        <v>13868.04</v>
      </c>
      <c r="G8" s="81">
        <f t="shared" si="1"/>
        <v>16641.650000000001</v>
      </c>
    </row>
    <row r="9" spans="1:9" ht="15.6" x14ac:dyDescent="0.3">
      <c r="A9" s="72">
        <f t="shared" ref="A9:A15" si="2">A8+1</f>
        <v>4</v>
      </c>
      <c r="B9" s="60" t="s">
        <v>250</v>
      </c>
      <c r="C9" s="89" t="s">
        <v>181</v>
      </c>
      <c r="D9" s="166" t="s">
        <v>375</v>
      </c>
      <c r="E9" s="149">
        <v>1456.66</v>
      </c>
      <c r="F9" s="81">
        <f t="shared" si="0"/>
        <v>3350.32</v>
      </c>
      <c r="G9" s="81">
        <f t="shared" si="1"/>
        <v>4020.38</v>
      </c>
      <c r="H9">
        <v>1379</v>
      </c>
    </row>
    <row r="10" spans="1:9" ht="15.6" x14ac:dyDescent="0.3">
      <c r="A10" s="72">
        <f t="shared" si="2"/>
        <v>5</v>
      </c>
      <c r="B10" s="60" t="s">
        <v>372</v>
      </c>
      <c r="C10" s="89" t="s">
        <v>181</v>
      </c>
      <c r="D10" s="166" t="s">
        <v>335</v>
      </c>
      <c r="E10" s="149">
        <v>856.54</v>
      </c>
      <c r="F10" s="81">
        <f t="shared" si="0"/>
        <v>10278.48</v>
      </c>
      <c r="G10" s="81">
        <f t="shared" si="1"/>
        <v>12334.18</v>
      </c>
      <c r="H10">
        <v>1379</v>
      </c>
    </row>
    <row r="11" spans="1:9" ht="15.6" x14ac:dyDescent="0.3">
      <c r="A11" s="72">
        <f t="shared" si="2"/>
        <v>6</v>
      </c>
      <c r="B11" s="60" t="s">
        <v>248</v>
      </c>
      <c r="C11" s="89" t="s">
        <v>181</v>
      </c>
      <c r="D11" s="166" t="s">
        <v>376</v>
      </c>
      <c r="E11" s="149">
        <v>9.73</v>
      </c>
      <c r="F11" s="81">
        <f t="shared" si="0"/>
        <v>2860.62</v>
      </c>
      <c r="G11" s="81">
        <f t="shared" si="1"/>
        <v>3432.74</v>
      </c>
      <c r="H11">
        <v>125</v>
      </c>
    </row>
    <row r="12" spans="1:9" ht="15.6" x14ac:dyDescent="0.3">
      <c r="A12" s="72">
        <f t="shared" si="2"/>
        <v>7</v>
      </c>
      <c r="B12" s="60" t="s">
        <v>245</v>
      </c>
      <c r="C12" s="89" t="s">
        <v>181</v>
      </c>
      <c r="D12" s="166" t="s">
        <v>376</v>
      </c>
      <c r="E12" s="149">
        <v>197.58</v>
      </c>
      <c r="F12" s="81">
        <f t="shared" si="0"/>
        <v>58088.52</v>
      </c>
      <c r="G12" s="81">
        <f t="shared" si="1"/>
        <v>69706.22</v>
      </c>
      <c r="H12">
        <v>198</v>
      </c>
    </row>
    <row r="13" spans="1:9" ht="15.6" x14ac:dyDescent="0.3">
      <c r="A13" s="72">
        <f t="shared" si="2"/>
        <v>8</v>
      </c>
      <c r="B13" s="60" t="s">
        <v>249</v>
      </c>
      <c r="C13" s="89" t="s">
        <v>181</v>
      </c>
      <c r="D13" s="166" t="s">
        <v>377</v>
      </c>
      <c r="E13" s="149">
        <v>856.54</v>
      </c>
      <c r="F13" s="81">
        <f t="shared" si="0"/>
        <v>12848.1</v>
      </c>
      <c r="G13" s="81">
        <f t="shared" si="1"/>
        <v>15417.72</v>
      </c>
      <c r="H13">
        <v>899</v>
      </c>
    </row>
    <row r="14" spans="1:9" ht="27.6" x14ac:dyDescent="0.3">
      <c r="A14" s="72">
        <f t="shared" si="2"/>
        <v>9</v>
      </c>
      <c r="B14" s="60" t="s">
        <v>373</v>
      </c>
      <c r="C14" s="89" t="s">
        <v>218</v>
      </c>
      <c r="D14" s="167">
        <v>36.799999999999997</v>
      </c>
      <c r="E14" s="149">
        <v>67.760000000000005</v>
      </c>
      <c r="F14" s="81">
        <f t="shared" si="0"/>
        <v>2493.5700000000002</v>
      </c>
      <c r="G14" s="81">
        <f t="shared" si="1"/>
        <v>2992.28</v>
      </c>
      <c r="H14">
        <v>325</v>
      </c>
    </row>
    <row r="15" spans="1:9" ht="27.6" x14ac:dyDescent="0.3">
      <c r="A15" s="72">
        <f t="shared" si="2"/>
        <v>10</v>
      </c>
      <c r="B15" s="60" t="s">
        <v>374</v>
      </c>
      <c r="C15" s="59" t="s">
        <v>218</v>
      </c>
      <c r="D15" s="167">
        <v>36.799999999999997</v>
      </c>
      <c r="E15" s="149">
        <v>312.27999999999997</v>
      </c>
      <c r="F15" s="81">
        <f t="shared" si="0"/>
        <v>11491.9</v>
      </c>
      <c r="G15" s="81">
        <f t="shared" si="1"/>
        <v>13790.28</v>
      </c>
      <c r="H15">
        <v>3460</v>
      </c>
      <c r="I15" s="169" t="s">
        <v>461</v>
      </c>
    </row>
    <row r="16" spans="1:9" ht="15.6" x14ac:dyDescent="0.3">
      <c r="A16" s="72"/>
      <c r="B16" s="58" t="s">
        <v>251</v>
      </c>
      <c r="C16" s="59"/>
      <c r="D16" s="62"/>
      <c r="E16" s="149"/>
      <c r="F16" s="81"/>
      <c r="G16" s="81"/>
    </row>
    <row r="17" spans="1:8" ht="27.6" x14ac:dyDescent="0.3">
      <c r="A17" s="72">
        <f>A15+1</f>
        <v>11</v>
      </c>
      <c r="B17" s="60" t="s">
        <v>378</v>
      </c>
      <c r="C17" s="59" t="s">
        <v>182</v>
      </c>
      <c r="D17" s="62">
        <v>31</v>
      </c>
      <c r="E17" s="149">
        <v>1223.9000000000001</v>
      </c>
      <c r="F17" s="81">
        <f t="shared" si="0"/>
        <v>37940.9</v>
      </c>
      <c r="G17" s="81">
        <f t="shared" si="1"/>
        <v>45529.08</v>
      </c>
    </row>
    <row r="18" spans="1:8" ht="41.4" x14ac:dyDescent="0.3">
      <c r="A18" s="72">
        <f>A17+1</f>
        <v>12</v>
      </c>
      <c r="B18" s="60" t="s">
        <v>379</v>
      </c>
      <c r="C18" s="59" t="s">
        <v>182</v>
      </c>
      <c r="D18" s="62">
        <v>6</v>
      </c>
      <c r="E18" s="149">
        <v>10557.31</v>
      </c>
      <c r="F18" s="81">
        <f t="shared" si="0"/>
        <v>63343.86</v>
      </c>
      <c r="G18" s="81">
        <f t="shared" si="1"/>
        <v>76012.63</v>
      </c>
    </row>
    <row r="19" spans="1:8" ht="27.6" x14ac:dyDescent="0.3">
      <c r="A19" s="72">
        <f t="shared" ref="A19:A29" si="3">A18+1</f>
        <v>13</v>
      </c>
      <c r="B19" s="60" t="s">
        <v>380</v>
      </c>
      <c r="C19" s="59" t="s">
        <v>207</v>
      </c>
      <c r="D19" s="62">
        <v>2</v>
      </c>
      <c r="E19" s="149">
        <v>10242.23</v>
      </c>
      <c r="F19" s="81">
        <f t="shared" si="0"/>
        <v>20484.46</v>
      </c>
      <c r="G19" s="81">
        <f t="shared" si="1"/>
        <v>24581.35</v>
      </c>
    </row>
    <row r="20" spans="1:8" ht="27.6" x14ac:dyDescent="0.3">
      <c r="A20" s="72">
        <f t="shared" si="3"/>
        <v>14</v>
      </c>
      <c r="B20" s="60" t="s">
        <v>381</v>
      </c>
      <c r="C20" s="59" t="s">
        <v>207</v>
      </c>
      <c r="D20" s="62">
        <v>2</v>
      </c>
      <c r="E20" s="149">
        <v>6691.94</v>
      </c>
      <c r="F20" s="81">
        <f t="shared" si="0"/>
        <v>13383.88</v>
      </c>
      <c r="G20" s="81">
        <f t="shared" si="1"/>
        <v>16060.66</v>
      </c>
    </row>
    <row r="21" spans="1:8" ht="15.6" x14ac:dyDescent="0.3">
      <c r="A21" s="72">
        <f t="shared" si="3"/>
        <v>15</v>
      </c>
      <c r="B21" s="60" t="s">
        <v>404</v>
      </c>
      <c r="C21" s="59" t="s">
        <v>207</v>
      </c>
      <c r="D21" s="62">
        <v>36</v>
      </c>
      <c r="E21" s="149">
        <v>592.5</v>
      </c>
      <c r="F21" s="81">
        <f t="shared" si="0"/>
        <v>21330</v>
      </c>
      <c r="G21" s="81">
        <f t="shared" si="1"/>
        <v>25596</v>
      </c>
    </row>
    <row r="22" spans="1:8" ht="27.6" x14ac:dyDescent="0.3">
      <c r="A22" s="72">
        <f t="shared" si="3"/>
        <v>16</v>
      </c>
      <c r="B22" s="60" t="s">
        <v>382</v>
      </c>
      <c r="C22" s="59" t="s">
        <v>207</v>
      </c>
      <c r="D22" s="62">
        <v>36</v>
      </c>
      <c r="E22" s="149">
        <v>210.41</v>
      </c>
      <c r="F22" s="81">
        <f t="shared" si="0"/>
        <v>7574.76</v>
      </c>
      <c r="G22" s="81">
        <f t="shared" si="1"/>
        <v>9089.7099999999991</v>
      </c>
    </row>
    <row r="23" spans="1:8" ht="41.4" x14ac:dyDescent="0.3">
      <c r="A23" s="72">
        <f t="shared" si="3"/>
        <v>17</v>
      </c>
      <c r="B23" s="60" t="s">
        <v>383</v>
      </c>
      <c r="C23" s="59" t="s">
        <v>207</v>
      </c>
      <c r="D23" s="62">
        <v>2</v>
      </c>
      <c r="E23" s="149">
        <v>1207.4100000000001</v>
      </c>
      <c r="F23" s="81">
        <f t="shared" si="0"/>
        <v>2414.8200000000002</v>
      </c>
      <c r="G23" s="81">
        <f t="shared" si="1"/>
        <v>2897.78</v>
      </c>
    </row>
    <row r="24" spans="1:8" ht="41.4" x14ac:dyDescent="0.3">
      <c r="A24" s="72">
        <f t="shared" si="3"/>
        <v>18</v>
      </c>
      <c r="B24" s="60" t="s">
        <v>384</v>
      </c>
      <c r="C24" s="59" t="s">
        <v>207</v>
      </c>
      <c r="D24" s="62">
        <v>2</v>
      </c>
      <c r="E24" s="149">
        <v>7231.84</v>
      </c>
      <c r="F24" s="81">
        <f t="shared" si="0"/>
        <v>14463.68</v>
      </c>
      <c r="G24" s="81">
        <f t="shared" si="1"/>
        <v>17356.419999999998</v>
      </c>
    </row>
    <row r="25" spans="1:8" ht="41.4" x14ac:dyDescent="0.3">
      <c r="A25" s="72">
        <f t="shared" si="3"/>
        <v>19</v>
      </c>
      <c r="B25" s="60" t="s">
        <v>385</v>
      </c>
      <c r="C25" s="59" t="s">
        <v>207</v>
      </c>
      <c r="D25" s="62">
        <v>1</v>
      </c>
      <c r="E25" s="149">
        <v>12816.51</v>
      </c>
      <c r="F25" s="81">
        <f t="shared" si="0"/>
        <v>12816.51</v>
      </c>
      <c r="G25" s="81">
        <f t="shared" si="1"/>
        <v>15379.81</v>
      </c>
    </row>
    <row r="26" spans="1:8" ht="15.6" x14ac:dyDescent="0.3">
      <c r="A26" s="72">
        <f t="shared" si="3"/>
        <v>20</v>
      </c>
      <c r="B26" s="60" t="s">
        <v>386</v>
      </c>
      <c r="C26" s="59" t="s">
        <v>207</v>
      </c>
      <c r="D26" s="62">
        <v>1</v>
      </c>
      <c r="E26" s="149">
        <v>3933.74</v>
      </c>
      <c r="F26" s="81">
        <f t="shared" si="0"/>
        <v>3933.74</v>
      </c>
      <c r="G26" s="81">
        <f t="shared" si="1"/>
        <v>4720.49</v>
      </c>
    </row>
    <row r="27" spans="1:8" ht="15.6" x14ac:dyDescent="0.3">
      <c r="A27" s="72">
        <f t="shared" si="3"/>
        <v>21</v>
      </c>
      <c r="B27" s="60" t="s">
        <v>387</v>
      </c>
      <c r="C27" s="59" t="s">
        <v>207</v>
      </c>
      <c r="D27" s="62">
        <v>1</v>
      </c>
      <c r="E27" s="149">
        <v>10242.219999999999</v>
      </c>
      <c r="F27" s="81">
        <f t="shared" si="0"/>
        <v>10242.219999999999</v>
      </c>
      <c r="G27" s="81">
        <f t="shared" si="1"/>
        <v>12290.66</v>
      </c>
    </row>
    <row r="28" spans="1:8" ht="27.6" x14ac:dyDescent="0.3">
      <c r="A28" s="72">
        <f t="shared" si="3"/>
        <v>22</v>
      </c>
      <c r="B28" s="60" t="s">
        <v>388</v>
      </c>
      <c r="C28" s="59" t="s">
        <v>207</v>
      </c>
      <c r="D28" s="62">
        <v>1</v>
      </c>
      <c r="E28" s="149">
        <v>3397.31</v>
      </c>
      <c r="F28" s="81">
        <f t="shared" si="0"/>
        <v>3397.31</v>
      </c>
      <c r="G28" s="81">
        <f t="shared" si="1"/>
        <v>4076.77</v>
      </c>
    </row>
    <row r="29" spans="1:8" ht="27.6" x14ac:dyDescent="0.3">
      <c r="A29" s="72">
        <f t="shared" si="3"/>
        <v>23</v>
      </c>
      <c r="B29" s="60" t="s">
        <v>389</v>
      </c>
      <c r="C29" s="59" t="s">
        <v>463</v>
      </c>
      <c r="D29" s="62">
        <v>1</v>
      </c>
      <c r="E29" s="149">
        <v>35713.949999999997</v>
      </c>
      <c r="F29" s="81">
        <f t="shared" si="0"/>
        <v>35713.949999999997</v>
      </c>
      <c r="G29" s="81">
        <f t="shared" si="1"/>
        <v>42856.74</v>
      </c>
    </row>
    <row r="30" spans="1:8" ht="15.6" x14ac:dyDescent="0.3">
      <c r="A30" s="72"/>
      <c r="B30" s="58" t="s">
        <v>390</v>
      </c>
      <c r="C30" s="59"/>
      <c r="D30" s="62"/>
      <c r="E30" s="149"/>
      <c r="F30" s="81"/>
      <c r="G30" s="81"/>
    </row>
    <row r="31" spans="1:8" ht="15.6" x14ac:dyDescent="0.3">
      <c r="A31" s="72">
        <f>A29+1</f>
        <v>24</v>
      </c>
      <c r="B31" s="60" t="s">
        <v>459</v>
      </c>
      <c r="C31" s="59" t="s">
        <v>181</v>
      </c>
      <c r="D31" s="63">
        <v>0.7</v>
      </c>
      <c r="E31" s="149">
        <v>4259.21</v>
      </c>
      <c r="F31" s="81">
        <f t="shared" si="0"/>
        <v>2981.45</v>
      </c>
      <c r="G31" s="81">
        <f t="shared" si="1"/>
        <v>3577.74</v>
      </c>
    </row>
    <row r="32" spans="1:8" ht="27.6" x14ac:dyDescent="0.3">
      <c r="A32" s="72">
        <f>A31+1</f>
        <v>25</v>
      </c>
      <c r="B32" s="60" t="s">
        <v>391</v>
      </c>
      <c r="C32" s="59" t="s">
        <v>181</v>
      </c>
      <c r="D32" s="65">
        <v>1.7350000000000001</v>
      </c>
      <c r="E32" s="149">
        <v>32605.8</v>
      </c>
      <c r="F32" s="81">
        <f t="shared" si="0"/>
        <v>56571.06</v>
      </c>
      <c r="G32" s="81">
        <f t="shared" si="1"/>
        <v>67885.27</v>
      </c>
      <c r="H32">
        <v>18174</v>
      </c>
    </row>
    <row r="33" spans="1:8" ht="15.6" x14ac:dyDescent="0.3">
      <c r="A33" s="72"/>
      <c r="B33" s="58" t="s">
        <v>392</v>
      </c>
      <c r="C33" s="59"/>
      <c r="D33" s="62"/>
      <c r="E33" s="149"/>
      <c r="F33" s="81"/>
      <c r="G33" s="81"/>
    </row>
    <row r="34" spans="1:8" ht="27.6" x14ac:dyDescent="0.3">
      <c r="A34" s="72">
        <f>A32+1</f>
        <v>26</v>
      </c>
      <c r="B34" s="60" t="s">
        <v>393</v>
      </c>
      <c r="C34" s="59" t="s">
        <v>181</v>
      </c>
      <c r="D34" s="62">
        <v>2</v>
      </c>
      <c r="E34" s="149">
        <v>26084.63</v>
      </c>
      <c r="F34" s="81">
        <f t="shared" si="0"/>
        <v>52169.26</v>
      </c>
      <c r="G34" s="81">
        <f t="shared" ref="G34:G36" si="4">ROUND(F34*1.2,2)</f>
        <v>62603.11</v>
      </c>
    </row>
    <row r="35" spans="1:8" ht="15.6" x14ac:dyDescent="0.3">
      <c r="A35" s="72"/>
      <c r="B35" s="60" t="s">
        <v>460</v>
      </c>
      <c r="C35" s="59" t="s">
        <v>218</v>
      </c>
      <c r="D35" s="63">
        <v>4.4000000000000004</v>
      </c>
      <c r="E35" s="149">
        <v>436.23</v>
      </c>
      <c r="F35" s="81">
        <f t="shared" si="0"/>
        <v>1919.41</v>
      </c>
      <c r="G35" s="81">
        <f t="shared" si="4"/>
        <v>2303.29</v>
      </c>
    </row>
    <row r="36" spans="1:8" ht="27.6" x14ac:dyDescent="0.3">
      <c r="A36" s="72">
        <f>A34+1</f>
        <v>27</v>
      </c>
      <c r="B36" s="60" t="s">
        <v>394</v>
      </c>
      <c r="C36" s="59" t="s">
        <v>218</v>
      </c>
      <c r="D36" s="63">
        <v>4.4000000000000004</v>
      </c>
      <c r="E36" s="149">
        <v>312.27999999999997</v>
      </c>
      <c r="F36" s="81">
        <f t="shared" si="0"/>
        <v>1374.03</v>
      </c>
      <c r="G36" s="81">
        <f t="shared" si="4"/>
        <v>1648.84</v>
      </c>
    </row>
    <row r="37" spans="1:8" ht="15.6" x14ac:dyDescent="0.3">
      <c r="A37" s="72"/>
      <c r="B37" s="58" t="s">
        <v>395</v>
      </c>
      <c r="C37" s="59"/>
      <c r="D37" s="61"/>
      <c r="E37" s="149"/>
      <c r="F37" s="81"/>
      <c r="G37" s="81"/>
    </row>
    <row r="38" spans="1:8" ht="15.6" x14ac:dyDescent="0.3">
      <c r="A38" s="72">
        <f>A36+1</f>
        <v>28</v>
      </c>
      <c r="B38" s="60" t="s">
        <v>396</v>
      </c>
      <c r="C38" s="59" t="s">
        <v>182</v>
      </c>
      <c r="D38" s="62">
        <v>31</v>
      </c>
      <c r="E38" s="149">
        <v>769.25</v>
      </c>
      <c r="F38" s="81">
        <f t="shared" si="0"/>
        <v>23846.75</v>
      </c>
      <c r="G38" s="81">
        <f t="shared" ref="G38:G40" si="5">ROUND(F38*1.2,2)</f>
        <v>28616.1</v>
      </c>
    </row>
    <row r="39" spans="1:8" ht="15.6" x14ac:dyDescent="0.3">
      <c r="A39" s="72">
        <f>A38+1</f>
        <v>29</v>
      </c>
      <c r="B39" s="60" t="s">
        <v>397</v>
      </c>
      <c r="C39" s="59" t="s">
        <v>218</v>
      </c>
      <c r="D39" s="61">
        <v>1.23</v>
      </c>
      <c r="E39" s="149">
        <v>433.62</v>
      </c>
      <c r="F39" s="81">
        <f t="shared" si="0"/>
        <v>533.35</v>
      </c>
      <c r="G39" s="81">
        <f t="shared" si="5"/>
        <v>640.02</v>
      </c>
    </row>
    <row r="40" spans="1:8" ht="27.6" x14ac:dyDescent="0.3">
      <c r="A40" s="72">
        <f>A39+1</f>
        <v>30</v>
      </c>
      <c r="B40" s="60" t="s">
        <v>398</v>
      </c>
      <c r="C40" s="59" t="s">
        <v>218</v>
      </c>
      <c r="D40" s="61">
        <v>1.23</v>
      </c>
      <c r="E40" s="149">
        <v>312.27999999999997</v>
      </c>
      <c r="F40" s="81">
        <f t="shared" si="0"/>
        <v>384.1</v>
      </c>
      <c r="G40" s="81">
        <f t="shared" si="5"/>
        <v>460.92</v>
      </c>
      <c r="H40" s="168"/>
    </row>
    <row r="41" spans="1:8" ht="28.5" customHeight="1" x14ac:dyDescent="0.3">
      <c r="A41" s="134"/>
      <c r="B41" s="455" t="s">
        <v>277</v>
      </c>
      <c r="C41" s="456"/>
      <c r="D41" s="457"/>
      <c r="E41" s="135"/>
      <c r="F41" s="136"/>
      <c r="G41" s="146"/>
    </row>
    <row r="42" spans="1:8" ht="16.5" customHeight="1" x14ac:dyDescent="0.3">
      <c r="A42" s="59"/>
      <c r="B42" s="58" t="s">
        <v>247</v>
      </c>
      <c r="C42" s="59"/>
      <c r="D42" s="148"/>
      <c r="E42" s="144"/>
      <c r="F42" s="141"/>
      <c r="G42" s="147"/>
    </row>
    <row r="43" spans="1:8" ht="27.6" x14ac:dyDescent="0.3">
      <c r="A43" s="59">
        <f>A40+1</f>
        <v>31</v>
      </c>
      <c r="B43" s="60" t="s">
        <v>399</v>
      </c>
      <c r="C43" s="89" t="s">
        <v>181</v>
      </c>
      <c r="D43" s="62">
        <v>759</v>
      </c>
      <c r="E43" s="149">
        <v>90.47</v>
      </c>
      <c r="F43" s="81">
        <f t="shared" ref="F43:F68" si="6">ROUND(E43*D43,2)</f>
        <v>68666.73</v>
      </c>
      <c r="G43" s="81">
        <f t="shared" ref="G43:G68" si="7">ROUND(F43*1.2,2)</f>
        <v>82400.08</v>
      </c>
      <c r="H43">
        <v>325</v>
      </c>
    </row>
    <row r="44" spans="1:8" ht="15.6" x14ac:dyDescent="0.3">
      <c r="A44" s="59">
        <f t="shared" ref="A44:A64" si="8">A43+1</f>
        <v>32</v>
      </c>
      <c r="B44" s="60" t="s">
        <v>370</v>
      </c>
      <c r="C44" s="89" t="s">
        <v>181</v>
      </c>
      <c r="D44" s="62">
        <v>23</v>
      </c>
      <c r="E44" s="149">
        <v>1860.11</v>
      </c>
      <c r="F44" s="81">
        <f t="shared" si="6"/>
        <v>42782.53</v>
      </c>
      <c r="G44" s="81">
        <f t="shared" si="7"/>
        <v>51339.040000000001</v>
      </c>
      <c r="H44">
        <v>1777</v>
      </c>
    </row>
    <row r="45" spans="1:8" ht="15.6" x14ac:dyDescent="0.3">
      <c r="A45" s="59">
        <f t="shared" si="8"/>
        <v>33</v>
      </c>
      <c r="B45" s="60" t="s">
        <v>371</v>
      </c>
      <c r="C45" s="89" t="s">
        <v>181</v>
      </c>
      <c r="D45" s="62">
        <v>39</v>
      </c>
      <c r="E45" s="149">
        <v>1155.67</v>
      </c>
      <c r="F45" s="81">
        <f t="shared" si="6"/>
        <v>45071.13</v>
      </c>
      <c r="G45" s="81">
        <f t="shared" si="7"/>
        <v>54085.36</v>
      </c>
    </row>
    <row r="46" spans="1:8" ht="15.6" x14ac:dyDescent="0.3">
      <c r="A46" s="59">
        <f t="shared" si="8"/>
        <v>34</v>
      </c>
      <c r="B46" s="60" t="s">
        <v>250</v>
      </c>
      <c r="C46" s="89" t="s">
        <v>181</v>
      </c>
      <c r="D46" s="62">
        <v>8</v>
      </c>
      <c r="E46" s="149">
        <v>1456.66</v>
      </c>
      <c r="F46" s="81">
        <f t="shared" si="6"/>
        <v>11653.28</v>
      </c>
      <c r="G46" s="81">
        <f t="shared" si="7"/>
        <v>13983.94</v>
      </c>
      <c r="H46">
        <v>1379</v>
      </c>
    </row>
    <row r="47" spans="1:8" ht="15.6" x14ac:dyDescent="0.3">
      <c r="A47" s="59">
        <f t="shared" si="8"/>
        <v>35</v>
      </c>
      <c r="B47" s="60" t="s">
        <v>372</v>
      </c>
      <c r="C47" s="89" t="s">
        <v>181</v>
      </c>
      <c r="D47" s="62">
        <v>39</v>
      </c>
      <c r="E47" s="149">
        <v>856.54</v>
      </c>
      <c r="F47" s="81">
        <f t="shared" si="6"/>
        <v>33405.06</v>
      </c>
      <c r="G47" s="81">
        <f t="shared" si="7"/>
        <v>40086.07</v>
      </c>
      <c r="H47">
        <v>1379</v>
      </c>
    </row>
    <row r="48" spans="1:8" ht="15.6" x14ac:dyDescent="0.3">
      <c r="A48" s="59">
        <f t="shared" si="8"/>
        <v>36</v>
      </c>
      <c r="B48" s="60" t="s">
        <v>248</v>
      </c>
      <c r="C48" s="89" t="s">
        <v>181</v>
      </c>
      <c r="D48" s="62">
        <v>694</v>
      </c>
      <c r="E48" s="149">
        <v>9.73</v>
      </c>
      <c r="F48" s="81">
        <f t="shared" si="6"/>
        <v>6752.62</v>
      </c>
      <c r="G48" s="81">
        <f t="shared" si="7"/>
        <v>8103.14</v>
      </c>
      <c r="H48">
        <v>125</v>
      </c>
    </row>
    <row r="49" spans="1:9" ht="15.6" x14ac:dyDescent="0.3">
      <c r="A49" s="59">
        <f t="shared" si="8"/>
        <v>37</v>
      </c>
      <c r="B49" s="60" t="s">
        <v>245</v>
      </c>
      <c r="C49" s="89" t="s">
        <v>181</v>
      </c>
      <c r="D49" s="62">
        <v>694</v>
      </c>
      <c r="E49" s="149">
        <v>197.58</v>
      </c>
      <c r="F49" s="81">
        <f t="shared" si="6"/>
        <v>137120.51999999999</v>
      </c>
      <c r="G49" s="81">
        <f t="shared" si="7"/>
        <v>164544.62</v>
      </c>
      <c r="H49">
        <v>198</v>
      </c>
    </row>
    <row r="50" spans="1:9" ht="15.6" x14ac:dyDescent="0.3">
      <c r="A50" s="59">
        <f t="shared" si="8"/>
        <v>38</v>
      </c>
      <c r="B50" s="60" t="s">
        <v>249</v>
      </c>
      <c r="C50" s="89" t="s">
        <v>181</v>
      </c>
      <c r="D50" s="62">
        <v>37</v>
      </c>
      <c r="E50" s="149">
        <v>856.54</v>
      </c>
      <c r="F50" s="81">
        <f t="shared" si="6"/>
        <v>31691.98</v>
      </c>
      <c r="G50" s="81">
        <f t="shared" si="7"/>
        <v>38030.379999999997</v>
      </c>
      <c r="H50">
        <v>899</v>
      </c>
    </row>
    <row r="51" spans="1:9" ht="27.6" x14ac:dyDescent="0.3">
      <c r="A51" s="59">
        <f t="shared" si="8"/>
        <v>39</v>
      </c>
      <c r="B51" s="60" t="s">
        <v>373</v>
      </c>
      <c r="C51" s="89" t="s">
        <v>218</v>
      </c>
      <c r="D51" s="63">
        <v>81.599999999999994</v>
      </c>
      <c r="E51" s="149">
        <v>67.760000000000005</v>
      </c>
      <c r="F51" s="81">
        <f t="shared" si="6"/>
        <v>5529.22</v>
      </c>
      <c r="G51" s="81">
        <f t="shared" si="7"/>
        <v>6635.06</v>
      </c>
      <c r="H51">
        <v>325</v>
      </c>
    </row>
    <row r="52" spans="1:9" ht="27.6" x14ac:dyDescent="0.3">
      <c r="A52" s="59">
        <f t="shared" si="8"/>
        <v>40</v>
      </c>
      <c r="B52" s="60" t="s">
        <v>374</v>
      </c>
      <c r="C52" s="59" t="s">
        <v>218</v>
      </c>
      <c r="D52" s="63">
        <v>81.599999999999994</v>
      </c>
      <c r="E52" s="149">
        <v>312.27999999999997</v>
      </c>
      <c r="F52" s="81">
        <f t="shared" si="6"/>
        <v>25482.05</v>
      </c>
      <c r="G52" s="81">
        <f t="shared" si="7"/>
        <v>30578.46</v>
      </c>
      <c r="H52">
        <v>3460</v>
      </c>
      <c r="I52" s="169" t="s">
        <v>461</v>
      </c>
    </row>
    <row r="53" spans="1:9" ht="15.6" x14ac:dyDescent="0.3">
      <c r="A53" s="59"/>
      <c r="B53" s="58" t="s">
        <v>251</v>
      </c>
      <c r="C53" s="59"/>
      <c r="D53" s="61"/>
      <c r="E53" s="149"/>
      <c r="F53" s="81"/>
      <c r="G53" s="81"/>
    </row>
    <row r="54" spans="1:9" ht="27.6" x14ac:dyDescent="0.3">
      <c r="A54" s="59">
        <f>A52+1</f>
        <v>41</v>
      </c>
      <c r="B54" s="60" t="s">
        <v>400</v>
      </c>
      <c r="C54" s="59" t="s">
        <v>182</v>
      </c>
      <c r="D54" s="62">
        <v>97</v>
      </c>
      <c r="E54" s="149">
        <v>1045.03</v>
      </c>
      <c r="F54" s="81">
        <f t="shared" si="6"/>
        <v>101367.91</v>
      </c>
      <c r="G54" s="81">
        <f t="shared" si="7"/>
        <v>121641.49</v>
      </c>
    </row>
    <row r="55" spans="1:9" ht="41.4" x14ac:dyDescent="0.3">
      <c r="A55" s="59">
        <f t="shared" si="8"/>
        <v>42</v>
      </c>
      <c r="B55" s="60" t="s">
        <v>401</v>
      </c>
      <c r="C55" s="59" t="s">
        <v>182</v>
      </c>
      <c r="D55" s="62">
        <v>6</v>
      </c>
      <c r="E55" s="149">
        <v>1960.07</v>
      </c>
      <c r="F55" s="81">
        <f t="shared" si="6"/>
        <v>11760.42</v>
      </c>
      <c r="G55" s="81">
        <f t="shared" si="7"/>
        <v>14112.5</v>
      </c>
    </row>
    <row r="56" spans="1:9" ht="27.6" x14ac:dyDescent="0.3">
      <c r="A56" s="59">
        <f t="shared" si="8"/>
        <v>43</v>
      </c>
      <c r="B56" s="60" t="s">
        <v>402</v>
      </c>
      <c r="C56" s="59" t="s">
        <v>207</v>
      </c>
      <c r="D56" s="62">
        <v>1</v>
      </c>
      <c r="E56" s="149">
        <v>8983.23</v>
      </c>
      <c r="F56" s="81">
        <f t="shared" si="6"/>
        <v>8983.23</v>
      </c>
      <c r="G56" s="81">
        <f t="shared" si="7"/>
        <v>10779.88</v>
      </c>
    </row>
    <row r="57" spans="1:9" ht="27.6" x14ac:dyDescent="0.3">
      <c r="A57" s="59">
        <f t="shared" si="8"/>
        <v>44</v>
      </c>
      <c r="B57" s="60" t="s">
        <v>403</v>
      </c>
      <c r="C57" s="59" t="s">
        <v>207</v>
      </c>
      <c r="D57" s="62">
        <v>1</v>
      </c>
      <c r="E57" s="149">
        <v>4477.97</v>
      </c>
      <c r="F57" s="81">
        <f t="shared" si="6"/>
        <v>4477.97</v>
      </c>
      <c r="G57" s="81">
        <f t="shared" si="7"/>
        <v>5373.56</v>
      </c>
    </row>
    <row r="58" spans="1:9" ht="15.6" x14ac:dyDescent="0.3">
      <c r="A58" s="59">
        <f t="shared" si="8"/>
        <v>45</v>
      </c>
      <c r="B58" s="60" t="s">
        <v>404</v>
      </c>
      <c r="C58" s="59" t="s">
        <v>207</v>
      </c>
      <c r="D58" s="62">
        <v>8</v>
      </c>
      <c r="E58" s="149">
        <v>592.5</v>
      </c>
      <c r="F58" s="81">
        <f t="shared" si="6"/>
        <v>4740</v>
      </c>
      <c r="G58" s="81">
        <f t="shared" si="7"/>
        <v>5688</v>
      </c>
    </row>
    <row r="59" spans="1:9" ht="27.6" x14ac:dyDescent="0.3">
      <c r="A59" s="59">
        <f t="shared" si="8"/>
        <v>46</v>
      </c>
      <c r="B59" s="60" t="s">
        <v>382</v>
      </c>
      <c r="C59" s="59" t="s">
        <v>207</v>
      </c>
      <c r="D59" s="62">
        <v>8</v>
      </c>
      <c r="E59" s="149">
        <v>210.41</v>
      </c>
      <c r="F59" s="81">
        <f t="shared" si="6"/>
        <v>1683.28</v>
      </c>
      <c r="G59" s="81">
        <f t="shared" si="7"/>
        <v>2019.94</v>
      </c>
    </row>
    <row r="60" spans="1:9" ht="41.4" x14ac:dyDescent="0.3">
      <c r="A60" s="59">
        <f t="shared" si="8"/>
        <v>47</v>
      </c>
      <c r="B60" s="60" t="s">
        <v>405</v>
      </c>
      <c r="C60" s="59" t="s">
        <v>207</v>
      </c>
      <c r="D60" s="62">
        <v>1</v>
      </c>
      <c r="E60" s="149">
        <v>2066.3000000000002</v>
      </c>
      <c r="F60" s="81">
        <f t="shared" si="6"/>
        <v>2066.3000000000002</v>
      </c>
      <c r="G60" s="81">
        <f t="shared" si="7"/>
        <v>2479.56</v>
      </c>
    </row>
    <row r="61" spans="1:9" ht="41.4" x14ac:dyDescent="0.3">
      <c r="A61" s="59">
        <f t="shared" si="8"/>
        <v>48</v>
      </c>
      <c r="B61" s="60" t="s">
        <v>406</v>
      </c>
      <c r="C61" s="59" t="s">
        <v>207</v>
      </c>
      <c r="D61" s="62">
        <v>1</v>
      </c>
      <c r="E61" s="149">
        <v>3397.31</v>
      </c>
      <c r="F61" s="81">
        <f t="shared" si="6"/>
        <v>3397.31</v>
      </c>
      <c r="G61" s="81">
        <f t="shared" si="7"/>
        <v>4076.77</v>
      </c>
    </row>
    <row r="62" spans="1:9" ht="27.6" x14ac:dyDescent="0.3">
      <c r="A62" s="59">
        <f t="shared" si="8"/>
        <v>49</v>
      </c>
      <c r="B62" s="60" t="s">
        <v>407</v>
      </c>
      <c r="C62" s="59" t="s">
        <v>207</v>
      </c>
      <c r="D62" s="62">
        <v>1</v>
      </c>
      <c r="E62" s="149">
        <v>3317.02</v>
      </c>
      <c r="F62" s="81">
        <f t="shared" si="6"/>
        <v>3317.02</v>
      </c>
      <c r="G62" s="81">
        <f t="shared" si="7"/>
        <v>3980.42</v>
      </c>
    </row>
    <row r="63" spans="1:9" ht="27.6" x14ac:dyDescent="0.3">
      <c r="A63" s="59">
        <f t="shared" si="8"/>
        <v>50</v>
      </c>
      <c r="B63" s="60" t="s">
        <v>408</v>
      </c>
      <c r="C63" s="59" t="s">
        <v>207</v>
      </c>
      <c r="D63" s="62">
        <v>1</v>
      </c>
      <c r="E63" s="149">
        <v>3397.31</v>
      </c>
      <c r="F63" s="81">
        <f t="shared" si="6"/>
        <v>3397.31</v>
      </c>
      <c r="G63" s="81">
        <f t="shared" si="7"/>
        <v>4076.77</v>
      </c>
    </row>
    <row r="64" spans="1:9" ht="27.6" x14ac:dyDescent="0.3">
      <c r="A64" s="59">
        <f t="shared" si="8"/>
        <v>51</v>
      </c>
      <c r="B64" s="60" t="s">
        <v>389</v>
      </c>
      <c r="C64" s="59" t="s">
        <v>463</v>
      </c>
      <c r="D64" s="62">
        <v>1</v>
      </c>
      <c r="E64" s="149">
        <v>30624.26</v>
      </c>
      <c r="F64" s="81">
        <f t="shared" si="6"/>
        <v>30624.26</v>
      </c>
      <c r="G64" s="81">
        <f t="shared" si="7"/>
        <v>36749.11</v>
      </c>
    </row>
    <row r="65" spans="1:9" ht="15.6" x14ac:dyDescent="0.3">
      <c r="A65" s="59"/>
      <c r="B65" s="58" t="s">
        <v>395</v>
      </c>
      <c r="C65" s="59"/>
      <c r="D65" s="62"/>
      <c r="E65" s="149"/>
      <c r="F65" s="81"/>
      <c r="G65" s="81"/>
    </row>
    <row r="66" spans="1:9" ht="15.6" x14ac:dyDescent="0.3">
      <c r="A66" s="59">
        <f>A64+1</f>
        <v>52</v>
      </c>
      <c r="B66" s="60" t="s">
        <v>409</v>
      </c>
      <c r="C66" s="59" t="s">
        <v>182</v>
      </c>
      <c r="D66" s="62">
        <v>97</v>
      </c>
      <c r="E66" s="149">
        <v>728.8</v>
      </c>
      <c r="F66" s="81">
        <f t="shared" si="6"/>
        <v>70693.600000000006</v>
      </c>
      <c r="G66" s="81">
        <f t="shared" ref="G66:G67" si="9">ROUND(F66*1.2,2)</f>
        <v>84832.320000000007</v>
      </c>
    </row>
    <row r="67" spans="1:9" ht="15.6" x14ac:dyDescent="0.3">
      <c r="A67" s="59">
        <f>A66+1</f>
        <v>53</v>
      </c>
      <c r="B67" s="60" t="s">
        <v>397</v>
      </c>
      <c r="C67" s="59" t="s">
        <v>218</v>
      </c>
      <c r="D67" s="62">
        <v>3</v>
      </c>
      <c r="E67" s="149">
        <v>433.62</v>
      </c>
      <c r="F67" s="81">
        <f t="shared" si="6"/>
        <v>1300.8599999999999</v>
      </c>
      <c r="G67" s="81">
        <f t="shared" si="9"/>
        <v>1561.03</v>
      </c>
    </row>
    <row r="68" spans="1:9" ht="27.6" x14ac:dyDescent="0.3">
      <c r="A68" s="59">
        <f>A67+1</f>
        <v>54</v>
      </c>
      <c r="B68" s="60" t="s">
        <v>398</v>
      </c>
      <c r="C68" s="59" t="s">
        <v>218</v>
      </c>
      <c r="D68" s="62">
        <v>3</v>
      </c>
      <c r="E68" s="149">
        <v>312.27999999999997</v>
      </c>
      <c r="F68" s="81">
        <f t="shared" si="6"/>
        <v>936.84</v>
      </c>
      <c r="G68" s="81">
        <f t="shared" si="7"/>
        <v>1124.21</v>
      </c>
    </row>
    <row r="69" spans="1:9" ht="34.5" customHeight="1" x14ac:dyDescent="0.3">
      <c r="A69" s="134"/>
      <c r="B69" s="455" t="s">
        <v>278</v>
      </c>
      <c r="C69" s="456"/>
      <c r="D69" s="457"/>
      <c r="E69" s="135"/>
      <c r="F69" s="136"/>
      <c r="G69" s="146"/>
    </row>
    <row r="70" spans="1:9" x14ac:dyDescent="0.3">
      <c r="A70" s="59"/>
      <c r="B70" s="58" t="s">
        <v>247</v>
      </c>
      <c r="C70" s="59"/>
      <c r="D70" s="148"/>
      <c r="E70" s="144"/>
      <c r="F70" s="141"/>
      <c r="G70" s="147"/>
    </row>
    <row r="71" spans="1:9" ht="27.6" x14ac:dyDescent="0.3">
      <c r="A71" s="59">
        <f>A68+1</f>
        <v>55</v>
      </c>
      <c r="B71" s="60" t="s">
        <v>369</v>
      </c>
      <c r="C71" s="59" t="s">
        <v>181</v>
      </c>
      <c r="D71" s="62">
        <v>1202</v>
      </c>
      <c r="E71" s="149">
        <v>90.47</v>
      </c>
      <c r="F71" s="81">
        <f t="shared" ref="F71:F96" si="10">ROUND(E71*D71,2)</f>
        <v>108744.94</v>
      </c>
      <c r="G71" s="81">
        <f t="shared" ref="G71:G88" si="11">ROUND(F71*1.2,2)</f>
        <v>130493.93</v>
      </c>
      <c r="H71">
        <v>325</v>
      </c>
    </row>
    <row r="72" spans="1:9" ht="15.6" x14ac:dyDescent="0.3">
      <c r="A72" s="59">
        <f>A71+1</f>
        <v>56</v>
      </c>
      <c r="B72" s="60" t="s">
        <v>370</v>
      </c>
      <c r="C72" s="59" t="s">
        <v>181</v>
      </c>
      <c r="D72" s="62">
        <v>36</v>
      </c>
      <c r="E72" s="149">
        <v>1860.11</v>
      </c>
      <c r="F72" s="81">
        <f t="shared" si="10"/>
        <v>66963.960000000006</v>
      </c>
      <c r="G72" s="81">
        <f t="shared" si="11"/>
        <v>80356.75</v>
      </c>
      <c r="H72">
        <v>1777</v>
      </c>
    </row>
    <row r="73" spans="1:9" ht="15.6" x14ac:dyDescent="0.3">
      <c r="A73" s="59">
        <f t="shared" ref="A73:A80" si="12">A72+1</f>
        <v>57</v>
      </c>
      <c r="B73" s="60" t="s">
        <v>371</v>
      </c>
      <c r="C73" s="59" t="s">
        <v>181</v>
      </c>
      <c r="D73" s="62">
        <v>46</v>
      </c>
      <c r="E73" s="149">
        <v>1205.9100000000001</v>
      </c>
      <c r="F73" s="81">
        <f t="shared" si="10"/>
        <v>55471.86</v>
      </c>
      <c r="G73" s="81">
        <f t="shared" si="11"/>
        <v>66566.23</v>
      </c>
    </row>
    <row r="74" spans="1:9" ht="15.6" x14ac:dyDescent="0.3">
      <c r="A74" s="59">
        <f t="shared" si="12"/>
        <v>58</v>
      </c>
      <c r="B74" s="60" t="s">
        <v>250</v>
      </c>
      <c r="C74" s="59" t="s">
        <v>181</v>
      </c>
      <c r="D74" s="62">
        <v>8</v>
      </c>
      <c r="E74" s="149">
        <v>1456.66</v>
      </c>
      <c r="F74" s="81">
        <f t="shared" si="10"/>
        <v>11653.28</v>
      </c>
      <c r="G74" s="81">
        <f t="shared" si="11"/>
        <v>13983.94</v>
      </c>
      <c r="H74">
        <v>1379</v>
      </c>
    </row>
    <row r="75" spans="1:9" ht="15.6" x14ac:dyDescent="0.3">
      <c r="A75" s="59">
        <f t="shared" si="12"/>
        <v>59</v>
      </c>
      <c r="B75" s="60" t="s">
        <v>372</v>
      </c>
      <c r="C75" s="59" t="s">
        <v>181</v>
      </c>
      <c r="D75" s="62">
        <v>48</v>
      </c>
      <c r="E75" s="149">
        <v>856.54</v>
      </c>
      <c r="F75" s="81">
        <f t="shared" si="10"/>
        <v>41113.919999999998</v>
      </c>
      <c r="G75" s="81">
        <f t="shared" si="11"/>
        <v>49336.7</v>
      </c>
      <c r="H75">
        <v>1379</v>
      </c>
    </row>
    <row r="76" spans="1:9" ht="15.6" x14ac:dyDescent="0.3">
      <c r="A76" s="59">
        <f t="shared" si="12"/>
        <v>60</v>
      </c>
      <c r="B76" s="60" t="s">
        <v>410</v>
      </c>
      <c r="C76" s="59" t="s">
        <v>181</v>
      </c>
      <c r="D76" s="62">
        <v>1116</v>
      </c>
      <c r="E76" s="149">
        <v>9.73</v>
      </c>
      <c r="F76" s="81">
        <f t="shared" si="10"/>
        <v>10858.68</v>
      </c>
      <c r="G76" s="81">
        <f t="shared" si="11"/>
        <v>13030.42</v>
      </c>
      <c r="H76">
        <v>125</v>
      </c>
    </row>
    <row r="77" spans="1:9" ht="15.6" x14ac:dyDescent="0.3">
      <c r="A77" s="59">
        <f t="shared" si="12"/>
        <v>61</v>
      </c>
      <c r="B77" s="60" t="s">
        <v>245</v>
      </c>
      <c r="C77" s="59" t="s">
        <v>181</v>
      </c>
      <c r="D77" s="62">
        <v>1116</v>
      </c>
      <c r="E77" s="149">
        <v>197.58</v>
      </c>
      <c r="F77" s="81">
        <f t="shared" si="10"/>
        <v>220499.28</v>
      </c>
      <c r="G77" s="81">
        <f t="shared" si="11"/>
        <v>264599.14</v>
      </c>
      <c r="H77">
        <v>198</v>
      </c>
    </row>
    <row r="78" spans="1:9" ht="15.6" x14ac:dyDescent="0.3">
      <c r="A78" s="59">
        <f t="shared" si="12"/>
        <v>62</v>
      </c>
      <c r="B78" s="60" t="s">
        <v>411</v>
      </c>
      <c r="C78" s="59" t="s">
        <v>181</v>
      </c>
      <c r="D78" s="62">
        <v>59</v>
      </c>
      <c r="E78" s="149">
        <v>856.54</v>
      </c>
      <c r="F78" s="81">
        <f t="shared" si="10"/>
        <v>50535.86</v>
      </c>
      <c r="G78" s="81">
        <f t="shared" si="11"/>
        <v>60643.03</v>
      </c>
      <c r="H78">
        <v>899</v>
      </c>
    </row>
    <row r="79" spans="1:9" ht="27.6" x14ac:dyDescent="0.3">
      <c r="A79" s="59">
        <f t="shared" si="12"/>
        <v>63</v>
      </c>
      <c r="B79" s="60" t="s">
        <v>412</v>
      </c>
      <c r="C79" s="59" t="s">
        <v>218</v>
      </c>
      <c r="D79" s="63">
        <v>100.8</v>
      </c>
      <c r="E79" s="149">
        <v>67.760000000000005</v>
      </c>
      <c r="F79" s="81">
        <f t="shared" si="10"/>
        <v>6830.21</v>
      </c>
      <c r="G79" s="81">
        <f t="shared" si="11"/>
        <v>8196.25</v>
      </c>
      <c r="H79">
        <v>325</v>
      </c>
    </row>
    <row r="80" spans="1:9" ht="27.6" x14ac:dyDescent="0.3">
      <c r="A80" s="59">
        <f t="shared" si="12"/>
        <v>64</v>
      </c>
      <c r="B80" s="60" t="s">
        <v>374</v>
      </c>
      <c r="C80" s="59" t="s">
        <v>218</v>
      </c>
      <c r="D80" s="63">
        <v>100.8</v>
      </c>
      <c r="E80" s="149">
        <v>312.27999999999997</v>
      </c>
      <c r="F80" s="81">
        <f t="shared" si="10"/>
        <v>31477.82</v>
      </c>
      <c r="G80" s="81">
        <f t="shared" si="11"/>
        <v>37773.379999999997</v>
      </c>
      <c r="H80">
        <v>3460</v>
      </c>
      <c r="I80" s="169" t="s">
        <v>461</v>
      </c>
    </row>
    <row r="81" spans="1:7" ht="15.6" x14ac:dyDescent="0.3">
      <c r="A81" s="59"/>
      <c r="B81" s="58" t="s">
        <v>251</v>
      </c>
      <c r="C81" s="59"/>
      <c r="D81" s="61"/>
      <c r="E81" s="149"/>
      <c r="F81" s="81"/>
      <c r="G81" s="81"/>
    </row>
    <row r="82" spans="1:7" ht="27.6" x14ac:dyDescent="0.3">
      <c r="A82" s="59">
        <f>A80+1</f>
        <v>65</v>
      </c>
      <c r="B82" s="60" t="s">
        <v>413</v>
      </c>
      <c r="C82" s="59" t="s">
        <v>182</v>
      </c>
      <c r="D82" s="62">
        <v>82</v>
      </c>
      <c r="E82" s="149">
        <v>1494.21</v>
      </c>
      <c r="F82" s="81">
        <f t="shared" si="10"/>
        <v>122525.22</v>
      </c>
      <c r="G82" s="81">
        <f t="shared" si="11"/>
        <v>147030.26</v>
      </c>
    </row>
    <row r="83" spans="1:7" ht="27.6" x14ac:dyDescent="0.3">
      <c r="A83" s="59">
        <f>A82+1</f>
        <v>66</v>
      </c>
      <c r="B83" s="60" t="s">
        <v>414</v>
      </c>
      <c r="C83" s="59" t="s">
        <v>182</v>
      </c>
      <c r="D83" s="62">
        <v>41</v>
      </c>
      <c r="E83" s="149">
        <v>2559.31</v>
      </c>
      <c r="F83" s="81">
        <f t="shared" si="10"/>
        <v>104931.71</v>
      </c>
      <c r="G83" s="81">
        <f t="shared" si="11"/>
        <v>125918.05</v>
      </c>
    </row>
    <row r="84" spans="1:7" ht="15.6" x14ac:dyDescent="0.3">
      <c r="A84" s="59">
        <f t="shared" ref="A84:A92" si="13">A83+1</f>
        <v>67</v>
      </c>
      <c r="B84" s="60" t="s">
        <v>415</v>
      </c>
      <c r="C84" s="59"/>
      <c r="D84" s="62">
        <v>1</v>
      </c>
      <c r="E84" s="149">
        <v>1504.77</v>
      </c>
      <c r="F84" s="81">
        <f t="shared" si="10"/>
        <v>1504.77</v>
      </c>
      <c r="G84" s="81">
        <f t="shared" si="11"/>
        <v>1805.72</v>
      </c>
    </row>
    <row r="85" spans="1:7" ht="27.6" x14ac:dyDescent="0.3">
      <c r="A85" s="59">
        <f t="shared" si="13"/>
        <v>68</v>
      </c>
      <c r="B85" s="60" t="s">
        <v>416</v>
      </c>
      <c r="C85" s="59" t="s">
        <v>207</v>
      </c>
      <c r="D85" s="62">
        <v>2</v>
      </c>
      <c r="E85" s="149">
        <v>7253.94</v>
      </c>
      <c r="F85" s="81">
        <f t="shared" si="10"/>
        <v>14507.88</v>
      </c>
      <c r="G85" s="81">
        <f t="shared" si="11"/>
        <v>17409.46</v>
      </c>
    </row>
    <row r="86" spans="1:7" ht="27.6" x14ac:dyDescent="0.3">
      <c r="A86" s="59">
        <f t="shared" si="13"/>
        <v>69</v>
      </c>
      <c r="B86" s="60" t="s">
        <v>417</v>
      </c>
      <c r="C86" s="59" t="s">
        <v>207</v>
      </c>
      <c r="D86" s="62">
        <v>2</v>
      </c>
      <c r="E86" s="149">
        <v>6691.94</v>
      </c>
      <c r="F86" s="81">
        <f t="shared" si="10"/>
        <v>13383.88</v>
      </c>
      <c r="G86" s="81">
        <f t="shared" si="11"/>
        <v>16060.66</v>
      </c>
    </row>
    <row r="87" spans="1:7" ht="15.6" x14ac:dyDescent="0.3">
      <c r="A87" s="59">
        <f t="shared" si="13"/>
        <v>70</v>
      </c>
      <c r="B87" s="60" t="s">
        <v>404</v>
      </c>
      <c r="C87" s="59" t="s">
        <v>207</v>
      </c>
      <c r="D87" s="62">
        <v>24</v>
      </c>
      <c r="E87" s="149">
        <v>592.5</v>
      </c>
      <c r="F87" s="81">
        <f t="shared" si="10"/>
        <v>14220</v>
      </c>
      <c r="G87" s="81">
        <f t="shared" si="11"/>
        <v>17064</v>
      </c>
    </row>
    <row r="88" spans="1:7" ht="27.6" x14ac:dyDescent="0.3">
      <c r="A88" s="59">
        <f t="shared" si="13"/>
        <v>71</v>
      </c>
      <c r="B88" s="60" t="s">
        <v>382</v>
      </c>
      <c r="C88" s="59" t="s">
        <v>207</v>
      </c>
      <c r="D88" s="62">
        <v>24</v>
      </c>
      <c r="E88" s="149">
        <v>210.41</v>
      </c>
      <c r="F88" s="81">
        <f t="shared" si="10"/>
        <v>5049.84</v>
      </c>
      <c r="G88" s="81">
        <f t="shared" si="11"/>
        <v>6059.81</v>
      </c>
    </row>
    <row r="89" spans="1:7" ht="41.4" x14ac:dyDescent="0.3">
      <c r="A89" s="59">
        <f t="shared" si="13"/>
        <v>72</v>
      </c>
      <c r="B89" s="60" t="s">
        <v>418</v>
      </c>
      <c r="C89" s="59" t="s">
        <v>207</v>
      </c>
      <c r="D89" s="62">
        <v>2</v>
      </c>
      <c r="E89" s="149">
        <v>2752.92</v>
      </c>
      <c r="F89" s="81">
        <f t="shared" si="10"/>
        <v>5505.84</v>
      </c>
      <c r="G89" s="81">
        <f t="shared" ref="G89:G96" si="14">ROUND(F89*1.2,2)</f>
        <v>6607.01</v>
      </c>
    </row>
    <row r="90" spans="1:7" ht="41.4" x14ac:dyDescent="0.3">
      <c r="A90" s="59">
        <f t="shared" si="13"/>
        <v>73</v>
      </c>
      <c r="B90" s="60" t="s">
        <v>419</v>
      </c>
      <c r="C90" s="59" t="s">
        <v>207</v>
      </c>
      <c r="D90" s="62">
        <v>2</v>
      </c>
      <c r="E90" s="149">
        <v>5356.92</v>
      </c>
      <c r="F90" s="81">
        <f t="shared" si="10"/>
        <v>10713.84</v>
      </c>
      <c r="G90" s="81">
        <f t="shared" si="14"/>
        <v>12856.61</v>
      </c>
    </row>
    <row r="91" spans="1:7" ht="27.6" x14ac:dyDescent="0.3">
      <c r="A91" s="59">
        <f t="shared" si="13"/>
        <v>74</v>
      </c>
      <c r="B91" s="60" t="s">
        <v>420</v>
      </c>
      <c r="C91" s="59" t="s">
        <v>207</v>
      </c>
      <c r="D91" s="62">
        <v>6</v>
      </c>
      <c r="E91" s="149">
        <v>3397.3</v>
      </c>
      <c r="F91" s="81">
        <f t="shared" si="10"/>
        <v>20383.8</v>
      </c>
      <c r="G91" s="81">
        <f t="shared" si="14"/>
        <v>24460.560000000001</v>
      </c>
    </row>
    <row r="92" spans="1:7" ht="27.6" x14ac:dyDescent="0.3">
      <c r="A92" s="59">
        <f t="shared" si="13"/>
        <v>75</v>
      </c>
      <c r="B92" s="60" t="s">
        <v>389</v>
      </c>
      <c r="C92" s="59" t="s">
        <v>463</v>
      </c>
      <c r="D92" s="62">
        <v>1</v>
      </c>
      <c r="E92" s="149">
        <v>42094.04</v>
      </c>
      <c r="F92" s="81">
        <f t="shared" si="10"/>
        <v>42094.04</v>
      </c>
      <c r="G92" s="81">
        <f t="shared" si="14"/>
        <v>50512.85</v>
      </c>
    </row>
    <row r="93" spans="1:7" ht="15.6" x14ac:dyDescent="0.3">
      <c r="A93" s="59"/>
      <c r="B93" s="58" t="s">
        <v>395</v>
      </c>
      <c r="C93" s="59"/>
      <c r="D93" s="62"/>
      <c r="E93" s="149"/>
      <c r="F93" s="81"/>
      <c r="G93" s="81"/>
    </row>
    <row r="94" spans="1:7" ht="23.25" customHeight="1" x14ac:dyDescent="0.3">
      <c r="A94" s="59">
        <f>A92+1</f>
        <v>76</v>
      </c>
      <c r="B94" s="60" t="s">
        <v>421</v>
      </c>
      <c r="C94" s="59" t="s">
        <v>182</v>
      </c>
      <c r="D94" s="62">
        <v>85</v>
      </c>
      <c r="E94" s="149">
        <v>915.99</v>
      </c>
      <c r="F94" s="81">
        <f t="shared" si="10"/>
        <v>77859.149999999994</v>
      </c>
      <c r="G94" s="81">
        <f t="shared" si="14"/>
        <v>93430.98</v>
      </c>
    </row>
    <row r="95" spans="1:7" ht="15.6" x14ac:dyDescent="0.3">
      <c r="A95" s="59">
        <f>A94+1</f>
        <v>77</v>
      </c>
      <c r="B95" s="60" t="s">
        <v>397</v>
      </c>
      <c r="C95" s="59" t="s">
        <v>218</v>
      </c>
      <c r="D95" s="62">
        <v>4</v>
      </c>
      <c r="E95" s="149">
        <v>433.62</v>
      </c>
      <c r="F95" s="81">
        <f t="shared" si="10"/>
        <v>1734.48</v>
      </c>
      <c r="G95" s="81">
        <f t="shared" si="14"/>
        <v>2081.38</v>
      </c>
    </row>
    <row r="96" spans="1:7" ht="15.6" x14ac:dyDescent="0.3">
      <c r="A96" s="59">
        <f>A95+1</f>
        <v>78</v>
      </c>
      <c r="B96" s="60" t="s">
        <v>422</v>
      </c>
      <c r="C96" s="59" t="s">
        <v>218</v>
      </c>
      <c r="D96" s="62">
        <v>4</v>
      </c>
      <c r="E96" s="149">
        <v>312.27999999999997</v>
      </c>
      <c r="F96" s="81">
        <f t="shared" si="10"/>
        <v>1249.1199999999999</v>
      </c>
      <c r="G96" s="81">
        <f t="shared" si="14"/>
        <v>1498.94</v>
      </c>
    </row>
    <row r="97" spans="1:9" ht="32.25" customHeight="1" x14ac:dyDescent="0.3">
      <c r="A97" s="134"/>
      <c r="B97" s="455" t="s">
        <v>279</v>
      </c>
      <c r="C97" s="456"/>
      <c r="D97" s="457"/>
      <c r="E97" s="135"/>
      <c r="F97" s="136"/>
      <c r="G97" s="146"/>
    </row>
    <row r="98" spans="1:9" x14ac:dyDescent="0.3">
      <c r="A98" s="59"/>
      <c r="B98" s="58" t="s">
        <v>247</v>
      </c>
      <c r="C98" s="59"/>
      <c r="D98" s="62"/>
      <c r="E98" s="144"/>
      <c r="F98" s="141"/>
      <c r="G98" s="147"/>
    </row>
    <row r="99" spans="1:9" ht="27.6" x14ac:dyDescent="0.3">
      <c r="A99" s="59">
        <f>A96+1</f>
        <v>79</v>
      </c>
      <c r="B99" s="60" t="s">
        <v>369</v>
      </c>
      <c r="C99" s="59" t="s">
        <v>181</v>
      </c>
      <c r="D99" s="62">
        <v>1328</v>
      </c>
      <c r="E99" s="149">
        <v>90.47</v>
      </c>
      <c r="F99" s="81">
        <f t="shared" ref="F99:F120" si="15">ROUND(E99*D99,2)</f>
        <v>120144.16</v>
      </c>
      <c r="G99" s="81">
        <f t="shared" ref="G99:G120" si="16">ROUND(F99*1.2,2)</f>
        <v>144172.99</v>
      </c>
      <c r="H99">
        <v>325</v>
      </c>
    </row>
    <row r="100" spans="1:9" ht="15.6" x14ac:dyDescent="0.3">
      <c r="A100" s="59">
        <f>A99+1</f>
        <v>80</v>
      </c>
      <c r="B100" s="60" t="s">
        <v>370</v>
      </c>
      <c r="C100" s="59" t="s">
        <v>181</v>
      </c>
      <c r="D100" s="62">
        <v>40</v>
      </c>
      <c r="E100" s="149">
        <v>1860.11</v>
      </c>
      <c r="F100" s="81">
        <f t="shared" si="15"/>
        <v>74404.399999999994</v>
      </c>
      <c r="G100" s="81">
        <f t="shared" si="16"/>
        <v>89285.28</v>
      </c>
      <c r="H100">
        <v>1777</v>
      </c>
    </row>
    <row r="101" spans="1:9" ht="15.6" x14ac:dyDescent="0.3">
      <c r="A101" s="59">
        <f t="shared" ref="A101:A109" si="17">A100+1</f>
        <v>81</v>
      </c>
      <c r="B101" s="60" t="s">
        <v>371</v>
      </c>
      <c r="C101" s="59" t="s">
        <v>181</v>
      </c>
      <c r="D101" s="62">
        <v>15</v>
      </c>
      <c r="E101" s="149">
        <v>1155.67</v>
      </c>
      <c r="F101" s="81">
        <f t="shared" si="15"/>
        <v>17335.05</v>
      </c>
      <c r="G101" s="81">
        <f t="shared" si="16"/>
        <v>20802.060000000001</v>
      </c>
    </row>
    <row r="102" spans="1:9" ht="15.6" x14ac:dyDescent="0.3">
      <c r="A102" s="59">
        <f t="shared" si="17"/>
        <v>82</v>
      </c>
      <c r="B102" s="60" t="s">
        <v>250</v>
      </c>
      <c r="C102" s="59" t="s">
        <v>181</v>
      </c>
      <c r="D102" s="62">
        <v>4</v>
      </c>
      <c r="E102" s="149">
        <v>1456.66</v>
      </c>
      <c r="F102" s="81">
        <f t="shared" si="15"/>
        <v>5826.64</v>
      </c>
      <c r="G102" s="81">
        <f t="shared" si="16"/>
        <v>6991.97</v>
      </c>
      <c r="H102">
        <v>1379</v>
      </c>
    </row>
    <row r="103" spans="1:9" ht="15.6" x14ac:dyDescent="0.3">
      <c r="A103" s="59">
        <f t="shared" si="17"/>
        <v>83</v>
      </c>
      <c r="B103" s="60" t="s">
        <v>372</v>
      </c>
      <c r="C103" s="59" t="s">
        <v>181</v>
      </c>
      <c r="D103" s="62">
        <v>15</v>
      </c>
      <c r="E103" s="149">
        <v>856.54</v>
      </c>
      <c r="F103" s="81">
        <f t="shared" si="15"/>
        <v>12848.1</v>
      </c>
      <c r="G103" s="81">
        <f t="shared" si="16"/>
        <v>15417.72</v>
      </c>
      <c r="H103">
        <v>1379</v>
      </c>
    </row>
    <row r="104" spans="1:9" ht="15.6" x14ac:dyDescent="0.3">
      <c r="A104" s="59">
        <f t="shared" si="17"/>
        <v>84</v>
      </c>
      <c r="B104" s="60" t="s">
        <v>410</v>
      </c>
      <c r="C104" s="59" t="s">
        <v>181</v>
      </c>
      <c r="D104" s="62">
        <v>1280</v>
      </c>
      <c r="E104" s="149">
        <v>9.73</v>
      </c>
      <c r="F104" s="81">
        <f t="shared" si="15"/>
        <v>12454.4</v>
      </c>
      <c r="G104" s="81">
        <f t="shared" si="16"/>
        <v>14945.28</v>
      </c>
      <c r="H104">
        <v>125</v>
      </c>
    </row>
    <row r="105" spans="1:9" ht="15.6" x14ac:dyDescent="0.3">
      <c r="A105" s="59">
        <f t="shared" si="17"/>
        <v>85</v>
      </c>
      <c r="B105" s="60" t="s">
        <v>245</v>
      </c>
      <c r="C105" s="59" t="s">
        <v>181</v>
      </c>
      <c r="D105" s="62">
        <v>1280</v>
      </c>
      <c r="E105" s="149">
        <v>197.58</v>
      </c>
      <c r="F105" s="81">
        <f t="shared" si="15"/>
        <v>252902.39999999999</v>
      </c>
      <c r="G105" s="81">
        <f t="shared" si="16"/>
        <v>303482.88</v>
      </c>
      <c r="H105">
        <v>198</v>
      </c>
    </row>
    <row r="106" spans="1:9" ht="15.6" x14ac:dyDescent="0.3">
      <c r="A106" s="59">
        <f t="shared" si="17"/>
        <v>86</v>
      </c>
      <c r="B106" s="60" t="s">
        <v>411</v>
      </c>
      <c r="C106" s="59" t="s">
        <v>181</v>
      </c>
      <c r="D106" s="62">
        <v>67</v>
      </c>
      <c r="E106" s="149">
        <v>856.54</v>
      </c>
      <c r="F106" s="81">
        <f t="shared" si="15"/>
        <v>57388.18</v>
      </c>
      <c r="G106" s="81">
        <f t="shared" si="16"/>
        <v>68865.820000000007</v>
      </c>
      <c r="H106">
        <v>899</v>
      </c>
    </row>
    <row r="107" spans="1:9" ht="27.6" x14ac:dyDescent="0.3">
      <c r="A107" s="59">
        <f t="shared" si="17"/>
        <v>87</v>
      </c>
      <c r="B107" s="60" t="s">
        <v>412</v>
      </c>
      <c r="C107" s="59" t="s">
        <v>218</v>
      </c>
      <c r="D107" s="63">
        <v>33.6</v>
      </c>
      <c r="E107" s="149">
        <v>67.760000000000005</v>
      </c>
      <c r="F107" s="81">
        <f t="shared" si="15"/>
        <v>2276.7399999999998</v>
      </c>
      <c r="G107" s="81">
        <f t="shared" si="16"/>
        <v>2732.09</v>
      </c>
      <c r="H107">
        <v>325</v>
      </c>
    </row>
    <row r="108" spans="1:9" ht="27.6" x14ac:dyDescent="0.3">
      <c r="A108" s="59">
        <f t="shared" si="17"/>
        <v>88</v>
      </c>
      <c r="B108" s="60" t="s">
        <v>374</v>
      </c>
      <c r="C108" s="59" t="s">
        <v>218</v>
      </c>
      <c r="D108" s="63">
        <v>33.6</v>
      </c>
      <c r="E108" s="149">
        <v>312.27999999999997</v>
      </c>
      <c r="F108" s="81">
        <f t="shared" si="15"/>
        <v>10492.61</v>
      </c>
      <c r="G108" s="81">
        <f t="shared" si="16"/>
        <v>12591.13</v>
      </c>
      <c r="H108">
        <v>3460</v>
      </c>
      <c r="I108" s="169" t="s">
        <v>461</v>
      </c>
    </row>
    <row r="109" spans="1:9" ht="27.6" x14ac:dyDescent="0.3">
      <c r="A109" s="59">
        <f t="shared" si="17"/>
        <v>89</v>
      </c>
      <c r="B109" s="60" t="s">
        <v>423</v>
      </c>
      <c r="C109" s="59" t="s">
        <v>234</v>
      </c>
      <c r="D109" s="62">
        <v>127</v>
      </c>
      <c r="E109" s="149">
        <v>306.77</v>
      </c>
      <c r="F109" s="81">
        <f t="shared" si="15"/>
        <v>38959.79</v>
      </c>
      <c r="G109" s="81">
        <f t="shared" si="16"/>
        <v>46751.75</v>
      </c>
    </row>
    <row r="110" spans="1:9" ht="21.75" customHeight="1" x14ac:dyDescent="0.3">
      <c r="A110" s="59"/>
      <c r="B110" s="58" t="s">
        <v>251</v>
      </c>
      <c r="C110" s="59"/>
      <c r="D110" s="62"/>
      <c r="E110" s="149"/>
      <c r="F110" s="81"/>
      <c r="G110" s="81"/>
    </row>
    <row r="111" spans="1:9" ht="27.6" x14ac:dyDescent="0.3">
      <c r="A111" s="59">
        <f>A109+1</f>
        <v>90</v>
      </c>
      <c r="B111" s="60" t="s">
        <v>424</v>
      </c>
      <c r="C111" s="59" t="s">
        <v>182</v>
      </c>
      <c r="D111" s="62">
        <v>42</v>
      </c>
      <c r="E111" s="149">
        <v>1045.03</v>
      </c>
      <c r="F111" s="81">
        <f t="shared" si="15"/>
        <v>43891.26</v>
      </c>
      <c r="G111" s="81">
        <f t="shared" si="16"/>
        <v>52669.51</v>
      </c>
    </row>
    <row r="112" spans="1:9" ht="41.4" x14ac:dyDescent="0.3">
      <c r="A112" s="59">
        <f>A111+1</f>
        <v>91</v>
      </c>
      <c r="B112" s="60" t="s">
        <v>425</v>
      </c>
      <c r="C112" s="59" t="s">
        <v>182</v>
      </c>
      <c r="D112" s="62">
        <v>6</v>
      </c>
      <c r="E112" s="149">
        <v>1960.07</v>
      </c>
      <c r="F112" s="81">
        <f t="shared" si="15"/>
        <v>11760.42</v>
      </c>
      <c r="G112" s="81">
        <f t="shared" si="16"/>
        <v>14112.5</v>
      </c>
    </row>
    <row r="113" spans="1:8" ht="41.4" x14ac:dyDescent="0.3">
      <c r="A113" s="59">
        <f t="shared" ref="A113:A116" si="18">A112+1</f>
        <v>92</v>
      </c>
      <c r="B113" s="60" t="s">
        <v>426</v>
      </c>
      <c r="C113" s="59" t="s">
        <v>207</v>
      </c>
      <c r="D113" s="62">
        <v>2</v>
      </c>
      <c r="E113" s="149">
        <v>1871.48</v>
      </c>
      <c r="F113" s="81">
        <f t="shared" si="15"/>
        <v>3742.96</v>
      </c>
      <c r="G113" s="81">
        <f t="shared" si="16"/>
        <v>4491.55</v>
      </c>
    </row>
    <row r="114" spans="1:8" ht="41.4" x14ac:dyDescent="0.3">
      <c r="A114" s="59">
        <f t="shared" si="18"/>
        <v>93</v>
      </c>
      <c r="B114" s="60" t="s">
        <v>427</v>
      </c>
      <c r="C114" s="59" t="s">
        <v>207</v>
      </c>
      <c r="D114" s="62">
        <v>2</v>
      </c>
      <c r="E114" s="149">
        <v>6085.16</v>
      </c>
      <c r="F114" s="81">
        <f t="shared" si="15"/>
        <v>12170.32</v>
      </c>
      <c r="G114" s="81">
        <f t="shared" si="16"/>
        <v>14604.38</v>
      </c>
    </row>
    <row r="115" spans="1:8" ht="27.6" x14ac:dyDescent="0.3">
      <c r="A115" s="59">
        <f t="shared" si="18"/>
        <v>94</v>
      </c>
      <c r="B115" s="60" t="s">
        <v>388</v>
      </c>
      <c r="C115" s="59" t="s">
        <v>207</v>
      </c>
      <c r="D115" s="62">
        <v>1</v>
      </c>
      <c r="E115" s="149">
        <v>3397.31</v>
      </c>
      <c r="F115" s="81">
        <f t="shared" si="15"/>
        <v>3397.31</v>
      </c>
      <c r="G115" s="81">
        <f t="shared" si="16"/>
        <v>4076.77</v>
      </c>
    </row>
    <row r="116" spans="1:8" ht="30" customHeight="1" x14ac:dyDescent="0.3">
      <c r="A116" s="59">
        <f t="shared" si="18"/>
        <v>95</v>
      </c>
      <c r="B116" s="60" t="s">
        <v>389</v>
      </c>
      <c r="C116" s="59" t="s">
        <v>463</v>
      </c>
      <c r="D116" s="62">
        <v>1</v>
      </c>
      <c r="E116" s="149">
        <v>30624.26</v>
      </c>
      <c r="F116" s="81">
        <f t="shared" si="15"/>
        <v>30624.26</v>
      </c>
      <c r="G116" s="81">
        <f t="shared" si="16"/>
        <v>36749.11</v>
      </c>
    </row>
    <row r="117" spans="1:8" ht="22.5" customHeight="1" x14ac:dyDescent="0.3">
      <c r="A117" s="59"/>
      <c r="B117" s="58" t="s">
        <v>395</v>
      </c>
      <c r="C117" s="59"/>
      <c r="D117" s="62"/>
      <c r="E117" s="149"/>
      <c r="F117" s="81"/>
      <c r="G117" s="81"/>
    </row>
    <row r="118" spans="1:8" ht="15.6" x14ac:dyDescent="0.3">
      <c r="A118" s="59">
        <f>A116+1</f>
        <v>96</v>
      </c>
      <c r="B118" s="60" t="s">
        <v>428</v>
      </c>
      <c r="C118" s="59" t="s">
        <v>182</v>
      </c>
      <c r="D118" s="62">
        <v>42</v>
      </c>
      <c r="E118" s="149">
        <v>728.05</v>
      </c>
      <c r="F118" s="81">
        <f t="shared" si="15"/>
        <v>30578.1</v>
      </c>
      <c r="G118" s="81">
        <f t="shared" si="16"/>
        <v>36693.72</v>
      </c>
    </row>
    <row r="119" spans="1:8" ht="15.6" x14ac:dyDescent="0.3">
      <c r="A119" s="59">
        <f>A118+1</f>
        <v>97</v>
      </c>
      <c r="B119" s="60" t="s">
        <v>430</v>
      </c>
      <c r="C119" s="59" t="s">
        <v>218</v>
      </c>
      <c r="D119" s="63">
        <v>0.6</v>
      </c>
      <c r="E119" s="149">
        <v>436.17</v>
      </c>
      <c r="F119" s="81">
        <f t="shared" si="15"/>
        <v>261.7</v>
      </c>
      <c r="G119" s="81">
        <f t="shared" si="16"/>
        <v>314.04000000000002</v>
      </c>
    </row>
    <row r="120" spans="1:8" ht="15.6" x14ac:dyDescent="0.3">
      <c r="A120" s="59">
        <f>A119+1</f>
        <v>98</v>
      </c>
      <c r="B120" s="60" t="s">
        <v>429</v>
      </c>
      <c r="C120" s="59" t="s">
        <v>218</v>
      </c>
      <c r="D120" s="63">
        <v>0.6</v>
      </c>
      <c r="E120" s="149">
        <v>312.27999999999997</v>
      </c>
      <c r="F120" s="81">
        <f t="shared" si="15"/>
        <v>187.37</v>
      </c>
      <c r="G120" s="81">
        <f t="shared" si="16"/>
        <v>224.84</v>
      </c>
    </row>
    <row r="121" spans="1:8" ht="33.75" customHeight="1" x14ac:dyDescent="0.3">
      <c r="A121" s="134"/>
      <c r="B121" s="455" t="s">
        <v>280</v>
      </c>
      <c r="C121" s="456"/>
      <c r="D121" s="457"/>
      <c r="E121" s="135"/>
      <c r="F121" s="136"/>
      <c r="G121" s="146"/>
    </row>
    <row r="122" spans="1:8" x14ac:dyDescent="0.3">
      <c r="A122" s="59"/>
      <c r="B122" s="58" t="s">
        <v>247</v>
      </c>
      <c r="C122" s="59"/>
      <c r="D122" s="62"/>
      <c r="E122" s="144"/>
      <c r="F122" s="141"/>
      <c r="G122" s="147"/>
    </row>
    <row r="123" spans="1:8" ht="27.6" x14ac:dyDescent="0.3">
      <c r="A123" s="59">
        <f>A120+1</f>
        <v>99</v>
      </c>
      <c r="B123" s="60" t="s">
        <v>369</v>
      </c>
      <c r="C123" s="59" t="s">
        <v>181</v>
      </c>
      <c r="D123" s="62">
        <v>835</v>
      </c>
      <c r="E123" s="149">
        <v>90.47</v>
      </c>
      <c r="F123" s="81">
        <f t="shared" ref="F123:F139" si="19">ROUND(E123*D123,2)</f>
        <v>75542.45</v>
      </c>
      <c r="G123" s="81">
        <f t="shared" ref="G123:G139" si="20">ROUND(F123*1.2,2)</f>
        <v>90650.94</v>
      </c>
      <c r="H123">
        <v>325</v>
      </c>
    </row>
    <row r="124" spans="1:8" ht="15.6" x14ac:dyDescent="0.3">
      <c r="A124" s="59">
        <f>A123+1</f>
        <v>100</v>
      </c>
      <c r="B124" s="60" t="s">
        <v>370</v>
      </c>
      <c r="C124" s="59" t="s">
        <v>181</v>
      </c>
      <c r="D124" s="62">
        <v>25</v>
      </c>
      <c r="E124" s="149">
        <v>1860.11</v>
      </c>
      <c r="F124" s="81">
        <f t="shared" si="19"/>
        <v>46502.75</v>
      </c>
      <c r="G124" s="81">
        <f t="shared" si="20"/>
        <v>55803.3</v>
      </c>
      <c r="H124">
        <v>1777</v>
      </c>
    </row>
    <row r="125" spans="1:8" ht="15.6" x14ac:dyDescent="0.3">
      <c r="A125" s="59">
        <f>A124+1</f>
        <v>101</v>
      </c>
      <c r="B125" s="60" t="s">
        <v>371</v>
      </c>
      <c r="C125" s="59" t="s">
        <v>181</v>
      </c>
      <c r="D125" s="62">
        <v>9</v>
      </c>
      <c r="E125" s="149">
        <v>1155.67</v>
      </c>
      <c r="F125" s="81">
        <f t="shared" si="19"/>
        <v>10401.030000000001</v>
      </c>
      <c r="G125" s="81">
        <f t="shared" si="20"/>
        <v>12481.24</v>
      </c>
    </row>
    <row r="126" spans="1:8" ht="15.6" x14ac:dyDescent="0.3">
      <c r="A126" s="59">
        <f t="shared" ref="A126:A132" si="21">A125+1</f>
        <v>102</v>
      </c>
      <c r="B126" s="60" t="s">
        <v>250</v>
      </c>
      <c r="C126" s="59" t="s">
        <v>181</v>
      </c>
      <c r="D126" s="62">
        <v>2</v>
      </c>
      <c r="E126" s="149">
        <v>1456.66</v>
      </c>
      <c r="F126" s="81">
        <f t="shared" si="19"/>
        <v>2913.32</v>
      </c>
      <c r="G126" s="81">
        <f t="shared" si="20"/>
        <v>3495.98</v>
      </c>
      <c r="H126">
        <v>1379</v>
      </c>
    </row>
    <row r="127" spans="1:8" ht="15.6" x14ac:dyDescent="0.3">
      <c r="A127" s="59">
        <f t="shared" si="21"/>
        <v>103</v>
      </c>
      <c r="B127" s="60" t="s">
        <v>372</v>
      </c>
      <c r="C127" s="59" t="s">
        <v>181</v>
      </c>
      <c r="D127" s="62">
        <v>9</v>
      </c>
      <c r="E127" s="149">
        <v>856.54</v>
      </c>
      <c r="F127" s="81">
        <f t="shared" si="19"/>
        <v>7708.86</v>
      </c>
      <c r="G127" s="81">
        <f t="shared" si="20"/>
        <v>9250.6299999999992</v>
      </c>
      <c r="H127">
        <v>1379</v>
      </c>
    </row>
    <row r="128" spans="1:8" ht="15.6" x14ac:dyDescent="0.3">
      <c r="A128" s="59">
        <f t="shared" si="21"/>
        <v>104</v>
      </c>
      <c r="B128" s="60" t="s">
        <v>410</v>
      </c>
      <c r="C128" s="59" t="s">
        <v>181</v>
      </c>
      <c r="D128" s="62">
        <v>805</v>
      </c>
      <c r="E128" s="149">
        <v>9.73</v>
      </c>
      <c r="F128" s="81">
        <f t="shared" si="19"/>
        <v>7832.65</v>
      </c>
      <c r="G128" s="81">
        <f t="shared" si="20"/>
        <v>9399.18</v>
      </c>
      <c r="H128">
        <v>125</v>
      </c>
    </row>
    <row r="129" spans="1:9" ht="15.6" x14ac:dyDescent="0.3">
      <c r="A129" s="59">
        <f t="shared" si="21"/>
        <v>105</v>
      </c>
      <c r="B129" s="60" t="s">
        <v>245</v>
      </c>
      <c r="C129" s="59" t="s">
        <v>181</v>
      </c>
      <c r="D129" s="62">
        <v>805</v>
      </c>
      <c r="E129" s="149">
        <v>197.58</v>
      </c>
      <c r="F129" s="81">
        <f t="shared" si="19"/>
        <v>159051.9</v>
      </c>
      <c r="G129" s="81">
        <f t="shared" si="20"/>
        <v>190862.28</v>
      </c>
      <c r="H129">
        <v>198</v>
      </c>
    </row>
    <row r="130" spans="1:9" ht="15.6" x14ac:dyDescent="0.3">
      <c r="A130" s="59">
        <f t="shared" si="21"/>
        <v>106</v>
      </c>
      <c r="B130" s="60" t="s">
        <v>411</v>
      </c>
      <c r="C130" s="59" t="s">
        <v>181</v>
      </c>
      <c r="D130" s="62">
        <v>42</v>
      </c>
      <c r="E130" s="149">
        <v>856.54</v>
      </c>
      <c r="F130" s="81">
        <f t="shared" si="19"/>
        <v>35974.68</v>
      </c>
      <c r="G130" s="81">
        <f t="shared" si="20"/>
        <v>43169.62</v>
      </c>
      <c r="H130">
        <v>899</v>
      </c>
    </row>
    <row r="131" spans="1:9" ht="27.6" x14ac:dyDescent="0.3">
      <c r="A131" s="59">
        <f t="shared" si="21"/>
        <v>107</v>
      </c>
      <c r="B131" s="60" t="s">
        <v>412</v>
      </c>
      <c r="C131" s="59" t="s">
        <v>218</v>
      </c>
      <c r="D131" s="63">
        <v>20.8</v>
      </c>
      <c r="E131" s="149">
        <v>67.760000000000005</v>
      </c>
      <c r="F131" s="81">
        <f t="shared" si="19"/>
        <v>1409.41</v>
      </c>
      <c r="G131" s="81">
        <f t="shared" si="20"/>
        <v>1691.29</v>
      </c>
      <c r="H131">
        <v>325</v>
      </c>
    </row>
    <row r="132" spans="1:9" ht="27.6" x14ac:dyDescent="0.3">
      <c r="A132" s="59">
        <f t="shared" si="21"/>
        <v>108</v>
      </c>
      <c r="B132" s="60" t="s">
        <v>374</v>
      </c>
      <c r="C132" s="59" t="s">
        <v>218</v>
      </c>
      <c r="D132" s="63">
        <v>20.8</v>
      </c>
      <c r="E132" s="149">
        <v>312.27999999999997</v>
      </c>
      <c r="F132" s="81">
        <f t="shared" si="19"/>
        <v>6495.42</v>
      </c>
      <c r="G132" s="81">
        <f t="shared" si="20"/>
        <v>7794.5</v>
      </c>
      <c r="H132">
        <v>3460</v>
      </c>
      <c r="I132" s="169" t="s">
        <v>461</v>
      </c>
    </row>
    <row r="133" spans="1:9" ht="22.5" customHeight="1" x14ac:dyDescent="0.3">
      <c r="A133" s="59"/>
      <c r="B133" s="58" t="s">
        <v>251</v>
      </c>
      <c r="C133" s="59"/>
      <c r="D133" s="63"/>
      <c r="E133" s="149"/>
      <c r="F133" s="81"/>
      <c r="G133" s="81"/>
    </row>
    <row r="134" spans="1:9" ht="27.6" x14ac:dyDescent="0.3">
      <c r="A134" s="59">
        <f>A132+1</f>
        <v>109</v>
      </c>
      <c r="B134" s="60" t="s">
        <v>424</v>
      </c>
      <c r="C134" s="59" t="s">
        <v>182</v>
      </c>
      <c r="D134" s="62">
        <v>23</v>
      </c>
      <c r="E134" s="149">
        <v>1045.03</v>
      </c>
      <c r="F134" s="81">
        <f t="shared" si="19"/>
        <v>24035.69</v>
      </c>
      <c r="G134" s="81">
        <f t="shared" si="20"/>
        <v>28842.83</v>
      </c>
    </row>
    <row r="135" spans="1:9" ht="41.4" x14ac:dyDescent="0.3">
      <c r="A135" s="59">
        <f>A134+1</f>
        <v>110</v>
      </c>
      <c r="B135" s="60" t="s">
        <v>431</v>
      </c>
      <c r="C135" s="59" t="s">
        <v>182</v>
      </c>
      <c r="D135" s="62">
        <v>6</v>
      </c>
      <c r="E135" s="149">
        <v>1960.07</v>
      </c>
      <c r="F135" s="81">
        <f t="shared" si="19"/>
        <v>11760.42</v>
      </c>
      <c r="G135" s="81">
        <f t="shared" si="20"/>
        <v>14112.5</v>
      </c>
    </row>
    <row r="136" spans="1:9" ht="41.4" x14ac:dyDescent="0.3">
      <c r="A136" s="59">
        <f t="shared" ref="A136:A139" si="22">A135+1</f>
        <v>111</v>
      </c>
      <c r="B136" s="60" t="s">
        <v>426</v>
      </c>
      <c r="C136" s="59" t="s">
        <v>207</v>
      </c>
      <c r="D136" s="62">
        <v>4</v>
      </c>
      <c r="E136" s="149">
        <v>1871.49</v>
      </c>
      <c r="F136" s="81">
        <f t="shared" si="19"/>
        <v>7485.96</v>
      </c>
      <c r="G136" s="81">
        <f t="shared" si="20"/>
        <v>8983.15</v>
      </c>
    </row>
    <row r="137" spans="1:9" ht="41.4" x14ac:dyDescent="0.3">
      <c r="A137" s="59">
        <f t="shared" si="22"/>
        <v>112</v>
      </c>
      <c r="B137" s="60" t="s">
        <v>427</v>
      </c>
      <c r="C137" s="59" t="s">
        <v>207</v>
      </c>
      <c r="D137" s="62">
        <v>4</v>
      </c>
      <c r="E137" s="149">
        <v>6085.15</v>
      </c>
      <c r="F137" s="81">
        <f t="shared" si="19"/>
        <v>24340.6</v>
      </c>
      <c r="G137" s="81">
        <f t="shared" si="20"/>
        <v>29208.720000000001</v>
      </c>
    </row>
    <row r="138" spans="1:9" ht="27.6" x14ac:dyDescent="0.3">
      <c r="A138" s="59">
        <f t="shared" si="22"/>
        <v>113</v>
      </c>
      <c r="B138" s="60" t="s">
        <v>388</v>
      </c>
      <c r="C138" s="59" t="s">
        <v>207</v>
      </c>
      <c r="D138" s="62">
        <v>1</v>
      </c>
      <c r="E138" s="149">
        <v>3397.31</v>
      </c>
      <c r="F138" s="81">
        <f t="shared" si="19"/>
        <v>3397.31</v>
      </c>
      <c r="G138" s="81">
        <f t="shared" si="20"/>
        <v>4076.77</v>
      </c>
    </row>
    <row r="139" spans="1:9" ht="27.6" x14ac:dyDescent="0.3">
      <c r="A139" s="59">
        <f t="shared" si="22"/>
        <v>114</v>
      </c>
      <c r="B139" s="60" t="s">
        <v>389</v>
      </c>
      <c r="C139" s="59" t="s">
        <v>463</v>
      </c>
      <c r="D139" s="62">
        <v>1</v>
      </c>
      <c r="E139" s="149">
        <v>30624.26</v>
      </c>
      <c r="F139" s="81">
        <f t="shared" si="19"/>
        <v>30624.26</v>
      </c>
      <c r="G139" s="81">
        <f t="shared" si="20"/>
        <v>36749.11</v>
      </c>
    </row>
    <row r="140" spans="1:9" ht="34.5" customHeight="1" x14ac:dyDescent="0.3">
      <c r="A140" s="134"/>
      <c r="B140" s="455" t="s">
        <v>281</v>
      </c>
      <c r="C140" s="456"/>
      <c r="D140" s="457"/>
      <c r="E140" s="135"/>
      <c r="F140" s="136"/>
      <c r="G140" s="146"/>
    </row>
    <row r="141" spans="1:9" ht="25.5" customHeight="1" x14ac:dyDescent="0.3">
      <c r="A141" s="59"/>
      <c r="B141" s="58" t="s">
        <v>247</v>
      </c>
      <c r="C141" s="59"/>
      <c r="D141" s="62"/>
      <c r="E141" s="73"/>
      <c r="F141" s="141"/>
      <c r="G141" s="147"/>
    </row>
    <row r="142" spans="1:9" ht="27.6" x14ac:dyDescent="0.3">
      <c r="A142" s="59">
        <f>A139+1</f>
        <v>115</v>
      </c>
      <c r="B142" s="60" t="s">
        <v>369</v>
      </c>
      <c r="C142" s="59" t="s">
        <v>181</v>
      </c>
      <c r="D142" s="62">
        <v>845</v>
      </c>
      <c r="E142" s="149">
        <v>90.47</v>
      </c>
      <c r="F142" s="81">
        <f t="shared" ref="F142:F162" si="23">ROUND(E142*D142,2)</f>
        <v>76447.149999999994</v>
      </c>
      <c r="G142" s="81">
        <f t="shared" ref="G142:G162" si="24">ROUND(F142*1.2,2)</f>
        <v>91736.58</v>
      </c>
      <c r="H142">
        <v>325</v>
      </c>
    </row>
    <row r="143" spans="1:9" ht="15.6" x14ac:dyDescent="0.3">
      <c r="A143" s="59">
        <f>A142+1</f>
        <v>116</v>
      </c>
      <c r="B143" s="60" t="s">
        <v>370</v>
      </c>
      <c r="C143" s="59" t="s">
        <v>181</v>
      </c>
      <c r="D143" s="62">
        <v>25</v>
      </c>
      <c r="E143" s="149">
        <v>1860.11</v>
      </c>
      <c r="F143" s="81">
        <f t="shared" si="23"/>
        <v>46502.75</v>
      </c>
      <c r="G143" s="81">
        <f t="shared" si="24"/>
        <v>55803.3</v>
      </c>
      <c r="H143">
        <v>1777</v>
      </c>
    </row>
    <row r="144" spans="1:9" ht="15.6" x14ac:dyDescent="0.3">
      <c r="A144" s="59">
        <f>A143+1</f>
        <v>117</v>
      </c>
      <c r="B144" s="60" t="s">
        <v>371</v>
      </c>
      <c r="C144" s="59" t="s">
        <v>181</v>
      </c>
      <c r="D144" s="62">
        <v>37</v>
      </c>
      <c r="E144" s="149">
        <v>1155.67</v>
      </c>
      <c r="F144" s="81">
        <f t="shared" si="23"/>
        <v>42759.79</v>
      </c>
      <c r="G144" s="81">
        <f t="shared" si="24"/>
        <v>51311.75</v>
      </c>
    </row>
    <row r="145" spans="1:9" ht="15.6" x14ac:dyDescent="0.3">
      <c r="A145" s="59">
        <f t="shared" ref="A145:A151" si="25">A144+1</f>
        <v>118</v>
      </c>
      <c r="B145" s="60" t="s">
        <v>250</v>
      </c>
      <c r="C145" s="59" t="s">
        <v>181</v>
      </c>
      <c r="D145" s="62">
        <v>5</v>
      </c>
      <c r="E145" s="149">
        <v>1456.65</v>
      </c>
      <c r="F145" s="81">
        <f t="shared" si="23"/>
        <v>7283.25</v>
      </c>
      <c r="G145" s="81">
        <f t="shared" si="24"/>
        <v>8739.9</v>
      </c>
      <c r="H145">
        <v>1379</v>
      </c>
    </row>
    <row r="146" spans="1:9" ht="15.6" x14ac:dyDescent="0.3">
      <c r="A146" s="59">
        <f t="shared" si="25"/>
        <v>119</v>
      </c>
      <c r="B146" s="60" t="s">
        <v>372</v>
      </c>
      <c r="C146" s="59" t="s">
        <v>181</v>
      </c>
      <c r="D146" s="62">
        <v>37</v>
      </c>
      <c r="E146" s="149">
        <v>856.54</v>
      </c>
      <c r="F146" s="81">
        <f t="shared" si="23"/>
        <v>31691.98</v>
      </c>
      <c r="G146" s="81">
        <f t="shared" si="24"/>
        <v>38030.379999999997</v>
      </c>
      <c r="H146">
        <v>1379</v>
      </c>
    </row>
    <row r="147" spans="1:9" ht="15.6" x14ac:dyDescent="0.3">
      <c r="A147" s="59">
        <f t="shared" si="25"/>
        <v>120</v>
      </c>
      <c r="B147" s="60" t="s">
        <v>410</v>
      </c>
      <c r="C147" s="59" t="s">
        <v>181</v>
      </c>
      <c r="D147" s="62">
        <v>761</v>
      </c>
      <c r="E147" s="149">
        <v>9.73</v>
      </c>
      <c r="F147" s="81">
        <f t="shared" si="23"/>
        <v>7404.53</v>
      </c>
      <c r="G147" s="81">
        <f t="shared" si="24"/>
        <v>8885.44</v>
      </c>
      <c r="H147">
        <v>125</v>
      </c>
    </row>
    <row r="148" spans="1:9" ht="15.6" x14ac:dyDescent="0.3">
      <c r="A148" s="59">
        <f t="shared" si="25"/>
        <v>121</v>
      </c>
      <c r="B148" s="60" t="s">
        <v>245</v>
      </c>
      <c r="C148" s="59" t="s">
        <v>181</v>
      </c>
      <c r="D148" s="62">
        <v>761</v>
      </c>
      <c r="E148" s="149">
        <v>197.58</v>
      </c>
      <c r="F148" s="81">
        <f t="shared" si="23"/>
        <v>150358.38</v>
      </c>
      <c r="G148" s="81">
        <f t="shared" si="24"/>
        <v>180430.06</v>
      </c>
      <c r="H148">
        <v>198</v>
      </c>
    </row>
    <row r="149" spans="1:9" ht="15.6" x14ac:dyDescent="0.3">
      <c r="A149" s="59">
        <f t="shared" si="25"/>
        <v>122</v>
      </c>
      <c r="B149" s="60" t="s">
        <v>411</v>
      </c>
      <c r="C149" s="59" t="s">
        <v>181</v>
      </c>
      <c r="D149" s="62">
        <v>40</v>
      </c>
      <c r="E149" s="149">
        <v>856.54</v>
      </c>
      <c r="F149" s="81">
        <f t="shared" si="23"/>
        <v>34261.599999999999</v>
      </c>
      <c r="G149" s="81">
        <f t="shared" si="24"/>
        <v>41113.919999999998</v>
      </c>
      <c r="H149">
        <v>899</v>
      </c>
    </row>
    <row r="150" spans="1:9" ht="27.6" x14ac:dyDescent="0.3">
      <c r="A150" s="59">
        <f t="shared" si="25"/>
        <v>123</v>
      </c>
      <c r="B150" s="60" t="s">
        <v>412</v>
      </c>
      <c r="C150" s="59" t="s">
        <v>218</v>
      </c>
      <c r="D150" s="63">
        <v>110.4</v>
      </c>
      <c r="E150" s="149">
        <v>67.760000000000005</v>
      </c>
      <c r="F150" s="81">
        <f t="shared" si="23"/>
        <v>7480.7</v>
      </c>
      <c r="G150" s="81">
        <f t="shared" si="24"/>
        <v>8976.84</v>
      </c>
      <c r="H150">
        <v>325</v>
      </c>
    </row>
    <row r="151" spans="1:9" ht="27.6" x14ac:dyDescent="0.3">
      <c r="A151" s="59">
        <f t="shared" si="25"/>
        <v>124</v>
      </c>
      <c r="B151" s="60" t="s">
        <v>374</v>
      </c>
      <c r="C151" s="59" t="s">
        <v>218</v>
      </c>
      <c r="D151" s="63">
        <v>110.4</v>
      </c>
      <c r="E151" s="149">
        <v>312.27999999999997</v>
      </c>
      <c r="F151" s="81">
        <f t="shared" si="23"/>
        <v>34475.71</v>
      </c>
      <c r="G151" s="81">
        <f t="shared" si="24"/>
        <v>41370.85</v>
      </c>
      <c r="H151">
        <v>3460</v>
      </c>
      <c r="I151" s="169" t="s">
        <v>461</v>
      </c>
    </row>
    <row r="152" spans="1:9" ht="22.5" customHeight="1" x14ac:dyDescent="0.3">
      <c r="A152" s="59"/>
      <c r="B152" s="58" t="s">
        <v>251</v>
      </c>
      <c r="C152" s="59"/>
      <c r="D152" s="62"/>
      <c r="E152" s="149"/>
      <c r="F152" s="81"/>
      <c r="G152" s="81"/>
    </row>
    <row r="153" spans="1:9" ht="27.6" x14ac:dyDescent="0.3">
      <c r="A153" s="59">
        <f>A151+1</f>
        <v>125</v>
      </c>
      <c r="B153" s="60" t="s">
        <v>432</v>
      </c>
      <c r="C153" s="59" t="s">
        <v>182</v>
      </c>
      <c r="D153" s="62">
        <v>31</v>
      </c>
      <c r="E153" s="149">
        <v>4746.51</v>
      </c>
      <c r="F153" s="81">
        <f t="shared" si="23"/>
        <v>147141.81</v>
      </c>
      <c r="G153" s="81">
        <f t="shared" si="24"/>
        <v>176570.17</v>
      </c>
    </row>
    <row r="154" spans="1:9" ht="41.4" x14ac:dyDescent="0.3">
      <c r="A154" s="59">
        <f t="shared" ref="A154:A162" si="26">A153+1</f>
        <v>126</v>
      </c>
      <c r="B154" s="60" t="s">
        <v>433</v>
      </c>
      <c r="C154" s="59" t="s">
        <v>182</v>
      </c>
      <c r="D154" s="62">
        <v>6</v>
      </c>
      <c r="E154" s="149">
        <v>8366.0300000000007</v>
      </c>
      <c r="F154" s="81">
        <f t="shared" si="23"/>
        <v>50196.18</v>
      </c>
      <c r="G154" s="81">
        <f t="shared" si="24"/>
        <v>60235.42</v>
      </c>
    </row>
    <row r="155" spans="1:9" ht="41.4" x14ac:dyDescent="0.3">
      <c r="A155" s="59">
        <f t="shared" si="26"/>
        <v>127</v>
      </c>
      <c r="B155" s="60" t="s">
        <v>434</v>
      </c>
      <c r="C155" s="59" t="s">
        <v>207</v>
      </c>
      <c r="D155" s="62">
        <v>2</v>
      </c>
      <c r="E155" s="149">
        <v>8222.4699999999993</v>
      </c>
      <c r="F155" s="81">
        <f t="shared" si="23"/>
        <v>16444.939999999999</v>
      </c>
      <c r="G155" s="81">
        <f t="shared" si="24"/>
        <v>19733.93</v>
      </c>
    </row>
    <row r="156" spans="1:9" ht="41.4" x14ac:dyDescent="0.3">
      <c r="A156" s="59">
        <f t="shared" si="26"/>
        <v>128</v>
      </c>
      <c r="B156" s="60" t="s">
        <v>435</v>
      </c>
      <c r="C156" s="59" t="s">
        <v>207</v>
      </c>
      <c r="D156" s="62">
        <v>2</v>
      </c>
      <c r="E156" s="149">
        <v>19742.93</v>
      </c>
      <c r="F156" s="81">
        <f t="shared" si="23"/>
        <v>39485.86</v>
      </c>
      <c r="G156" s="81">
        <f t="shared" si="24"/>
        <v>47383.03</v>
      </c>
    </row>
    <row r="157" spans="1:9" ht="27.6" x14ac:dyDescent="0.3">
      <c r="A157" s="59">
        <f t="shared" si="26"/>
        <v>129</v>
      </c>
      <c r="B157" s="60" t="s">
        <v>436</v>
      </c>
      <c r="C157" s="59" t="s">
        <v>207</v>
      </c>
      <c r="D157" s="62">
        <v>1</v>
      </c>
      <c r="E157" s="149">
        <v>17698.82</v>
      </c>
      <c r="F157" s="81">
        <f t="shared" si="23"/>
        <v>17698.82</v>
      </c>
      <c r="G157" s="81">
        <f t="shared" si="24"/>
        <v>21238.58</v>
      </c>
    </row>
    <row r="158" spans="1:9" ht="27.6" x14ac:dyDescent="0.3">
      <c r="A158" s="59">
        <f t="shared" si="26"/>
        <v>130</v>
      </c>
      <c r="B158" s="60" t="s">
        <v>389</v>
      </c>
      <c r="C158" s="59" t="s">
        <v>463</v>
      </c>
      <c r="D158" s="62">
        <v>1</v>
      </c>
      <c r="E158" s="149">
        <v>124950.66</v>
      </c>
      <c r="F158" s="81">
        <f t="shared" si="23"/>
        <v>124950.66</v>
      </c>
      <c r="G158" s="81">
        <f t="shared" si="24"/>
        <v>149940.79</v>
      </c>
    </row>
    <row r="159" spans="1:9" ht="23.25" customHeight="1" x14ac:dyDescent="0.3">
      <c r="A159" s="59"/>
      <c r="B159" s="58" t="s">
        <v>395</v>
      </c>
      <c r="C159" s="59"/>
      <c r="D159" s="62"/>
      <c r="E159" s="149"/>
      <c r="F159" s="81"/>
      <c r="G159" s="81"/>
    </row>
    <row r="160" spans="1:9" ht="15.6" x14ac:dyDescent="0.3">
      <c r="A160" s="59">
        <f>A158+1</f>
        <v>131</v>
      </c>
      <c r="B160" s="60" t="s">
        <v>437</v>
      </c>
      <c r="C160" s="59" t="s">
        <v>182</v>
      </c>
      <c r="D160" s="62">
        <v>31</v>
      </c>
      <c r="E160" s="149">
        <v>2354.06</v>
      </c>
      <c r="F160" s="81">
        <f t="shared" si="23"/>
        <v>72975.86</v>
      </c>
      <c r="G160" s="81">
        <f t="shared" si="24"/>
        <v>87571.03</v>
      </c>
    </row>
    <row r="161" spans="1:9" ht="15.6" x14ac:dyDescent="0.3">
      <c r="A161" s="59">
        <f t="shared" si="26"/>
        <v>132</v>
      </c>
      <c r="B161" s="60" t="s">
        <v>438</v>
      </c>
      <c r="C161" s="59" t="s">
        <v>218</v>
      </c>
      <c r="D161" s="62">
        <v>31</v>
      </c>
      <c r="E161" s="149">
        <v>436.17</v>
      </c>
      <c r="F161" s="81">
        <f t="shared" si="23"/>
        <v>13521.27</v>
      </c>
      <c r="G161" s="81">
        <f t="shared" si="24"/>
        <v>16225.52</v>
      </c>
    </row>
    <row r="162" spans="1:9" ht="15.6" x14ac:dyDescent="0.3">
      <c r="A162" s="59">
        <f t="shared" si="26"/>
        <v>133</v>
      </c>
      <c r="B162" s="67" t="s">
        <v>422</v>
      </c>
      <c r="C162" s="59" t="s">
        <v>218</v>
      </c>
      <c r="D162" s="62">
        <v>31</v>
      </c>
      <c r="E162" s="149">
        <v>312.27999999999997</v>
      </c>
      <c r="F162" s="81">
        <f t="shared" si="23"/>
        <v>9680.68</v>
      </c>
      <c r="G162" s="81">
        <f t="shared" si="24"/>
        <v>11616.82</v>
      </c>
    </row>
    <row r="163" spans="1:9" ht="32.25" customHeight="1" x14ac:dyDescent="0.3">
      <c r="A163" s="134"/>
      <c r="B163" s="455" t="s">
        <v>282</v>
      </c>
      <c r="C163" s="456"/>
      <c r="D163" s="457"/>
      <c r="E163" s="135"/>
      <c r="F163" s="136"/>
      <c r="G163" s="146"/>
    </row>
    <row r="164" spans="1:9" x14ac:dyDescent="0.3">
      <c r="A164" s="59"/>
      <c r="B164" s="58" t="s">
        <v>247</v>
      </c>
      <c r="C164" s="59"/>
      <c r="D164" s="62"/>
      <c r="E164" s="144"/>
      <c r="F164" s="141"/>
      <c r="G164" s="147"/>
    </row>
    <row r="165" spans="1:9" ht="27.6" x14ac:dyDescent="0.3">
      <c r="A165" s="59">
        <f>A162+1</f>
        <v>134</v>
      </c>
      <c r="B165" s="60" t="s">
        <v>369</v>
      </c>
      <c r="C165" s="59" t="s">
        <v>181</v>
      </c>
      <c r="D165" s="62">
        <v>177</v>
      </c>
      <c r="E165" s="149">
        <v>90.47</v>
      </c>
      <c r="F165" s="81">
        <f t="shared" ref="F165:F185" si="27">ROUND(E165*D165,2)</f>
        <v>16013.19</v>
      </c>
      <c r="G165" s="81">
        <f t="shared" ref="G165:G185" si="28">ROUND(F165*1.2,2)</f>
        <v>19215.830000000002</v>
      </c>
      <c r="H165">
        <v>325</v>
      </c>
    </row>
    <row r="166" spans="1:9" ht="15.6" x14ac:dyDescent="0.3">
      <c r="A166" s="59">
        <f>A165+1</f>
        <v>135</v>
      </c>
      <c r="B166" s="60" t="s">
        <v>370</v>
      </c>
      <c r="C166" s="59" t="s">
        <v>181</v>
      </c>
      <c r="D166" s="62">
        <v>5</v>
      </c>
      <c r="E166" s="149">
        <v>1860.11</v>
      </c>
      <c r="F166" s="81">
        <f t="shared" si="27"/>
        <v>9300.5499999999993</v>
      </c>
      <c r="G166" s="81">
        <f t="shared" si="28"/>
        <v>11160.66</v>
      </c>
      <c r="H166">
        <v>1777</v>
      </c>
    </row>
    <row r="167" spans="1:9" ht="15.6" x14ac:dyDescent="0.3">
      <c r="A167" s="59">
        <f t="shared" ref="A167:A174" si="29">A166+1</f>
        <v>136</v>
      </c>
      <c r="B167" s="60" t="s">
        <v>371</v>
      </c>
      <c r="C167" s="59" t="s">
        <v>181</v>
      </c>
      <c r="D167" s="62">
        <v>23</v>
      </c>
      <c r="E167" s="149">
        <v>1155.67</v>
      </c>
      <c r="F167" s="81">
        <f t="shared" si="27"/>
        <v>26580.41</v>
      </c>
      <c r="G167" s="81">
        <f t="shared" si="28"/>
        <v>31896.49</v>
      </c>
    </row>
    <row r="168" spans="1:9" ht="15.6" x14ac:dyDescent="0.3">
      <c r="A168" s="59">
        <f t="shared" si="29"/>
        <v>137</v>
      </c>
      <c r="B168" s="60" t="s">
        <v>250</v>
      </c>
      <c r="C168" s="59" t="s">
        <v>181</v>
      </c>
      <c r="D168" s="62">
        <v>3</v>
      </c>
      <c r="E168" s="149">
        <v>1456.66</v>
      </c>
      <c r="F168" s="81">
        <f t="shared" si="27"/>
        <v>4369.9799999999996</v>
      </c>
      <c r="G168" s="81">
        <f t="shared" si="28"/>
        <v>5243.98</v>
      </c>
      <c r="H168">
        <v>1379</v>
      </c>
    </row>
    <row r="169" spans="1:9" ht="15.6" x14ac:dyDescent="0.3">
      <c r="A169" s="59">
        <f t="shared" si="29"/>
        <v>138</v>
      </c>
      <c r="B169" s="60" t="s">
        <v>372</v>
      </c>
      <c r="C169" s="59" t="s">
        <v>181</v>
      </c>
      <c r="D169" s="63">
        <v>23</v>
      </c>
      <c r="E169" s="149">
        <v>856.54</v>
      </c>
      <c r="F169" s="81">
        <f t="shared" si="27"/>
        <v>19700.419999999998</v>
      </c>
      <c r="G169" s="81">
        <f t="shared" si="28"/>
        <v>23640.5</v>
      </c>
      <c r="H169">
        <v>1379</v>
      </c>
    </row>
    <row r="170" spans="1:9" ht="15.6" x14ac:dyDescent="0.3">
      <c r="A170" s="59">
        <f t="shared" si="29"/>
        <v>139</v>
      </c>
      <c r="B170" s="60" t="s">
        <v>410</v>
      </c>
      <c r="C170" s="59" t="s">
        <v>181</v>
      </c>
      <c r="D170" s="62">
        <v>138</v>
      </c>
      <c r="E170" s="149">
        <v>9.73</v>
      </c>
      <c r="F170" s="81">
        <f t="shared" si="27"/>
        <v>1342.74</v>
      </c>
      <c r="G170" s="81">
        <f t="shared" si="28"/>
        <v>1611.29</v>
      </c>
      <c r="H170">
        <v>125</v>
      </c>
    </row>
    <row r="171" spans="1:9" ht="15.6" x14ac:dyDescent="0.3">
      <c r="A171" s="59">
        <f t="shared" si="29"/>
        <v>140</v>
      </c>
      <c r="B171" s="60" t="s">
        <v>245</v>
      </c>
      <c r="C171" s="59" t="s">
        <v>181</v>
      </c>
      <c r="D171" s="62">
        <v>138</v>
      </c>
      <c r="E171" s="149">
        <v>197.58</v>
      </c>
      <c r="F171" s="81">
        <f t="shared" si="27"/>
        <v>27266.04</v>
      </c>
      <c r="G171" s="81">
        <f t="shared" si="28"/>
        <v>32719.25</v>
      </c>
      <c r="H171">
        <v>198</v>
      </c>
    </row>
    <row r="172" spans="1:9" ht="15.6" x14ac:dyDescent="0.3">
      <c r="A172" s="59">
        <f t="shared" si="29"/>
        <v>141</v>
      </c>
      <c r="B172" s="60" t="s">
        <v>411</v>
      </c>
      <c r="C172" s="59" t="s">
        <v>181</v>
      </c>
      <c r="D172" s="62">
        <v>7</v>
      </c>
      <c r="E172" s="149">
        <v>856.54</v>
      </c>
      <c r="F172" s="81">
        <f t="shared" si="27"/>
        <v>5995.78</v>
      </c>
      <c r="G172" s="81">
        <f t="shared" si="28"/>
        <v>7194.94</v>
      </c>
      <c r="H172">
        <v>899</v>
      </c>
    </row>
    <row r="173" spans="1:9" ht="27.6" x14ac:dyDescent="0.3">
      <c r="A173" s="59">
        <f t="shared" si="29"/>
        <v>142</v>
      </c>
      <c r="B173" s="60" t="s">
        <v>412</v>
      </c>
      <c r="C173" s="59" t="s">
        <v>218</v>
      </c>
      <c r="D173" s="63">
        <v>59.2</v>
      </c>
      <c r="E173" s="149">
        <v>67.760000000000005</v>
      </c>
      <c r="F173" s="81">
        <f t="shared" si="27"/>
        <v>4011.39</v>
      </c>
      <c r="G173" s="81">
        <f t="shared" si="28"/>
        <v>4813.67</v>
      </c>
      <c r="H173">
        <v>325</v>
      </c>
    </row>
    <row r="174" spans="1:9" ht="27.6" x14ac:dyDescent="0.3">
      <c r="A174" s="59">
        <f t="shared" si="29"/>
        <v>143</v>
      </c>
      <c r="B174" s="60" t="s">
        <v>374</v>
      </c>
      <c r="C174" s="59" t="s">
        <v>218</v>
      </c>
      <c r="D174" s="63">
        <v>59.2</v>
      </c>
      <c r="E174" s="149">
        <v>312.27999999999997</v>
      </c>
      <c r="F174" s="81">
        <f t="shared" si="27"/>
        <v>18486.98</v>
      </c>
      <c r="G174" s="81">
        <f t="shared" si="28"/>
        <v>22184.38</v>
      </c>
      <c r="H174">
        <v>3460</v>
      </c>
      <c r="I174" s="169" t="s">
        <v>461</v>
      </c>
    </row>
    <row r="175" spans="1:9" ht="26.25" customHeight="1" x14ac:dyDescent="0.3">
      <c r="A175" s="59"/>
      <c r="B175" s="58" t="s">
        <v>251</v>
      </c>
      <c r="C175" s="59"/>
      <c r="D175" s="62"/>
      <c r="E175" s="149"/>
      <c r="F175" s="81"/>
      <c r="G175" s="81"/>
    </row>
    <row r="176" spans="1:9" ht="27.6" x14ac:dyDescent="0.3">
      <c r="A176" s="59">
        <f>A174+1</f>
        <v>144</v>
      </c>
      <c r="B176" s="60" t="s">
        <v>439</v>
      </c>
      <c r="C176" s="59" t="s">
        <v>182</v>
      </c>
      <c r="D176" s="62">
        <v>31</v>
      </c>
      <c r="E176" s="149">
        <v>2864.48</v>
      </c>
      <c r="F176" s="81">
        <f t="shared" si="27"/>
        <v>88798.88</v>
      </c>
      <c r="G176" s="81">
        <f t="shared" si="28"/>
        <v>106558.66</v>
      </c>
    </row>
    <row r="177" spans="1:8" ht="41.4" x14ac:dyDescent="0.3">
      <c r="A177" s="59">
        <f>A176+1</f>
        <v>145</v>
      </c>
      <c r="B177" s="60" t="s">
        <v>440</v>
      </c>
      <c r="C177" s="59" t="s">
        <v>182</v>
      </c>
      <c r="D177" s="62">
        <v>6</v>
      </c>
      <c r="E177" s="149">
        <v>4021.61</v>
      </c>
      <c r="F177" s="81">
        <f t="shared" si="27"/>
        <v>24129.66</v>
      </c>
      <c r="G177" s="81">
        <f t="shared" si="28"/>
        <v>28955.59</v>
      </c>
    </row>
    <row r="178" spans="1:8" ht="41.4" x14ac:dyDescent="0.3">
      <c r="A178" s="59">
        <f t="shared" ref="A178:A181" si="30">A177+1</f>
        <v>146</v>
      </c>
      <c r="B178" s="60" t="s">
        <v>441</v>
      </c>
      <c r="C178" s="59" t="s">
        <v>207</v>
      </c>
      <c r="D178" s="62">
        <v>2</v>
      </c>
      <c r="E178" s="149">
        <v>5203.95</v>
      </c>
      <c r="F178" s="81">
        <f t="shared" si="27"/>
        <v>10407.9</v>
      </c>
      <c r="G178" s="81">
        <f t="shared" si="28"/>
        <v>12489.48</v>
      </c>
    </row>
    <row r="179" spans="1:8" ht="41.4" x14ac:dyDescent="0.3">
      <c r="A179" s="59">
        <f t="shared" si="30"/>
        <v>147</v>
      </c>
      <c r="B179" s="60" t="s">
        <v>442</v>
      </c>
      <c r="C179" s="59" t="s">
        <v>207</v>
      </c>
      <c r="D179" s="62">
        <v>2</v>
      </c>
      <c r="E179" s="149">
        <v>12511.09</v>
      </c>
      <c r="F179" s="81">
        <f t="shared" si="27"/>
        <v>25022.18</v>
      </c>
      <c r="G179" s="81">
        <f t="shared" si="28"/>
        <v>30026.62</v>
      </c>
    </row>
    <row r="180" spans="1:8" ht="27.6" x14ac:dyDescent="0.3">
      <c r="A180" s="59">
        <f t="shared" si="30"/>
        <v>148</v>
      </c>
      <c r="B180" s="60" t="s">
        <v>388</v>
      </c>
      <c r="C180" s="59" t="s">
        <v>207</v>
      </c>
      <c r="D180" s="63">
        <v>1</v>
      </c>
      <c r="E180" s="149">
        <v>9227.06</v>
      </c>
      <c r="F180" s="81">
        <f t="shared" si="27"/>
        <v>9227.06</v>
      </c>
      <c r="G180" s="81">
        <f t="shared" si="28"/>
        <v>11072.47</v>
      </c>
    </row>
    <row r="181" spans="1:8" ht="27.6" x14ac:dyDescent="0.3">
      <c r="A181" s="59">
        <f t="shared" si="30"/>
        <v>149</v>
      </c>
      <c r="B181" s="60" t="s">
        <v>389</v>
      </c>
      <c r="C181" s="59" t="s">
        <v>463</v>
      </c>
      <c r="D181" s="62">
        <v>1</v>
      </c>
      <c r="E181" s="149">
        <v>70121.429999999993</v>
      </c>
      <c r="F181" s="81">
        <f t="shared" si="27"/>
        <v>70121.429999999993</v>
      </c>
      <c r="G181" s="81">
        <f t="shared" si="28"/>
        <v>84145.72</v>
      </c>
    </row>
    <row r="182" spans="1:8" ht="21.75" customHeight="1" x14ac:dyDescent="0.3">
      <c r="A182" s="59"/>
      <c r="B182" s="58" t="s">
        <v>395</v>
      </c>
      <c r="C182" s="59"/>
      <c r="D182" s="62"/>
      <c r="E182" s="149"/>
      <c r="F182" s="81"/>
      <c r="G182" s="81"/>
    </row>
    <row r="183" spans="1:8" ht="15.6" x14ac:dyDescent="0.3">
      <c r="A183" s="59">
        <f>A181+1</f>
        <v>150</v>
      </c>
      <c r="B183" s="60" t="s">
        <v>443</v>
      </c>
      <c r="C183" s="59" t="s">
        <v>182</v>
      </c>
      <c r="D183" s="62">
        <v>31</v>
      </c>
      <c r="E183" s="149">
        <v>1334.42</v>
      </c>
      <c r="F183" s="81">
        <f t="shared" si="27"/>
        <v>41367.019999999997</v>
      </c>
      <c r="G183" s="81">
        <f t="shared" si="28"/>
        <v>49640.42</v>
      </c>
    </row>
    <row r="184" spans="1:8" ht="15.6" x14ac:dyDescent="0.3">
      <c r="A184" s="59">
        <f>A183+1</f>
        <v>151</v>
      </c>
      <c r="B184" s="60" t="s">
        <v>438</v>
      </c>
      <c r="C184" s="59" t="s">
        <v>218</v>
      </c>
      <c r="D184" s="62">
        <v>14</v>
      </c>
      <c r="E184" s="149">
        <v>436.17</v>
      </c>
      <c r="F184" s="81">
        <f t="shared" si="27"/>
        <v>6106.38</v>
      </c>
      <c r="G184" s="81">
        <f t="shared" si="28"/>
        <v>7327.66</v>
      </c>
    </row>
    <row r="185" spans="1:8" ht="15.6" x14ac:dyDescent="0.3">
      <c r="A185" s="59">
        <f>A184+1</f>
        <v>152</v>
      </c>
      <c r="B185" s="60" t="s">
        <v>429</v>
      </c>
      <c r="C185" s="59" t="s">
        <v>218</v>
      </c>
      <c r="D185" s="62">
        <v>14</v>
      </c>
      <c r="E185" s="149">
        <v>312.27999999999997</v>
      </c>
      <c r="F185" s="81">
        <f t="shared" si="27"/>
        <v>4371.92</v>
      </c>
      <c r="G185" s="81">
        <f t="shared" si="28"/>
        <v>5246.3</v>
      </c>
    </row>
    <row r="186" spans="1:8" ht="29.25" customHeight="1" x14ac:dyDescent="0.3">
      <c r="A186" s="134"/>
      <c r="B186" s="455" t="s">
        <v>283</v>
      </c>
      <c r="C186" s="456"/>
      <c r="D186" s="457"/>
      <c r="E186" s="135"/>
      <c r="F186" s="136"/>
      <c r="G186" s="146"/>
    </row>
    <row r="187" spans="1:8" x14ac:dyDescent="0.3">
      <c r="A187" s="59"/>
      <c r="B187" s="58" t="s">
        <v>247</v>
      </c>
      <c r="C187" s="59"/>
      <c r="D187" s="62"/>
      <c r="E187" s="144"/>
      <c r="F187" s="141"/>
      <c r="G187" s="147"/>
    </row>
    <row r="188" spans="1:8" ht="27.6" x14ac:dyDescent="0.3">
      <c r="A188" s="59">
        <f>A185+1</f>
        <v>153</v>
      </c>
      <c r="B188" s="60" t="s">
        <v>369</v>
      </c>
      <c r="C188" s="59" t="s">
        <v>181</v>
      </c>
      <c r="D188" s="62">
        <v>595</v>
      </c>
      <c r="E188" s="149">
        <v>90.47</v>
      </c>
      <c r="F188" s="81">
        <f t="shared" ref="F188:F208" si="31">ROUND(E188*D188,2)</f>
        <v>53829.65</v>
      </c>
      <c r="G188" s="81">
        <f t="shared" ref="G188" si="32">ROUND(F188*1.2,2)</f>
        <v>64595.58</v>
      </c>
      <c r="H188">
        <v>325</v>
      </c>
    </row>
    <row r="189" spans="1:8" ht="15.6" x14ac:dyDescent="0.3">
      <c r="A189" s="59">
        <f>A188+1</f>
        <v>154</v>
      </c>
      <c r="B189" s="60" t="s">
        <v>370</v>
      </c>
      <c r="C189" s="59" t="s">
        <v>181</v>
      </c>
      <c r="D189" s="62">
        <v>18</v>
      </c>
      <c r="E189" s="149">
        <v>1860.11</v>
      </c>
      <c r="F189" s="81">
        <f t="shared" si="31"/>
        <v>33481.980000000003</v>
      </c>
      <c r="G189" s="81">
        <f t="shared" ref="G189:G197" si="33">ROUND(F189*1.2,2)</f>
        <v>40178.379999999997</v>
      </c>
      <c r="H189">
        <v>1777</v>
      </c>
    </row>
    <row r="190" spans="1:8" ht="15.6" x14ac:dyDescent="0.3">
      <c r="A190" s="59">
        <f t="shared" ref="A190:A197" si="34">A189+1</f>
        <v>155</v>
      </c>
      <c r="B190" s="60" t="s">
        <v>371</v>
      </c>
      <c r="C190" s="59" t="s">
        <v>181</v>
      </c>
      <c r="D190" s="62">
        <v>13</v>
      </c>
      <c r="E190" s="149">
        <v>1155.67</v>
      </c>
      <c r="F190" s="81">
        <f t="shared" si="31"/>
        <v>15023.71</v>
      </c>
      <c r="G190" s="81">
        <f t="shared" si="33"/>
        <v>18028.45</v>
      </c>
    </row>
    <row r="191" spans="1:8" ht="15.6" x14ac:dyDescent="0.3">
      <c r="A191" s="59">
        <f t="shared" si="34"/>
        <v>156</v>
      </c>
      <c r="B191" s="60" t="s">
        <v>250</v>
      </c>
      <c r="C191" s="59" t="s">
        <v>181</v>
      </c>
      <c r="D191" s="62">
        <v>2</v>
      </c>
      <c r="E191" s="149">
        <v>1456.66</v>
      </c>
      <c r="F191" s="81">
        <f t="shared" si="31"/>
        <v>2913.32</v>
      </c>
      <c r="G191" s="81">
        <f t="shared" si="33"/>
        <v>3495.98</v>
      </c>
      <c r="H191">
        <v>1379</v>
      </c>
    </row>
    <row r="192" spans="1:8" ht="15.6" x14ac:dyDescent="0.3">
      <c r="A192" s="59">
        <f t="shared" si="34"/>
        <v>157</v>
      </c>
      <c r="B192" s="60" t="s">
        <v>372</v>
      </c>
      <c r="C192" s="59" t="s">
        <v>181</v>
      </c>
      <c r="D192" s="62">
        <v>13</v>
      </c>
      <c r="E192" s="149">
        <v>856.54</v>
      </c>
      <c r="F192" s="81">
        <f t="shared" si="31"/>
        <v>11135.02</v>
      </c>
      <c r="G192" s="81">
        <f t="shared" si="33"/>
        <v>13362.02</v>
      </c>
      <c r="H192">
        <v>1379</v>
      </c>
    </row>
    <row r="193" spans="1:9" ht="15.6" x14ac:dyDescent="0.3">
      <c r="A193" s="59">
        <f t="shared" si="34"/>
        <v>158</v>
      </c>
      <c r="B193" s="60" t="s">
        <v>410</v>
      </c>
      <c r="C193" s="59" t="s">
        <v>181</v>
      </c>
      <c r="D193" s="63">
        <v>560.5</v>
      </c>
      <c r="E193" s="149">
        <v>9.73</v>
      </c>
      <c r="F193" s="81">
        <f t="shared" si="31"/>
        <v>5453.67</v>
      </c>
      <c r="G193" s="81">
        <f t="shared" si="33"/>
        <v>6544.4</v>
      </c>
      <c r="H193">
        <v>125</v>
      </c>
    </row>
    <row r="194" spans="1:9" ht="15.6" x14ac:dyDescent="0.3">
      <c r="A194" s="59">
        <f t="shared" si="34"/>
        <v>159</v>
      </c>
      <c r="B194" s="60" t="s">
        <v>245</v>
      </c>
      <c r="C194" s="59" t="s">
        <v>181</v>
      </c>
      <c r="D194" s="63">
        <v>560.5</v>
      </c>
      <c r="E194" s="149">
        <v>197.58</v>
      </c>
      <c r="F194" s="81">
        <f t="shared" si="31"/>
        <v>110743.59</v>
      </c>
      <c r="G194" s="81">
        <f t="shared" si="33"/>
        <v>132892.31</v>
      </c>
      <c r="H194">
        <v>198</v>
      </c>
    </row>
    <row r="195" spans="1:9" ht="15.6" x14ac:dyDescent="0.3">
      <c r="A195" s="59">
        <f t="shared" si="34"/>
        <v>160</v>
      </c>
      <c r="B195" s="60" t="s">
        <v>411</v>
      </c>
      <c r="C195" s="59" t="s">
        <v>181</v>
      </c>
      <c r="D195" s="63">
        <v>29.5</v>
      </c>
      <c r="E195" s="149">
        <v>856.54</v>
      </c>
      <c r="F195" s="81">
        <f t="shared" si="31"/>
        <v>25267.93</v>
      </c>
      <c r="G195" s="81">
        <f t="shared" si="33"/>
        <v>30321.52</v>
      </c>
      <c r="H195">
        <v>899</v>
      </c>
    </row>
    <row r="196" spans="1:9" ht="27.6" x14ac:dyDescent="0.3">
      <c r="A196" s="59">
        <f t="shared" si="34"/>
        <v>161</v>
      </c>
      <c r="B196" s="60" t="s">
        <v>412</v>
      </c>
      <c r="C196" s="59" t="s">
        <v>218</v>
      </c>
      <c r="D196" s="63">
        <v>36.799999999999997</v>
      </c>
      <c r="E196" s="149">
        <v>67.760000000000005</v>
      </c>
      <c r="F196" s="81">
        <f t="shared" si="31"/>
        <v>2493.5700000000002</v>
      </c>
      <c r="G196" s="81">
        <f t="shared" si="33"/>
        <v>2992.28</v>
      </c>
      <c r="H196">
        <v>325</v>
      </c>
    </row>
    <row r="197" spans="1:9" ht="27.6" x14ac:dyDescent="0.3">
      <c r="A197" s="59">
        <f t="shared" si="34"/>
        <v>162</v>
      </c>
      <c r="B197" s="60" t="s">
        <v>374</v>
      </c>
      <c r="C197" s="59" t="s">
        <v>218</v>
      </c>
      <c r="D197" s="63">
        <v>36.799999999999997</v>
      </c>
      <c r="E197" s="149">
        <v>312.27999999999997</v>
      </c>
      <c r="F197" s="81">
        <f t="shared" si="31"/>
        <v>11491.9</v>
      </c>
      <c r="G197" s="81">
        <f t="shared" si="33"/>
        <v>13790.28</v>
      </c>
      <c r="H197">
        <v>3460</v>
      </c>
      <c r="I197" s="169" t="s">
        <v>461</v>
      </c>
    </row>
    <row r="198" spans="1:9" ht="23.25" customHeight="1" x14ac:dyDescent="0.3">
      <c r="A198" s="59"/>
      <c r="B198" s="58" t="s">
        <v>251</v>
      </c>
      <c r="C198" s="59"/>
      <c r="D198" s="61"/>
      <c r="E198" s="149"/>
      <c r="F198" s="81"/>
      <c r="G198" s="81"/>
    </row>
    <row r="199" spans="1:9" ht="27.6" x14ac:dyDescent="0.3">
      <c r="A199" s="59">
        <f>A197+1</f>
        <v>163</v>
      </c>
      <c r="B199" s="60" t="s">
        <v>439</v>
      </c>
      <c r="C199" s="59" t="s">
        <v>182</v>
      </c>
      <c r="D199" s="62">
        <v>21</v>
      </c>
      <c r="E199" s="149">
        <v>2864.48</v>
      </c>
      <c r="F199" s="81">
        <f t="shared" si="31"/>
        <v>60154.080000000002</v>
      </c>
      <c r="G199" s="81">
        <f t="shared" ref="G199:G208" si="35">ROUND(F199*1.2,2)</f>
        <v>72184.899999999994</v>
      </c>
    </row>
    <row r="200" spans="1:9" ht="41.4" x14ac:dyDescent="0.3">
      <c r="A200" s="59">
        <f>A199+1</f>
        <v>164</v>
      </c>
      <c r="B200" s="60" t="s">
        <v>440</v>
      </c>
      <c r="C200" s="59" t="s">
        <v>182</v>
      </c>
      <c r="D200" s="62">
        <v>6</v>
      </c>
      <c r="E200" s="149">
        <v>4021.61</v>
      </c>
      <c r="F200" s="81">
        <f t="shared" si="31"/>
        <v>24129.66</v>
      </c>
      <c r="G200" s="81">
        <f t="shared" si="35"/>
        <v>28955.59</v>
      </c>
    </row>
    <row r="201" spans="1:9" ht="41.4" x14ac:dyDescent="0.3">
      <c r="A201" s="59">
        <f t="shared" ref="A201:A204" si="36">A200+1</f>
        <v>165</v>
      </c>
      <c r="B201" s="60" t="s">
        <v>441</v>
      </c>
      <c r="C201" s="59" t="s">
        <v>207</v>
      </c>
      <c r="D201" s="62">
        <v>2</v>
      </c>
      <c r="E201" s="149">
        <v>5203.95</v>
      </c>
      <c r="F201" s="81">
        <f t="shared" si="31"/>
        <v>10407.9</v>
      </c>
      <c r="G201" s="81">
        <f t="shared" si="35"/>
        <v>12489.48</v>
      </c>
    </row>
    <row r="202" spans="1:9" ht="41.4" x14ac:dyDescent="0.3">
      <c r="A202" s="59">
        <f t="shared" si="36"/>
        <v>166</v>
      </c>
      <c r="B202" s="60" t="s">
        <v>442</v>
      </c>
      <c r="C202" s="59" t="s">
        <v>207</v>
      </c>
      <c r="D202" s="62">
        <v>2</v>
      </c>
      <c r="E202" s="149">
        <v>12511.09</v>
      </c>
      <c r="F202" s="81">
        <f t="shared" si="31"/>
        <v>25022.18</v>
      </c>
      <c r="G202" s="81">
        <f t="shared" si="35"/>
        <v>30026.62</v>
      </c>
    </row>
    <row r="203" spans="1:9" ht="27.6" x14ac:dyDescent="0.3">
      <c r="A203" s="59">
        <f t="shared" si="36"/>
        <v>167</v>
      </c>
      <c r="B203" s="60" t="s">
        <v>388</v>
      </c>
      <c r="C203" s="59" t="s">
        <v>207</v>
      </c>
      <c r="D203" s="62">
        <v>1</v>
      </c>
      <c r="E203" s="149">
        <v>9227.06</v>
      </c>
      <c r="F203" s="81">
        <f t="shared" si="31"/>
        <v>9227.06</v>
      </c>
      <c r="G203" s="81">
        <f t="shared" si="35"/>
        <v>11072.47</v>
      </c>
    </row>
    <row r="204" spans="1:9" ht="22.5" customHeight="1" x14ac:dyDescent="0.3">
      <c r="A204" s="59">
        <f t="shared" si="36"/>
        <v>168</v>
      </c>
      <c r="B204" s="60" t="s">
        <v>389</v>
      </c>
      <c r="C204" s="59" t="s">
        <v>463</v>
      </c>
      <c r="D204" s="62">
        <v>1</v>
      </c>
      <c r="E204" s="149">
        <v>70121.429999999993</v>
      </c>
      <c r="F204" s="81">
        <f t="shared" si="31"/>
        <v>70121.429999999993</v>
      </c>
      <c r="G204" s="81">
        <f t="shared" si="35"/>
        <v>84145.72</v>
      </c>
    </row>
    <row r="205" spans="1:9" ht="23.25" customHeight="1" x14ac:dyDescent="0.3">
      <c r="A205" s="59"/>
      <c r="B205" s="58" t="s">
        <v>395</v>
      </c>
      <c r="C205" s="59"/>
      <c r="D205" s="62"/>
      <c r="E205" s="149"/>
      <c r="F205" s="81"/>
      <c r="G205" s="81"/>
    </row>
    <row r="206" spans="1:9" ht="19.5" customHeight="1" x14ac:dyDescent="0.3">
      <c r="A206" s="59">
        <f>A204+1</f>
        <v>169</v>
      </c>
      <c r="B206" s="60" t="s">
        <v>443</v>
      </c>
      <c r="C206" s="59" t="s">
        <v>182</v>
      </c>
      <c r="D206" s="62">
        <v>21</v>
      </c>
      <c r="E206" s="149">
        <v>1334.42</v>
      </c>
      <c r="F206" s="81">
        <f t="shared" si="31"/>
        <v>28022.82</v>
      </c>
      <c r="G206" s="81">
        <f t="shared" si="35"/>
        <v>33627.379999999997</v>
      </c>
    </row>
    <row r="207" spans="1:9" ht="19.5" customHeight="1" x14ac:dyDescent="0.3">
      <c r="A207" s="59">
        <f>A206+1</f>
        <v>170</v>
      </c>
      <c r="B207" s="60" t="s">
        <v>438</v>
      </c>
      <c r="C207" s="59" t="s">
        <v>218</v>
      </c>
      <c r="D207" s="62">
        <v>8</v>
      </c>
      <c r="E207" s="149">
        <v>436.17</v>
      </c>
      <c r="F207" s="81">
        <f t="shared" si="31"/>
        <v>3489.36</v>
      </c>
      <c r="G207" s="81">
        <f t="shared" si="35"/>
        <v>4187.2299999999996</v>
      </c>
    </row>
    <row r="208" spans="1:9" ht="15.6" x14ac:dyDescent="0.3">
      <c r="A208" s="59">
        <f>A207+1</f>
        <v>171</v>
      </c>
      <c r="B208" s="60" t="s">
        <v>429</v>
      </c>
      <c r="C208" s="59" t="s">
        <v>218</v>
      </c>
      <c r="D208" s="62">
        <v>8</v>
      </c>
      <c r="E208" s="149">
        <v>312.27999999999997</v>
      </c>
      <c r="F208" s="81">
        <f t="shared" si="31"/>
        <v>2498.2399999999998</v>
      </c>
      <c r="G208" s="81">
        <f t="shared" si="35"/>
        <v>2997.89</v>
      </c>
    </row>
    <row r="209" spans="1:9" ht="29.25" customHeight="1" x14ac:dyDescent="0.3">
      <c r="A209" s="134"/>
      <c r="B209" s="455" t="s">
        <v>284</v>
      </c>
      <c r="C209" s="456"/>
      <c r="D209" s="457"/>
      <c r="E209" s="135"/>
      <c r="F209" s="136"/>
      <c r="G209" s="146"/>
    </row>
    <row r="210" spans="1:9" x14ac:dyDescent="0.3">
      <c r="A210" s="59"/>
      <c r="B210" s="58" t="s">
        <v>247</v>
      </c>
      <c r="C210" s="59"/>
      <c r="D210" s="61"/>
      <c r="E210" s="144"/>
      <c r="F210" s="141"/>
      <c r="G210" s="147"/>
    </row>
    <row r="211" spans="1:9" ht="27.6" x14ac:dyDescent="0.3">
      <c r="A211" s="59">
        <f>A208+1</f>
        <v>172</v>
      </c>
      <c r="B211" s="60" t="s">
        <v>369</v>
      </c>
      <c r="C211" s="59" t="s">
        <v>181</v>
      </c>
      <c r="D211" s="62">
        <v>1779</v>
      </c>
      <c r="E211" s="149">
        <v>90.47</v>
      </c>
      <c r="F211" s="81">
        <f t="shared" ref="F211:F231" si="37">ROUND(E211*D211,2)</f>
        <v>160946.13</v>
      </c>
      <c r="G211" s="81">
        <f t="shared" ref="G211:G220" si="38">ROUND(F211*1.2,2)</f>
        <v>193135.35999999999</v>
      </c>
      <c r="H211">
        <v>325</v>
      </c>
    </row>
    <row r="212" spans="1:9" ht="15.6" x14ac:dyDescent="0.3">
      <c r="A212" s="59">
        <f>A211+1</f>
        <v>173</v>
      </c>
      <c r="B212" s="60" t="s">
        <v>370</v>
      </c>
      <c r="C212" s="59" t="s">
        <v>181</v>
      </c>
      <c r="D212" s="62">
        <v>53</v>
      </c>
      <c r="E212" s="149">
        <v>1860.11</v>
      </c>
      <c r="F212" s="81">
        <f t="shared" si="37"/>
        <v>98585.83</v>
      </c>
      <c r="G212" s="81">
        <f t="shared" si="38"/>
        <v>118303</v>
      </c>
      <c r="H212">
        <v>1777</v>
      </c>
    </row>
    <row r="213" spans="1:9" ht="15.6" x14ac:dyDescent="0.3">
      <c r="A213" s="59">
        <f t="shared" ref="A213:A220" si="39">A212+1</f>
        <v>174</v>
      </c>
      <c r="B213" s="60" t="s">
        <v>371</v>
      </c>
      <c r="C213" s="59" t="s">
        <v>181</v>
      </c>
      <c r="D213" s="62">
        <v>40</v>
      </c>
      <c r="E213" s="149">
        <v>1155.67</v>
      </c>
      <c r="F213" s="81">
        <f t="shared" si="37"/>
        <v>46226.8</v>
      </c>
      <c r="G213" s="81">
        <f t="shared" si="38"/>
        <v>55472.160000000003</v>
      </c>
    </row>
    <row r="214" spans="1:9" ht="15.6" x14ac:dyDescent="0.3">
      <c r="A214" s="59">
        <f t="shared" si="39"/>
        <v>175</v>
      </c>
      <c r="B214" s="60" t="s">
        <v>250</v>
      </c>
      <c r="C214" s="59" t="s">
        <v>181</v>
      </c>
      <c r="D214" s="62">
        <v>6</v>
      </c>
      <c r="E214" s="149">
        <v>1456.65</v>
      </c>
      <c r="F214" s="81">
        <f t="shared" si="37"/>
        <v>8739.9</v>
      </c>
      <c r="G214" s="81">
        <f t="shared" si="38"/>
        <v>10487.88</v>
      </c>
      <c r="H214">
        <v>1379</v>
      </c>
    </row>
    <row r="215" spans="1:9" ht="15.6" x14ac:dyDescent="0.3">
      <c r="A215" s="59">
        <f t="shared" si="39"/>
        <v>176</v>
      </c>
      <c r="B215" s="60" t="s">
        <v>372</v>
      </c>
      <c r="C215" s="59" t="s">
        <v>181</v>
      </c>
      <c r="D215" s="62">
        <v>40</v>
      </c>
      <c r="E215" s="149">
        <v>856.54</v>
      </c>
      <c r="F215" s="81">
        <f t="shared" si="37"/>
        <v>34261.599999999999</v>
      </c>
      <c r="G215" s="81">
        <f t="shared" si="38"/>
        <v>41113.919999999998</v>
      </c>
      <c r="H215">
        <v>1379</v>
      </c>
    </row>
    <row r="216" spans="1:9" ht="15.6" x14ac:dyDescent="0.3">
      <c r="A216" s="59">
        <f t="shared" si="39"/>
        <v>177</v>
      </c>
      <c r="B216" s="60" t="s">
        <v>410</v>
      </c>
      <c r="C216" s="59" t="s">
        <v>181</v>
      </c>
      <c r="D216" s="63">
        <v>1681.5</v>
      </c>
      <c r="E216" s="149">
        <v>9.73</v>
      </c>
      <c r="F216" s="81">
        <f t="shared" si="37"/>
        <v>16361</v>
      </c>
      <c r="G216" s="81">
        <f t="shared" si="38"/>
        <v>19633.2</v>
      </c>
      <c r="H216">
        <v>125</v>
      </c>
    </row>
    <row r="217" spans="1:9" ht="15.6" x14ac:dyDescent="0.3">
      <c r="A217" s="59">
        <f t="shared" si="39"/>
        <v>178</v>
      </c>
      <c r="B217" s="60" t="s">
        <v>245</v>
      </c>
      <c r="C217" s="59" t="s">
        <v>181</v>
      </c>
      <c r="D217" s="63">
        <v>1681.5</v>
      </c>
      <c r="E217" s="149">
        <v>197.58</v>
      </c>
      <c r="F217" s="81">
        <f t="shared" si="37"/>
        <v>332230.77</v>
      </c>
      <c r="G217" s="81">
        <f t="shared" si="38"/>
        <v>398676.92</v>
      </c>
      <c r="H217">
        <v>198</v>
      </c>
    </row>
    <row r="218" spans="1:9" ht="15.6" x14ac:dyDescent="0.3">
      <c r="A218" s="59">
        <f t="shared" si="39"/>
        <v>179</v>
      </c>
      <c r="B218" s="60" t="s">
        <v>411</v>
      </c>
      <c r="C218" s="59" t="s">
        <v>181</v>
      </c>
      <c r="D218" s="61">
        <v>88.5</v>
      </c>
      <c r="E218" s="149">
        <v>856.54</v>
      </c>
      <c r="F218" s="81">
        <f t="shared" si="37"/>
        <v>75803.789999999994</v>
      </c>
      <c r="G218" s="81">
        <f t="shared" si="38"/>
        <v>90964.55</v>
      </c>
      <c r="H218">
        <v>899</v>
      </c>
    </row>
    <row r="219" spans="1:9" ht="27.6" x14ac:dyDescent="0.3">
      <c r="A219" s="59">
        <f t="shared" si="39"/>
        <v>180</v>
      </c>
      <c r="B219" s="60" t="s">
        <v>412</v>
      </c>
      <c r="C219" s="59" t="s">
        <v>218</v>
      </c>
      <c r="D219" s="63">
        <v>99.2</v>
      </c>
      <c r="E219" s="149">
        <v>67.760000000000005</v>
      </c>
      <c r="F219" s="81">
        <f t="shared" si="37"/>
        <v>6721.79</v>
      </c>
      <c r="G219" s="81">
        <f t="shared" ref="G219" si="40">ROUND(F219*1.2,2)</f>
        <v>8066.15</v>
      </c>
      <c r="H219">
        <v>325</v>
      </c>
    </row>
    <row r="220" spans="1:9" ht="27.6" x14ac:dyDescent="0.3">
      <c r="A220" s="59">
        <f t="shared" si="39"/>
        <v>181</v>
      </c>
      <c r="B220" s="60" t="s">
        <v>374</v>
      </c>
      <c r="C220" s="59" t="s">
        <v>218</v>
      </c>
      <c r="D220" s="63">
        <v>99.2</v>
      </c>
      <c r="E220" s="149">
        <v>312.27999999999997</v>
      </c>
      <c r="F220" s="81">
        <f t="shared" si="37"/>
        <v>30978.18</v>
      </c>
      <c r="G220" s="81">
        <f t="shared" si="38"/>
        <v>37173.82</v>
      </c>
      <c r="H220">
        <v>3460</v>
      </c>
      <c r="I220" s="169" t="s">
        <v>461</v>
      </c>
    </row>
    <row r="221" spans="1:9" ht="15.6" x14ac:dyDescent="0.3">
      <c r="A221" s="59"/>
      <c r="B221" s="58" t="s">
        <v>251</v>
      </c>
      <c r="C221" s="59"/>
      <c r="D221" s="61"/>
      <c r="E221" s="149"/>
      <c r="F221" s="81"/>
      <c r="G221" s="81"/>
    </row>
    <row r="222" spans="1:9" ht="27.6" x14ac:dyDescent="0.3">
      <c r="A222" s="59">
        <f>A220+1</f>
        <v>182</v>
      </c>
      <c r="B222" s="60" t="s">
        <v>439</v>
      </c>
      <c r="C222" s="59" t="s">
        <v>182</v>
      </c>
      <c r="D222" s="62">
        <v>49</v>
      </c>
      <c r="E222" s="149">
        <v>2864.48</v>
      </c>
      <c r="F222" s="81">
        <f t="shared" si="37"/>
        <v>140359.51999999999</v>
      </c>
      <c r="G222" s="81">
        <f t="shared" ref="G222:G227" si="41">ROUND(F222*1.2,2)</f>
        <v>168431.42</v>
      </c>
    </row>
    <row r="223" spans="1:9" ht="41.4" x14ac:dyDescent="0.3">
      <c r="A223" s="59">
        <f>A222+1</f>
        <v>183</v>
      </c>
      <c r="B223" s="60" t="s">
        <v>440</v>
      </c>
      <c r="C223" s="59" t="s">
        <v>182</v>
      </c>
      <c r="D223" s="62">
        <v>6</v>
      </c>
      <c r="E223" s="149">
        <v>4021.61</v>
      </c>
      <c r="F223" s="81">
        <f t="shared" si="37"/>
        <v>24129.66</v>
      </c>
      <c r="G223" s="81">
        <f t="shared" si="41"/>
        <v>28955.59</v>
      </c>
    </row>
    <row r="224" spans="1:9" ht="41.4" x14ac:dyDescent="0.3">
      <c r="A224" s="59">
        <f t="shared" ref="A224:A227" si="42">A223+1</f>
        <v>184</v>
      </c>
      <c r="B224" s="60" t="s">
        <v>441</v>
      </c>
      <c r="C224" s="59" t="s">
        <v>207</v>
      </c>
      <c r="D224" s="62">
        <v>2</v>
      </c>
      <c r="E224" s="149">
        <v>5203.95</v>
      </c>
      <c r="F224" s="81">
        <f t="shared" si="37"/>
        <v>10407.9</v>
      </c>
      <c r="G224" s="81">
        <f t="shared" si="41"/>
        <v>12489.48</v>
      </c>
    </row>
    <row r="225" spans="1:9" ht="41.4" x14ac:dyDescent="0.3">
      <c r="A225" s="59">
        <f t="shared" si="42"/>
        <v>185</v>
      </c>
      <c r="B225" s="60" t="s">
        <v>442</v>
      </c>
      <c r="C225" s="59" t="s">
        <v>207</v>
      </c>
      <c r="D225" s="62">
        <v>2</v>
      </c>
      <c r="E225" s="149">
        <v>12511.09</v>
      </c>
      <c r="F225" s="81">
        <f t="shared" si="37"/>
        <v>25022.18</v>
      </c>
      <c r="G225" s="81">
        <f t="shared" si="41"/>
        <v>30026.62</v>
      </c>
    </row>
    <row r="226" spans="1:9" ht="27.6" x14ac:dyDescent="0.3">
      <c r="A226" s="59">
        <f t="shared" si="42"/>
        <v>186</v>
      </c>
      <c r="B226" s="60" t="s">
        <v>388</v>
      </c>
      <c r="C226" s="59" t="s">
        <v>207</v>
      </c>
      <c r="D226" s="62">
        <v>1</v>
      </c>
      <c r="E226" s="149">
        <v>9227.06</v>
      </c>
      <c r="F226" s="81">
        <f t="shared" si="37"/>
        <v>9227.06</v>
      </c>
      <c r="G226" s="81">
        <f t="shared" si="41"/>
        <v>11072.47</v>
      </c>
    </row>
    <row r="227" spans="1:9" ht="27.6" x14ac:dyDescent="0.3">
      <c r="A227" s="59">
        <f t="shared" si="42"/>
        <v>187</v>
      </c>
      <c r="B227" s="60" t="s">
        <v>389</v>
      </c>
      <c r="C227" s="59" t="s">
        <v>463</v>
      </c>
      <c r="D227" s="62">
        <v>1</v>
      </c>
      <c r="E227" s="149">
        <v>70121.429999999993</v>
      </c>
      <c r="F227" s="81">
        <f t="shared" si="37"/>
        <v>70121.429999999993</v>
      </c>
      <c r="G227" s="81">
        <f t="shared" si="41"/>
        <v>84145.72</v>
      </c>
    </row>
    <row r="228" spans="1:9" ht="15.6" x14ac:dyDescent="0.3">
      <c r="A228" s="59"/>
      <c r="B228" s="58" t="s">
        <v>395</v>
      </c>
      <c r="C228" s="59"/>
      <c r="D228" s="61"/>
      <c r="E228" s="149"/>
      <c r="F228" s="81"/>
      <c r="G228" s="81"/>
    </row>
    <row r="229" spans="1:9" ht="15.6" x14ac:dyDescent="0.3">
      <c r="A229" s="59">
        <f>A227+1</f>
        <v>188</v>
      </c>
      <c r="B229" s="60" t="s">
        <v>443</v>
      </c>
      <c r="C229" s="59" t="s">
        <v>182</v>
      </c>
      <c r="D229" s="62">
        <v>49</v>
      </c>
      <c r="E229" s="149">
        <v>1334.42</v>
      </c>
      <c r="F229" s="81">
        <f t="shared" si="37"/>
        <v>65386.58</v>
      </c>
      <c r="G229" s="81">
        <f t="shared" ref="G229:G231" si="43">ROUND(F229*1.2,2)</f>
        <v>78463.899999999994</v>
      </c>
    </row>
    <row r="230" spans="1:9" ht="15.6" x14ac:dyDescent="0.3">
      <c r="A230" s="59">
        <f>A229+1</f>
        <v>189</v>
      </c>
      <c r="B230" s="60" t="s">
        <v>438</v>
      </c>
      <c r="C230" s="59" t="s">
        <v>218</v>
      </c>
      <c r="D230" s="63">
        <v>18.7</v>
      </c>
      <c r="E230" s="149">
        <v>412.84</v>
      </c>
      <c r="F230" s="81">
        <f t="shared" si="37"/>
        <v>7720.11</v>
      </c>
      <c r="G230" s="81">
        <f t="shared" si="43"/>
        <v>9264.1299999999992</v>
      </c>
    </row>
    <row r="231" spans="1:9" ht="15.6" x14ac:dyDescent="0.3">
      <c r="A231" s="59">
        <f>A230+1</f>
        <v>190</v>
      </c>
      <c r="B231" s="60" t="s">
        <v>429</v>
      </c>
      <c r="C231" s="59" t="s">
        <v>218</v>
      </c>
      <c r="D231" s="63">
        <v>18.7</v>
      </c>
      <c r="E231" s="149">
        <v>312.27999999999997</v>
      </c>
      <c r="F231" s="81">
        <f t="shared" si="37"/>
        <v>5839.64</v>
      </c>
      <c r="G231" s="81">
        <f t="shared" si="43"/>
        <v>7007.57</v>
      </c>
    </row>
    <row r="232" spans="1:9" ht="23.25" customHeight="1" x14ac:dyDescent="0.3">
      <c r="A232" s="134"/>
      <c r="B232" s="455" t="s">
        <v>285</v>
      </c>
      <c r="C232" s="456"/>
      <c r="D232" s="457"/>
      <c r="E232" s="135"/>
      <c r="F232" s="136"/>
      <c r="G232" s="146"/>
    </row>
    <row r="233" spans="1:9" ht="22.5" customHeight="1" x14ac:dyDescent="0.3">
      <c r="A233" s="59"/>
      <c r="B233" s="58" t="s">
        <v>247</v>
      </c>
      <c r="C233" s="59"/>
      <c r="D233" s="61"/>
      <c r="E233" s="144"/>
      <c r="F233" s="141"/>
      <c r="G233" s="147"/>
    </row>
    <row r="234" spans="1:9" ht="15.6" x14ac:dyDescent="0.3">
      <c r="A234" s="59">
        <f>A231+1</f>
        <v>191</v>
      </c>
      <c r="B234" s="60" t="s">
        <v>246</v>
      </c>
      <c r="C234" s="59" t="s">
        <v>181</v>
      </c>
      <c r="D234" s="63">
        <v>10.8</v>
      </c>
      <c r="E234" s="149">
        <v>1550.1</v>
      </c>
      <c r="F234" s="81">
        <f t="shared" ref="F234:F237" si="44">ROUND(E234*D234,2)</f>
        <v>16741.080000000002</v>
      </c>
      <c r="G234" s="81">
        <f t="shared" ref="G234:G250" si="45">ROUND(F234*1.2,2)</f>
        <v>20089.3</v>
      </c>
      <c r="H234">
        <v>1777</v>
      </c>
    </row>
    <row r="235" spans="1:9" ht="15.6" x14ac:dyDescent="0.3">
      <c r="A235" s="59">
        <f>A234+1</f>
        <v>192</v>
      </c>
      <c r="B235" s="60" t="s">
        <v>444</v>
      </c>
      <c r="C235" s="59" t="s">
        <v>181</v>
      </c>
      <c r="D235" s="63">
        <v>6.7</v>
      </c>
      <c r="E235" s="149">
        <v>856.54</v>
      </c>
      <c r="F235" s="81">
        <f t="shared" si="44"/>
        <v>5738.82</v>
      </c>
      <c r="G235" s="81">
        <f t="shared" si="45"/>
        <v>6886.58</v>
      </c>
      <c r="H235">
        <v>899</v>
      </c>
    </row>
    <row r="236" spans="1:9" ht="15.6" x14ac:dyDescent="0.3">
      <c r="A236" s="59">
        <f t="shared" ref="A236:A237" si="46">A235+1</f>
        <v>193</v>
      </c>
      <c r="B236" s="60" t="s">
        <v>445</v>
      </c>
      <c r="C236" s="59" t="s">
        <v>181</v>
      </c>
      <c r="D236" s="63">
        <v>4.0999999999999996</v>
      </c>
      <c r="E236" s="149">
        <v>518.38</v>
      </c>
      <c r="F236" s="81">
        <f t="shared" si="44"/>
        <v>2125.36</v>
      </c>
      <c r="G236" s="81">
        <f t="shared" si="45"/>
        <v>2550.4299999999998</v>
      </c>
      <c r="H236">
        <v>325</v>
      </c>
    </row>
    <row r="237" spans="1:9" ht="15.6" x14ac:dyDescent="0.3">
      <c r="A237" s="59">
        <f t="shared" si="46"/>
        <v>194</v>
      </c>
      <c r="B237" s="60" t="s">
        <v>446</v>
      </c>
      <c r="C237" s="59" t="s">
        <v>218</v>
      </c>
      <c r="D237" s="61">
        <v>7.18</v>
      </c>
      <c r="E237" s="149">
        <v>312.27999999999997</v>
      </c>
      <c r="F237" s="81">
        <f t="shared" si="44"/>
        <v>2242.17</v>
      </c>
      <c r="G237" s="81">
        <f t="shared" si="45"/>
        <v>2690.6</v>
      </c>
      <c r="H237">
        <v>3460</v>
      </c>
      <c r="I237" s="169" t="s">
        <v>461</v>
      </c>
    </row>
    <row r="238" spans="1:9" ht="18.75" customHeight="1" x14ac:dyDescent="0.3">
      <c r="A238" s="59"/>
      <c r="B238" s="58" t="s">
        <v>447</v>
      </c>
      <c r="C238" s="59"/>
      <c r="D238" s="62"/>
      <c r="E238" s="149"/>
      <c r="F238" s="81"/>
      <c r="G238" s="81"/>
    </row>
    <row r="239" spans="1:9" ht="15.6" x14ac:dyDescent="0.3">
      <c r="A239" s="59">
        <f>A237+1</f>
        <v>195</v>
      </c>
      <c r="B239" s="60" t="s">
        <v>253</v>
      </c>
      <c r="C239" s="59" t="s">
        <v>182</v>
      </c>
      <c r="D239" s="62">
        <v>40</v>
      </c>
      <c r="E239" s="149">
        <v>162.32</v>
      </c>
      <c r="F239" s="81">
        <f t="shared" ref="F239:F245" si="47">ROUND(E239*D239,2)</f>
        <v>6492.8</v>
      </c>
      <c r="G239" s="81">
        <f t="shared" si="45"/>
        <v>7791.36</v>
      </c>
    </row>
    <row r="240" spans="1:9" ht="15.6" x14ac:dyDescent="0.3">
      <c r="A240" s="59">
        <f>A239+1</f>
        <v>196</v>
      </c>
      <c r="B240" s="60" t="s">
        <v>448</v>
      </c>
      <c r="C240" s="59" t="s">
        <v>207</v>
      </c>
      <c r="D240" s="62">
        <v>2</v>
      </c>
      <c r="E240" s="149">
        <v>1976.06</v>
      </c>
      <c r="F240" s="81">
        <f t="shared" si="47"/>
        <v>3952.12</v>
      </c>
      <c r="G240" s="81">
        <f t="shared" si="45"/>
        <v>4742.54</v>
      </c>
    </row>
    <row r="241" spans="1:8" ht="15.6" x14ac:dyDescent="0.3">
      <c r="A241" s="59">
        <f>A240+1</f>
        <v>197</v>
      </c>
      <c r="B241" s="60" t="s">
        <v>449</v>
      </c>
      <c r="C241" s="59" t="s">
        <v>182</v>
      </c>
      <c r="D241" s="62">
        <f>60+180</f>
        <v>240</v>
      </c>
      <c r="E241" s="149">
        <v>64.27</v>
      </c>
      <c r="F241" s="81">
        <f t="shared" si="47"/>
        <v>15424.8</v>
      </c>
      <c r="G241" s="81">
        <f t="shared" si="45"/>
        <v>18509.759999999998</v>
      </c>
    </row>
    <row r="242" spans="1:8" ht="15.6" x14ac:dyDescent="0.3">
      <c r="A242" s="59">
        <f t="shared" ref="A242:A245" si="48">A241+1</f>
        <v>198</v>
      </c>
      <c r="B242" s="60" t="s">
        <v>450</v>
      </c>
      <c r="C242" s="59" t="s">
        <v>182</v>
      </c>
      <c r="D242" s="62">
        <v>240</v>
      </c>
      <c r="E242" s="149">
        <v>151.6</v>
      </c>
      <c r="F242" s="81">
        <f t="shared" si="47"/>
        <v>36384</v>
      </c>
      <c r="G242" s="81">
        <f t="shared" si="45"/>
        <v>43660.800000000003</v>
      </c>
    </row>
    <row r="243" spans="1:8" ht="15.6" x14ac:dyDescent="0.3">
      <c r="A243" s="59">
        <f t="shared" si="48"/>
        <v>199</v>
      </c>
      <c r="B243" s="60" t="s">
        <v>451</v>
      </c>
      <c r="C243" s="59" t="s">
        <v>182</v>
      </c>
      <c r="D243" s="62">
        <v>40</v>
      </c>
      <c r="E243" s="149">
        <v>327.23</v>
      </c>
      <c r="F243" s="81">
        <f t="shared" si="47"/>
        <v>13089.2</v>
      </c>
      <c r="G243" s="81">
        <f t="shared" si="45"/>
        <v>15707.04</v>
      </c>
    </row>
    <row r="244" spans="1:8" ht="15.6" x14ac:dyDescent="0.3">
      <c r="A244" s="59">
        <f t="shared" si="48"/>
        <v>200</v>
      </c>
      <c r="B244" s="60" t="s">
        <v>452</v>
      </c>
      <c r="C244" s="59" t="s">
        <v>207</v>
      </c>
      <c r="D244" s="62">
        <v>4</v>
      </c>
      <c r="E244" s="149">
        <v>8752.73</v>
      </c>
      <c r="F244" s="81">
        <f t="shared" si="47"/>
        <v>35010.92</v>
      </c>
      <c r="G244" s="81">
        <f t="shared" si="45"/>
        <v>42013.1</v>
      </c>
    </row>
    <row r="245" spans="1:8" ht="15.6" x14ac:dyDescent="0.3">
      <c r="A245" s="59">
        <f t="shared" si="48"/>
        <v>201</v>
      </c>
      <c r="B245" s="60" t="s">
        <v>453</v>
      </c>
      <c r="C245" s="59" t="s">
        <v>182</v>
      </c>
      <c r="D245" s="62">
        <v>40</v>
      </c>
      <c r="E245" s="149">
        <v>18.45</v>
      </c>
      <c r="F245" s="81">
        <f t="shared" si="47"/>
        <v>738</v>
      </c>
      <c r="G245" s="81">
        <f t="shared" si="45"/>
        <v>885.6</v>
      </c>
    </row>
    <row r="246" spans="1:8" ht="21.75" customHeight="1" x14ac:dyDescent="0.3">
      <c r="A246" s="59"/>
      <c r="B246" s="58" t="s">
        <v>454</v>
      </c>
      <c r="C246" s="59"/>
      <c r="D246" s="61"/>
      <c r="E246" s="149"/>
      <c r="F246" s="81"/>
      <c r="G246" s="81"/>
    </row>
    <row r="247" spans="1:8" ht="27.6" x14ac:dyDescent="0.3">
      <c r="A247" s="59">
        <f>A245+1</f>
        <v>202</v>
      </c>
      <c r="B247" s="60" t="s">
        <v>455</v>
      </c>
      <c r="C247" s="59" t="s">
        <v>464</v>
      </c>
      <c r="D247" s="62">
        <v>4</v>
      </c>
      <c r="E247" s="149">
        <v>6257.28</v>
      </c>
      <c r="F247" s="81">
        <f t="shared" ref="F247:F250" si="49">ROUND(E247*D247,2)</f>
        <v>25029.119999999999</v>
      </c>
      <c r="G247" s="81">
        <f t="shared" si="45"/>
        <v>30034.94</v>
      </c>
    </row>
    <row r="248" spans="1:8" ht="27.6" x14ac:dyDescent="0.3">
      <c r="A248" s="59">
        <f>A247+1</f>
        <v>203</v>
      </c>
      <c r="B248" s="60" t="s">
        <v>456</v>
      </c>
      <c r="C248" s="59" t="s">
        <v>464</v>
      </c>
      <c r="D248" s="62">
        <v>4</v>
      </c>
      <c r="E248" s="149">
        <v>6257.28</v>
      </c>
      <c r="F248" s="81">
        <f t="shared" si="49"/>
        <v>25029.119999999999</v>
      </c>
      <c r="G248" s="81">
        <f t="shared" si="45"/>
        <v>30034.94</v>
      </c>
    </row>
    <row r="249" spans="1:8" ht="27.6" x14ac:dyDescent="0.3">
      <c r="A249" s="59">
        <f t="shared" ref="A249:A250" si="50">A248+1</f>
        <v>204</v>
      </c>
      <c r="B249" s="60" t="s">
        <v>457</v>
      </c>
      <c r="C249" s="59" t="s">
        <v>464</v>
      </c>
      <c r="D249" s="62">
        <v>4</v>
      </c>
      <c r="E249" s="149">
        <v>6257.28</v>
      </c>
      <c r="F249" s="81">
        <f t="shared" si="49"/>
        <v>25029.119999999999</v>
      </c>
      <c r="G249" s="81">
        <f t="shared" si="45"/>
        <v>30034.94</v>
      </c>
    </row>
    <row r="250" spans="1:8" ht="27.6" x14ac:dyDescent="0.3">
      <c r="A250" s="59">
        <f t="shared" si="50"/>
        <v>205</v>
      </c>
      <c r="B250" s="60" t="s">
        <v>458</v>
      </c>
      <c r="C250" s="59" t="s">
        <v>465</v>
      </c>
      <c r="D250" s="62">
        <v>3</v>
      </c>
      <c r="E250" s="149">
        <v>2329.08</v>
      </c>
      <c r="F250" s="81">
        <f t="shared" si="49"/>
        <v>6987.24</v>
      </c>
      <c r="G250" s="81">
        <f t="shared" si="45"/>
        <v>8384.69</v>
      </c>
    </row>
    <row r="251" spans="1:8" x14ac:dyDescent="0.3">
      <c r="A251" s="145"/>
      <c r="B251" s="458" t="s">
        <v>265</v>
      </c>
      <c r="C251" s="459"/>
      <c r="D251" s="459"/>
      <c r="E251" s="460"/>
      <c r="F251" s="138">
        <f>SUM(F6:F250)</f>
        <v>6681041.8199999994</v>
      </c>
      <c r="G251" s="138">
        <f>SUM(G6:G250)</f>
        <v>8017250.1500000004</v>
      </c>
    </row>
    <row r="252" spans="1:8" x14ac:dyDescent="0.3">
      <c r="A252" s="389" t="s">
        <v>266</v>
      </c>
      <c r="B252" s="390"/>
      <c r="C252" s="390"/>
      <c r="D252" s="390"/>
      <c r="E252" s="391"/>
      <c r="F252" s="171">
        <f>ROUND(F251*0.03,2)</f>
        <v>200431.25</v>
      </c>
      <c r="G252" s="171">
        <f>ROUND(G251*0.03,2)</f>
        <v>240517.5</v>
      </c>
      <c r="H252" s="52"/>
    </row>
    <row r="253" spans="1:8" x14ac:dyDescent="0.3">
      <c r="A253" s="389" t="s">
        <v>267</v>
      </c>
      <c r="B253" s="390"/>
      <c r="C253" s="390"/>
      <c r="D253" s="390"/>
      <c r="E253" s="391"/>
      <c r="F253" s="171">
        <f>F251+F252</f>
        <v>6881473.0699999994</v>
      </c>
      <c r="G253" s="171">
        <f>G251+G252</f>
        <v>8257767.6500000004</v>
      </c>
      <c r="H253" s="52"/>
    </row>
  </sheetData>
  <mergeCells count="18">
    <mergeCell ref="B140:D140"/>
    <mergeCell ref="B163:D163"/>
    <mergeCell ref="B41:D41"/>
    <mergeCell ref="B4:D4"/>
    <mergeCell ref="B69:D69"/>
    <mergeCell ref="B97:D97"/>
    <mergeCell ref="B121:D121"/>
    <mergeCell ref="A1:A2"/>
    <mergeCell ref="B1:B2"/>
    <mergeCell ref="C1:C2"/>
    <mergeCell ref="D1:D2"/>
    <mergeCell ref="E1:G1"/>
    <mergeCell ref="B186:D186"/>
    <mergeCell ref="B209:D209"/>
    <mergeCell ref="B232:D232"/>
    <mergeCell ref="A252:E252"/>
    <mergeCell ref="A253:E253"/>
    <mergeCell ref="B251:E251"/>
  </mergeCells>
  <pageMargins left="0.7" right="0.7" top="0.75" bottom="0.75" header="0.3" footer="0.3"/>
  <pageSetup paperSize="9" scale="62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09"/>
  <sheetViews>
    <sheetView view="pageBreakPreview" topLeftCell="A41" zoomScale="80" zoomScaleNormal="100" zoomScaleSheetLayoutView="80" workbookViewId="0">
      <selection activeCell="G110" sqref="G110"/>
    </sheetView>
  </sheetViews>
  <sheetFormatPr defaultRowHeight="14.4" x14ac:dyDescent="0.3"/>
  <cols>
    <col min="1" max="1" width="7.44140625" customWidth="1"/>
    <col min="2" max="2" width="64" customWidth="1"/>
    <col min="4" max="4" width="9.33203125" bestFit="1" customWidth="1"/>
    <col min="5" max="5" width="14.33203125" bestFit="1" customWidth="1"/>
    <col min="6" max="6" width="17.44140625" customWidth="1"/>
    <col min="7" max="7" width="17.33203125" customWidth="1"/>
    <col min="8" max="8" width="12.6640625" customWidth="1"/>
  </cols>
  <sheetData>
    <row r="1" spans="1:7" ht="19.5" customHeight="1" x14ac:dyDescent="0.3">
      <c r="A1" s="384" t="s">
        <v>213</v>
      </c>
      <c r="B1" s="454" t="s">
        <v>188</v>
      </c>
      <c r="C1" s="384" t="s">
        <v>256</v>
      </c>
      <c r="D1" s="384" t="s">
        <v>189</v>
      </c>
      <c r="E1" s="453" t="s">
        <v>254</v>
      </c>
      <c r="F1" s="453"/>
      <c r="G1" s="453"/>
    </row>
    <row r="2" spans="1:7" s="54" customFormat="1" ht="27.6" x14ac:dyDescent="0.3">
      <c r="A2" s="384"/>
      <c r="B2" s="454"/>
      <c r="C2" s="384"/>
      <c r="D2" s="384"/>
      <c r="E2" s="76" t="s">
        <v>255</v>
      </c>
      <c r="F2" s="85" t="s">
        <v>184</v>
      </c>
      <c r="G2" s="85" t="s">
        <v>185</v>
      </c>
    </row>
    <row r="3" spans="1:7" ht="13.5" customHeight="1" x14ac:dyDescent="0.3">
      <c r="A3" s="130">
        <v>1</v>
      </c>
      <c r="B3" s="131">
        <v>2</v>
      </c>
      <c r="C3" s="131">
        <v>3</v>
      </c>
      <c r="D3" s="131">
        <v>4</v>
      </c>
      <c r="E3" s="131">
        <v>5</v>
      </c>
      <c r="F3" s="131">
        <v>6</v>
      </c>
      <c r="G3" s="131">
        <v>7</v>
      </c>
    </row>
    <row r="4" spans="1:7" ht="19.5" customHeight="1" x14ac:dyDescent="0.3">
      <c r="A4" s="134"/>
      <c r="B4" s="392" t="s">
        <v>276</v>
      </c>
      <c r="C4" s="462"/>
      <c r="D4" s="393"/>
      <c r="E4" s="136"/>
      <c r="F4" s="137"/>
      <c r="G4" s="107"/>
    </row>
    <row r="5" spans="1:7" x14ac:dyDescent="0.3">
      <c r="A5" s="72">
        <v>1</v>
      </c>
      <c r="B5" s="60" t="s">
        <v>222</v>
      </c>
      <c r="C5" s="59" t="s">
        <v>181</v>
      </c>
      <c r="D5" s="63">
        <v>14.3</v>
      </c>
      <c r="E5" s="81">
        <v>1320</v>
      </c>
      <c r="F5" s="81">
        <f>ROUND(E5*D5,2)</f>
        <v>18876</v>
      </c>
      <c r="G5" s="81">
        <f>ROUND(F5*1.2,2)</f>
        <v>22651.200000000001</v>
      </c>
    </row>
    <row r="6" spans="1:7" x14ac:dyDescent="0.3">
      <c r="A6" s="72">
        <f>A5+1</f>
        <v>2</v>
      </c>
      <c r="B6" s="60" t="s">
        <v>286</v>
      </c>
      <c r="C6" s="59" t="s">
        <v>182</v>
      </c>
      <c r="D6" s="62">
        <v>31</v>
      </c>
      <c r="E6" s="81">
        <v>2640</v>
      </c>
      <c r="F6" s="81">
        <f t="shared" ref="F6:F31" si="0">ROUND(E6*D6,2)</f>
        <v>81840</v>
      </c>
      <c r="G6" s="81">
        <f t="shared" ref="G6:G31" si="1">ROUND(F6*1.2,2)</f>
        <v>98208</v>
      </c>
    </row>
    <row r="7" spans="1:7" x14ac:dyDescent="0.3">
      <c r="A7" s="72">
        <f>A6+1</f>
        <v>3</v>
      </c>
      <c r="B7" s="60" t="s">
        <v>287</v>
      </c>
      <c r="C7" s="59" t="s">
        <v>182</v>
      </c>
      <c r="D7" s="62">
        <v>6</v>
      </c>
      <c r="E7" s="81">
        <v>9680</v>
      </c>
      <c r="F7" s="81">
        <f t="shared" si="0"/>
        <v>58080</v>
      </c>
      <c r="G7" s="81">
        <f t="shared" si="1"/>
        <v>69696</v>
      </c>
    </row>
    <row r="8" spans="1:7" x14ac:dyDescent="0.3">
      <c r="A8" s="72">
        <f t="shared" ref="A8:A31" si="2">A7+1</f>
        <v>4</v>
      </c>
      <c r="B8" s="60" t="s">
        <v>288</v>
      </c>
      <c r="C8" s="59" t="s">
        <v>207</v>
      </c>
      <c r="D8" s="62">
        <v>2</v>
      </c>
      <c r="E8" s="81">
        <v>3300</v>
      </c>
      <c r="F8" s="81">
        <f t="shared" si="0"/>
        <v>6600</v>
      </c>
      <c r="G8" s="81">
        <f t="shared" si="1"/>
        <v>7920</v>
      </c>
    </row>
    <row r="9" spans="1:7" x14ac:dyDescent="0.3">
      <c r="A9" s="72">
        <f t="shared" si="2"/>
        <v>5</v>
      </c>
      <c r="B9" s="60" t="s">
        <v>289</v>
      </c>
      <c r="C9" s="59" t="s">
        <v>207</v>
      </c>
      <c r="D9" s="62">
        <v>2</v>
      </c>
      <c r="E9" s="81">
        <v>3410</v>
      </c>
      <c r="F9" s="81">
        <f t="shared" si="0"/>
        <v>6820</v>
      </c>
      <c r="G9" s="81">
        <f t="shared" si="1"/>
        <v>8184</v>
      </c>
    </row>
    <row r="10" spans="1:7" ht="27.6" x14ac:dyDescent="0.3">
      <c r="A10" s="72">
        <f t="shared" si="2"/>
        <v>6</v>
      </c>
      <c r="B10" s="60" t="s">
        <v>290</v>
      </c>
      <c r="C10" s="59" t="s">
        <v>207</v>
      </c>
      <c r="D10" s="62">
        <v>2</v>
      </c>
      <c r="E10" s="81">
        <v>3740</v>
      </c>
      <c r="F10" s="81">
        <f t="shared" si="0"/>
        <v>7480</v>
      </c>
      <c r="G10" s="81">
        <f t="shared" si="1"/>
        <v>8976</v>
      </c>
    </row>
    <row r="11" spans="1:7" x14ac:dyDescent="0.3">
      <c r="A11" s="72">
        <f t="shared" si="2"/>
        <v>7</v>
      </c>
      <c r="B11" s="60" t="s">
        <v>291</v>
      </c>
      <c r="C11" s="59" t="s">
        <v>219</v>
      </c>
      <c r="D11" s="65">
        <v>8.7479999999999993</v>
      </c>
      <c r="E11" s="81">
        <v>127</v>
      </c>
      <c r="F11" s="81">
        <f t="shared" si="0"/>
        <v>1111</v>
      </c>
      <c r="G11" s="81">
        <f t="shared" si="1"/>
        <v>1333.2</v>
      </c>
    </row>
    <row r="12" spans="1:7" x14ac:dyDescent="0.3">
      <c r="A12" s="72">
        <f t="shared" si="2"/>
        <v>8</v>
      </c>
      <c r="B12" s="60" t="s">
        <v>292</v>
      </c>
      <c r="C12" s="59" t="s">
        <v>219</v>
      </c>
      <c r="D12" s="65">
        <v>2.556</v>
      </c>
      <c r="E12" s="81">
        <v>147</v>
      </c>
      <c r="F12" s="81">
        <f t="shared" si="0"/>
        <v>375.73</v>
      </c>
      <c r="G12" s="81">
        <f t="shared" si="1"/>
        <v>450.88</v>
      </c>
    </row>
    <row r="13" spans="1:7" x14ac:dyDescent="0.3">
      <c r="A13" s="72">
        <f t="shared" si="2"/>
        <v>9</v>
      </c>
      <c r="B13" s="60" t="s">
        <v>293</v>
      </c>
      <c r="C13" s="59" t="s">
        <v>219</v>
      </c>
      <c r="D13" s="66">
        <v>1.2347999999999999</v>
      </c>
      <c r="E13" s="81">
        <v>197</v>
      </c>
      <c r="F13" s="81">
        <f t="shared" si="0"/>
        <v>243.26</v>
      </c>
      <c r="G13" s="81">
        <f t="shared" si="1"/>
        <v>291.91000000000003</v>
      </c>
    </row>
    <row r="14" spans="1:7" ht="27.6" x14ac:dyDescent="0.3">
      <c r="A14" s="72">
        <f t="shared" si="2"/>
        <v>10</v>
      </c>
      <c r="B14" s="60" t="s">
        <v>294</v>
      </c>
      <c r="C14" s="59" t="s">
        <v>207</v>
      </c>
      <c r="D14" s="62">
        <v>2</v>
      </c>
      <c r="E14" s="81">
        <v>3699</v>
      </c>
      <c r="F14" s="81">
        <f t="shared" si="0"/>
        <v>7398</v>
      </c>
      <c r="G14" s="81">
        <f t="shared" si="1"/>
        <v>8877.6</v>
      </c>
    </row>
    <row r="15" spans="1:7" x14ac:dyDescent="0.3">
      <c r="A15" s="72">
        <f t="shared" si="2"/>
        <v>11</v>
      </c>
      <c r="B15" s="60" t="s">
        <v>295</v>
      </c>
      <c r="C15" s="59" t="s">
        <v>207</v>
      </c>
      <c r="D15" s="62">
        <v>1</v>
      </c>
      <c r="E15" s="81">
        <v>18150</v>
      </c>
      <c r="F15" s="81">
        <f t="shared" si="0"/>
        <v>18150</v>
      </c>
      <c r="G15" s="81">
        <f t="shared" si="1"/>
        <v>21780</v>
      </c>
    </row>
    <row r="16" spans="1:7" ht="27.6" x14ac:dyDescent="0.3">
      <c r="A16" s="72">
        <f t="shared" si="2"/>
        <v>12</v>
      </c>
      <c r="B16" s="60" t="s">
        <v>296</v>
      </c>
      <c r="C16" s="59" t="s">
        <v>207</v>
      </c>
      <c r="D16" s="62">
        <v>3</v>
      </c>
      <c r="E16" s="81">
        <v>61</v>
      </c>
      <c r="F16" s="81">
        <f t="shared" si="0"/>
        <v>183</v>
      </c>
      <c r="G16" s="81">
        <f t="shared" si="1"/>
        <v>219.6</v>
      </c>
    </row>
    <row r="17" spans="1:8" x14ac:dyDescent="0.3">
      <c r="A17" s="72">
        <f t="shared" si="2"/>
        <v>13</v>
      </c>
      <c r="B17" s="60" t="s">
        <v>297</v>
      </c>
      <c r="C17" s="59" t="s">
        <v>207</v>
      </c>
      <c r="D17" s="62">
        <v>1</v>
      </c>
      <c r="E17" s="81">
        <v>10450</v>
      </c>
      <c r="F17" s="81">
        <f t="shared" si="0"/>
        <v>10450</v>
      </c>
      <c r="G17" s="81">
        <f t="shared" si="1"/>
        <v>12540</v>
      </c>
    </row>
    <row r="18" spans="1:8" x14ac:dyDescent="0.3">
      <c r="A18" s="72">
        <f t="shared" si="2"/>
        <v>14</v>
      </c>
      <c r="B18" s="60" t="s">
        <v>298</v>
      </c>
      <c r="C18" s="59" t="s">
        <v>207</v>
      </c>
      <c r="D18" s="62">
        <v>1</v>
      </c>
      <c r="E18" s="81">
        <v>3410</v>
      </c>
      <c r="F18" s="81">
        <f t="shared" si="0"/>
        <v>3410</v>
      </c>
      <c r="G18" s="81">
        <f t="shared" si="1"/>
        <v>4092</v>
      </c>
    </row>
    <row r="19" spans="1:8" x14ac:dyDescent="0.3">
      <c r="A19" s="72">
        <f t="shared" si="2"/>
        <v>15</v>
      </c>
      <c r="B19" s="60" t="s">
        <v>299</v>
      </c>
      <c r="C19" s="64" t="s">
        <v>181</v>
      </c>
      <c r="D19" s="62">
        <v>1</v>
      </c>
      <c r="E19" s="81">
        <v>3850</v>
      </c>
      <c r="F19" s="81">
        <f t="shared" si="0"/>
        <v>3850</v>
      </c>
      <c r="G19" s="81">
        <f t="shared" si="1"/>
        <v>4620</v>
      </c>
    </row>
    <row r="20" spans="1:8" x14ac:dyDescent="0.3">
      <c r="A20" s="72">
        <f t="shared" si="2"/>
        <v>16</v>
      </c>
      <c r="B20" s="60" t="s">
        <v>300</v>
      </c>
      <c r="C20" s="64" t="s">
        <v>207</v>
      </c>
      <c r="D20" s="68" t="s">
        <v>301</v>
      </c>
      <c r="E20" s="81">
        <v>4565</v>
      </c>
      <c r="F20" s="81">
        <f t="shared" si="0"/>
        <v>4565</v>
      </c>
      <c r="G20" s="81">
        <f t="shared" si="1"/>
        <v>5478</v>
      </c>
    </row>
    <row r="21" spans="1:8" x14ac:dyDescent="0.3">
      <c r="A21" s="72">
        <f t="shared" si="2"/>
        <v>17</v>
      </c>
      <c r="B21" s="60" t="s">
        <v>302</v>
      </c>
      <c r="C21" s="64" t="s">
        <v>207</v>
      </c>
      <c r="D21" s="68" t="s">
        <v>301</v>
      </c>
      <c r="E21" s="81">
        <v>4290</v>
      </c>
      <c r="F21" s="81">
        <f t="shared" si="0"/>
        <v>4290</v>
      </c>
      <c r="G21" s="81">
        <f t="shared" si="1"/>
        <v>5148</v>
      </c>
    </row>
    <row r="22" spans="1:8" x14ac:dyDescent="0.3">
      <c r="A22" s="72">
        <f t="shared" si="2"/>
        <v>18</v>
      </c>
      <c r="B22" s="60" t="s">
        <v>303</v>
      </c>
      <c r="C22" s="64" t="s">
        <v>207</v>
      </c>
      <c r="D22" s="68" t="s">
        <v>304</v>
      </c>
      <c r="E22" s="81">
        <v>5060</v>
      </c>
      <c r="F22" s="81">
        <f t="shared" si="0"/>
        <v>10120</v>
      </c>
      <c r="G22" s="81">
        <f t="shared" si="1"/>
        <v>12144</v>
      </c>
    </row>
    <row r="23" spans="1:8" x14ac:dyDescent="0.3">
      <c r="A23" s="72">
        <f t="shared" si="2"/>
        <v>19</v>
      </c>
      <c r="B23" s="60" t="s">
        <v>305</v>
      </c>
      <c r="C23" s="64" t="s">
        <v>207</v>
      </c>
      <c r="D23" s="68" t="s">
        <v>301</v>
      </c>
      <c r="E23" s="81">
        <v>4070.0000000000005</v>
      </c>
      <c r="F23" s="81">
        <f t="shared" si="0"/>
        <v>4070</v>
      </c>
      <c r="G23" s="81">
        <f t="shared" si="1"/>
        <v>4884</v>
      </c>
    </row>
    <row r="24" spans="1:8" x14ac:dyDescent="0.3">
      <c r="A24" s="72">
        <f t="shared" si="2"/>
        <v>20</v>
      </c>
      <c r="B24" s="60" t="s">
        <v>306</v>
      </c>
      <c r="C24" s="64" t="s">
        <v>207</v>
      </c>
      <c r="D24" s="68" t="s">
        <v>301</v>
      </c>
      <c r="E24" s="81">
        <v>6199</v>
      </c>
      <c r="F24" s="81">
        <f t="shared" si="0"/>
        <v>6199</v>
      </c>
      <c r="G24" s="81">
        <f t="shared" si="1"/>
        <v>7438.8</v>
      </c>
    </row>
    <row r="25" spans="1:8" x14ac:dyDescent="0.3">
      <c r="A25" s="72">
        <f t="shared" si="2"/>
        <v>21</v>
      </c>
      <c r="B25" s="60" t="s">
        <v>307</v>
      </c>
      <c r="C25" s="64" t="s">
        <v>207</v>
      </c>
      <c r="D25" s="68" t="s">
        <v>301</v>
      </c>
      <c r="E25" s="81">
        <v>15180</v>
      </c>
      <c r="F25" s="81">
        <f t="shared" si="0"/>
        <v>15180</v>
      </c>
      <c r="G25" s="81">
        <f t="shared" si="1"/>
        <v>18216</v>
      </c>
    </row>
    <row r="26" spans="1:8" x14ac:dyDescent="0.3">
      <c r="A26" s="72">
        <f t="shared" si="2"/>
        <v>22</v>
      </c>
      <c r="B26" s="60" t="s">
        <v>308</v>
      </c>
      <c r="C26" s="64" t="s">
        <v>219</v>
      </c>
      <c r="D26" s="68" t="s">
        <v>309</v>
      </c>
      <c r="E26" s="81">
        <v>702</v>
      </c>
      <c r="F26" s="81">
        <f t="shared" si="0"/>
        <v>16146</v>
      </c>
      <c r="G26" s="81">
        <f t="shared" si="1"/>
        <v>19375.2</v>
      </c>
    </row>
    <row r="27" spans="1:8" x14ac:dyDescent="0.3">
      <c r="A27" s="72">
        <f t="shared" si="2"/>
        <v>23</v>
      </c>
      <c r="B27" s="60" t="s">
        <v>310</v>
      </c>
      <c r="C27" s="64" t="s">
        <v>182</v>
      </c>
      <c r="D27" s="164">
        <f>6*0.245</f>
        <v>1.47</v>
      </c>
      <c r="E27" s="81">
        <v>319</v>
      </c>
      <c r="F27" s="81">
        <f t="shared" si="0"/>
        <v>468.93</v>
      </c>
      <c r="G27" s="81">
        <f t="shared" si="1"/>
        <v>562.72</v>
      </c>
    </row>
    <row r="28" spans="1:8" x14ac:dyDescent="0.3">
      <c r="A28" s="72">
        <f t="shared" si="2"/>
        <v>24</v>
      </c>
      <c r="B28" s="60" t="s">
        <v>311</v>
      </c>
      <c r="C28" s="64" t="s">
        <v>219</v>
      </c>
      <c r="D28" s="164">
        <f>0.3*6*3.1</f>
        <v>5.5799999999999992</v>
      </c>
      <c r="E28" s="81">
        <v>95</v>
      </c>
      <c r="F28" s="81">
        <f t="shared" si="0"/>
        <v>530.1</v>
      </c>
      <c r="G28" s="81">
        <f t="shared" si="1"/>
        <v>636.12</v>
      </c>
    </row>
    <row r="29" spans="1:8" x14ac:dyDescent="0.3">
      <c r="A29" s="72">
        <f t="shared" si="2"/>
        <v>25</v>
      </c>
      <c r="B29" s="60" t="s">
        <v>312</v>
      </c>
      <c r="C29" s="64" t="s">
        <v>219</v>
      </c>
      <c r="D29" s="68" t="s">
        <v>313</v>
      </c>
      <c r="E29" s="81">
        <v>250</v>
      </c>
      <c r="F29" s="81">
        <f t="shared" si="0"/>
        <v>1250</v>
      </c>
      <c r="G29" s="81">
        <f t="shared" si="1"/>
        <v>1500</v>
      </c>
    </row>
    <row r="30" spans="1:8" x14ac:dyDescent="0.3">
      <c r="A30" s="72">
        <f t="shared" si="2"/>
        <v>26</v>
      </c>
      <c r="B30" s="60" t="s">
        <v>221</v>
      </c>
      <c r="C30" s="64" t="s">
        <v>219</v>
      </c>
      <c r="D30" s="68" t="s">
        <v>314</v>
      </c>
      <c r="E30" s="81">
        <v>312</v>
      </c>
      <c r="F30" s="81">
        <f t="shared" si="0"/>
        <v>10608</v>
      </c>
      <c r="G30" s="81">
        <f t="shared" si="1"/>
        <v>12729.6</v>
      </c>
    </row>
    <row r="31" spans="1:8" x14ac:dyDescent="0.3">
      <c r="A31" s="72">
        <f t="shared" si="2"/>
        <v>27</v>
      </c>
      <c r="B31" s="60" t="s">
        <v>315</v>
      </c>
      <c r="C31" s="64" t="s">
        <v>181</v>
      </c>
      <c r="D31" s="68" t="s">
        <v>316</v>
      </c>
      <c r="E31" s="81">
        <v>1368</v>
      </c>
      <c r="F31" s="81">
        <f t="shared" si="0"/>
        <v>957.6</v>
      </c>
      <c r="G31" s="81">
        <f t="shared" si="1"/>
        <v>1149.1199999999999</v>
      </c>
      <c r="H31" s="168"/>
    </row>
    <row r="32" spans="1:8" ht="21.75" customHeight="1" x14ac:dyDescent="0.3">
      <c r="A32" s="134"/>
      <c r="B32" s="455" t="s">
        <v>277</v>
      </c>
      <c r="C32" s="456"/>
      <c r="D32" s="456"/>
      <c r="E32" s="136"/>
      <c r="F32" s="137"/>
      <c r="G32" s="107"/>
    </row>
    <row r="33" spans="1:8" x14ac:dyDescent="0.3">
      <c r="A33" s="59">
        <f>A31+1</f>
        <v>28</v>
      </c>
      <c r="B33" s="60" t="s">
        <v>222</v>
      </c>
      <c r="C33" s="59" t="s">
        <v>181</v>
      </c>
      <c r="D33" s="62">
        <v>47</v>
      </c>
      <c r="E33" s="81">
        <v>1320</v>
      </c>
      <c r="F33" s="81">
        <f t="shared" ref="F33:F45" si="3">ROUND(E33*D33,2)</f>
        <v>62040</v>
      </c>
      <c r="G33" s="81">
        <f t="shared" ref="G33:G45" si="4">ROUND(F33*1.2,2)</f>
        <v>74448</v>
      </c>
    </row>
    <row r="34" spans="1:8" x14ac:dyDescent="0.3">
      <c r="A34" s="59">
        <f t="shared" ref="A34:A45" si="5">A33+1</f>
        <v>29</v>
      </c>
      <c r="B34" s="60" t="s">
        <v>317</v>
      </c>
      <c r="C34" s="64" t="s">
        <v>182</v>
      </c>
      <c r="D34" s="68" t="s">
        <v>318</v>
      </c>
      <c r="E34" s="81">
        <v>1430</v>
      </c>
      <c r="F34" s="81">
        <f t="shared" si="3"/>
        <v>138710</v>
      </c>
      <c r="G34" s="81">
        <f t="shared" si="4"/>
        <v>166452</v>
      </c>
    </row>
    <row r="35" spans="1:8" x14ac:dyDescent="0.3">
      <c r="A35" s="59">
        <f t="shared" si="5"/>
        <v>30</v>
      </c>
      <c r="B35" s="60" t="s">
        <v>319</v>
      </c>
      <c r="C35" s="64" t="s">
        <v>182</v>
      </c>
      <c r="D35" s="68" t="s">
        <v>320</v>
      </c>
      <c r="E35" s="81">
        <v>8140</v>
      </c>
      <c r="F35" s="81">
        <f t="shared" si="3"/>
        <v>48840</v>
      </c>
      <c r="G35" s="81">
        <f t="shared" si="4"/>
        <v>58608</v>
      </c>
    </row>
    <row r="36" spans="1:8" x14ac:dyDescent="0.3">
      <c r="A36" s="59">
        <f t="shared" si="5"/>
        <v>31</v>
      </c>
      <c r="B36" s="60" t="s">
        <v>321</v>
      </c>
      <c r="C36" s="64" t="s">
        <v>178</v>
      </c>
      <c r="D36" s="68" t="s">
        <v>304</v>
      </c>
      <c r="E36" s="81">
        <v>2090</v>
      </c>
      <c r="F36" s="81">
        <f t="shared" si="3"/>
        <v>4180</v>
      </c>
      <c r="G36" s="81">
        <f t="shared" si="4"/>
        <v>5016</v>
      </c>
    </row>
    <row r="37" spans="1:8" x14ac:dyDescent="0.3">
      <c r="A37" s="59">
        <f t="shared" si="5"/>
        <v>32</v>
      </c>
      <c r="B37" s="60" t="s">
        <v>322</v>
      </c>
      <c r="C37" s="64" t="s">
        <v>178</v>
      </c>
      <c r="D37" s="68">
        <v>1</v>
      </c>
      <c r="E37" s="81">
        <v>4840</v>
      </c>
      <c r="F37" s="81">
        <f t="shared" si="3"/>
        <v>4840</v>
      </c>
      <c r="G37" s="81">
        <f t="shared" si="4"/>
        <v>5808</v>
      </c>
    </row>
    <row r="38" spans="1:8" ht="27.6" x14ac:dyDescent="0.3">
      <c r="A38" s="59">
        <f t="shared" si="5"/>
        <v>33</v>
      </c>
      <c r="B38" s="60" t="s">
        <v>323</v>
      </c>
      <c r="C38" s="64" t="s">
        <v>178</v>
      </c>
      <c r="D38" s="68">
        <v>1</v>
      </c>
      <c r="E38" s="81">
        <v>50</v>
      </c>
      <c r="F38" s="81">
        <f t="shared" si="3"/>
        <v>50</v>
      </c>
      <c r="G38" s="81">
        <f t="shared" si="4"/>
        <v>60</v>
      </c>
    </row>
    <row r="39" spans="1:8" x14ac:dyDescent="0.3">
      <c r="A39" s="59">
        <f t="shared" si="5"/>
        <v>34</v>
      </c>
      <c r="B39" s="60" t="s">
        <v>342</v>
      </c>
      <c r="C39" s="64" t="s">
        <v>178</v>
      </c>
      <c r="D39" s="68">
        <v>1</v>
      </c>
      <c r="E39" s="81">
        <v>5720</v>
      </c>
      <c r="F39" s="81">
        <f t="shared" si="3"/>
        <v>5720</v>
      </c>
      <c r="G39" s="81">
        <f t="shared" si="4"/>
        <v>6864</v>
      </c>
    </row>
    <row r="40" spans="1:8" x14ac:dyDescent="0.3">
      <c r="A40" s="59">
        <f t="shared" si="5"/>
        <v>35</v>
      </c>
      <c r="B40" s="60" t="s">
        <v>325</v>
      </c>
      <c r="C40" s="64" t="s">
        <v>219</v>
      </c>
      <c r="D40" s="165">
        <f>8*0.243</f>
        <v>1.944</v>
      </c>
      <c r="E40" s="81">
        <v>127</v>
      </c>
      <c r="F40" s="81">
        <f t="shared" si="3"/>
        <v>246.89</v>
      </c>
      <c r="G40" s="81">
        <f t="shared" si="4"/>
        <v>296.27</v>
      </c>
    </row>
    <row r="41" spans="1:8" x14ac:dyDescent="0.3">
      <c r="A41" s="59">
        <f t="shared" si="5"/>
        <v>36</v>
      </c>
      <c r="B41" s="60" t="s">
        <v>326</v>
      </c>
      <c r="C41" s="64" t="s">
        <v>219</v>
      </c>
      <c r="D41" s="165">
        <f>8*0.071</f>
        <v>0.56799999999999995</v>
      </c>
      <c r="E41" s="81">
        <v>147</v>
      </c>
      <c r="F41" s="81">
        <f t="shared" si="3"/>
        <v>83.5</v>
      </c>
      <c r="G41" s="81">
        <f t="shared" si="4"/>
        <v>100.2</v>
      </c>
    </row>
    <row r="42" spans="1:8" x14ac:dyDescent="0.3">
      <c r="A42" s="59">
        <f t="shared" si="5"/>
        <v>37</v>
      </c>
      <c r="B42" s="60" t="s">
        <v>327</v>
      </c>
      <c r="C42" s="64" t="s">
        <v>219</v>
      </c>
      <c r="D42" s="165">
        <f>16*0.0172</f>
        <v>0.2752</v>
      </c>
      <c r="E42" s="81">
        <v>197</v>
      </c>
      <c r="F42" s="81">
        <f t="shared" si="3"/>
        <v>54.21</v>
      </c>
      <c r="G42" s="81">
        <f t="shared" si="4"/>
        <v>65.05</v>
      </c>
    </row>
    <row r="43" spans="1:8" ht="27.6" x14ac:dyDescent="0.3">
      <c r="A43" s="59">
        <f t="shared" si="5"/>
        <v>38</v>
      </c>
      <c r="B43" s="60" t="s">
        <v>328</v>
      </c>
      <c r="C43" s="64" t="s">
        <v>178</v>
      </c>
      <c r="D43" s="68">
        <v>1</v>
      </c>
      <c r="E43" s="81">
        <v>2200</v>
      </c>
      <c r="F43" s="81">
        <f t="shared" si="3"/>
        <v>2200</v>
      </c>
      <c r="G43" s="81">
        <f t="shared" si="4"/>
        <v>2640</v>
      </c>
    </row>
    <row r="44" spans="1:8" x14ac:dyDescent="0.3">
      <c r="A44" s="59">
        <f t="shared" si="5"/>
        <v>39</v>
      </c>
      <c r="B44" s="60" t="s">
        <v>329</v>
      </c>
      <c r="C44" s="64" t="s">
        <v>178</v>
      </c>
      <c r="D44" s="68">
        <v>1</v>
      </c>
      <c r="E44" s="81">
        <v>6380</v>
      </c>
      <c r="F44" s="81">
        <f t="shared" si="3"/>
        <v>6380</v>
      </c>
      <c r="G44" s="81">
        <f t="shared" si="4"/>
        <v>7656</v>
      </c>
    </row>
    <row r="45" spans="1:8" x14ac:dyDescent="0.3">
      <c r="A45" s="59">
        <f t="shared" si="5"/>
        <v>40</v>
      </c>
      <c r="B45" s="60" t="s">
        <v>299</v>
      </c>
      <c r="C45" s="64" t="s">
        <v>181</v>
      </c>
      <c r="D45" s="68" t="s">
        <v>330</v>
      </c>
      <c r="E45" s="81">
        <v>3850</v>
      </c>
      <c r="F45" s="81">
        <f t="shared" si="3"/>
        <v>2348.5</v>
      </c>
      <c r="G45" s="81">
        <f t="shared" si="4"/>
        <v>2818.2</v>
      </c>
      <c r="H45" s="168"/>
    </row>
    <row r="46" spans="1:8" ht="21" customHeight="1" x14ac:dyDescent="0.3">
      <c r="A46" s="134"/>
      <c r="B46" s="392" t="s">
        <v>278</v>
      </c>
      <c r="C46" s="462"/>
      <c r="D46" s="462"/>
      <c r="E46" s="136"/>
      <c r="F46" s="137"/>
      <c r="G46" s="107"/>
    </row>
    <row r="47" spans="1:8" x14ac:dyDescent="0.3">
      <c r="A47" s="59">
        <f>A45+1</f>
        <v>41</v>
      </c>
      <c r="B47" s="60" t="s">
        <v>222</v>
      </c>
      <c r="C47" s="59" t="s">
        <v>181</v>
      </c>
      <c r="D47" s="62">
        <v>56</v>
      </c>
      <c r="E47" s="81">
        <v>1320</v>
      </c>
      <c r="F47" s="81">
        <f t="shared" ref="F47:F55" si="6">ROUND(E47*D47,2)</f>
        <v>73920</v>
      </c>
      <c r="G47" s="81">
        <f t="shared" ref="G47:G59" si="7">ROUND(F47*1.2,2)</f>
        <v>88704</v>
      </c>
    </row>
    <row r="48" spans="1:8" x14ac:dyDescent="0.3">
      <c r="A48" s="59">
        <f>A47+1</f>
        <v>42</v>
      </c>
      <c r="B48" s="60" t="s">
        <v>331</v>
      </c>
      <c r="C48" s="59" t="s">
        <v>182</v>
      </c>
      <c r="D48" s="68" t="s">
        <v>332</v>
      </c>
      <c r="E48" s="81">
        <v>2750</v>
      </c>
      <c r="F48" s="81">
        <f t="shared" si="6"/>
        <v>225500</v>
      </c>
      <c r="G48" s="81">
        <f t="shared" si="7"/>
        <v>270600</v>
      </c>
    </row>
    <row r="49" spans="1:8" x14ac:dyDescent="0.3">
      <c r="A49" s="59">
        <f t="shared" ref="A49:A59" si="8">A48+1</f>
        <v>43</v>
      </c>
      <c r="B49" s="60" t="s">
        <v>287</v>
      </c>
      <c r="C49" s="59" t="s">
        <v>182</v>
      </c>
      <c r="D49" s="68" t="s">
        <v>333</v>
      </c>
      <c r="E49" s="81">
        <v>9680</v>
      </c>
      <c r="F49" s="81">
        <f t="shared" si="6"/>
        <v>396880</v>
      </c>
      <c r="G49" s="81">
        <f t="shared" si="7"/>
        <v>476256</v>
      </c>
    </row>
    <row r="50" spans="1:8" x14ac:dyDescent="0.3">
      <c r="A50" s="59">
        <f t="shared" si="8"/>
        <v>44</v>
      </c>
      <c r="B50" s="60" t="s">
        <v>334</v>
      </c>
      <c r="C50" s="59" t="s">
        <v>207</v>
      </c>
      <c r="D50" s="68" t="s">
        <v>335</v>
      </c>
      <c r="E50" s="81">
        <v>3740</v>
      </c>
      <c r="F50" s="81">
        <f t="shared" si="6"/>
        <v>44880</v>
      </c>
      <c r="G50" s="81">
        <f t="shared" si="7"/>
        <v>53856</v>
      </c>
    </row>
    <row r="51" spans="1:8" x14ac:dyDescent="0.3">
      <c r="A51" s="59">
        <f t="shared" si="8"/>
        <v>45</v>
      </c>
      <c r="B51" s="60" t="s">
        <v>336</v>
      </c>
      <c r="C51" s="59" t="s">
        <v>178</v>
      </c>
      <c r="D51" s="62">
        <v>1</v>
      </c>
      <c r="E51" s="81">
        <v>7480</v>
      </c>
      <c r="F51" s="81">
        <f t="shared" si="6"/>
        <v>7480</v>
      </c>
      <c r="G51" s="81">
        <f t="shared" si="7"/>
        <v>8976</v>
      </c>
    </row>
    <row r="52" spans="1:8" x14ac:dyDescent="0.3">
      <c r="A52" s="59">
        <f t="shared" si="8"/>
        <v>46</v>
      </c>
      <c r="B52" s="60" t="s">
        <v>322</v>
      </c>
      <c r="C52" s="59" t="s">
        <v>207</v>
      </c>
      <c r="D52" s="62">
        <v>2</v>
      </c>
      <c r="E52" s="81">
        <v>4840</v>
      </c>
      <c r="F52" s="81">
        <f t="shared" si="6"/>
        <v>9680</v>
      </c>
      <c r="G52" s="81">
        <f t="shared" si="7"/>
        <v>11616</v>
      </c>
    </row>
    <row r="53" spans="1:8" ht="27.6" x14ac:dyDescent="0.3">
      <c r="A53" s="59">
        <f t="shared" si="8"/>
        <v>47</v>
      </c>
      <c r="B53" s="60" t="s">
        <v>337</v>
      </c>
      <c r="C53" s="59" t="s">
        <v>207</v>
      </c>
      <c r="D53" s="62">
        <v>2</v>
      </c>
      <c r="E53" s="81">
        <v>88</v>
      </c>
      <c r="F53" s="81">
        <f t="shared" si="6"/>
        <v>176</v>
      </c>
      <c r="G53" s="81">
        <f t="shared" si="7"/>
        <v>211.2</v>
      </c>
    </row>
    <row r="54" spans="1:8" x14ac:dyDescent="0.3">
      <c r="A54" s="59">
        <f t="shared" si="8"/>
        <v>48</v>
      </c>
      <c r="B54" s="60" t="s">
        <v>324</v>
      </c>
      <c r="C54" s="59" t="s">
        <v>207</v>
      </c>
      <c r="D54" s="62">
        <v>2</v>
      </c>
      <c r="E54" s="81">
        <v>5720</v>
      </c>
      <c r="F54" s="81">
        <f t="shared" si="6"/>
        <v>11440</v>
      </c>
      <c r="G54" s="81">
        <f t="shared" si="7"/>
        <v>13728</v>
      </c>
    </row>
    <row r="55" spans="1:8" x14ac:dyDescent="0.3">
      <c r="A55" s="59">
        <f t="shared" si="8"/>
        <v>49</v>
      </c>
      <c r="B55" s="60" t="s">
        <v>338</v>
      </c>
      <c r="C55" s="64" t="s">
        <v>219</v>
      </c>
      <c r="D55" s="165">
        <f>24*0.243</f>
        <v>5.8319999999999999</v>
      </c>
      <c r="E55" s="81">
        <v>127</v>
      </c>
      <c r="F55" s="81">
        <f t="shared" si="6"/>
        <v>740.66</v>
      </c>
      <c r="G55" s="81">
        <f t="shared" si="7"/>
        <v>888.79</v>
      </c>
    </row>
    <row r="56" spans="1:8" x14ac:dyDescent="0.3">
      <c r="A56" s="59">
        <f t="shared" si="8"/>
        <v>50</v>
      </c>
      <c r="B56" s="60" t="s">
        <v>339</v>
      </c>
      <c r="C56" s="64" t="s">
        <v>219</v>
      </c>
      <c r="D56" s="165">
        <f>24*0.071</f>
        <v>1.7039999999999997</v>
      </c>
      <c r="E56" s="81">
        <v>147</v>
      </c>
      <c r="F56" s="81">
        <f t="shared" ref="F56:F59" si="9">ROUND(E56*D56,2)</f>
        <v>250.49</v>
      </c>
      <c r="G56" s="81">
        <f t="shared" si="7"/>
        <v>300.58999999999997</v>
      </c>
    </row>
    <row r="57" spans="1:8" x14ac:dyDescent="0.3">
      <c r="A57" s="59">
        <f t="shared" si="8"/>
        <v>51</v>
      </c>
      <c r="B57" s="60" t="s">
        <v>340</v>
      </c>
      <c r="C57" s="64" t="s">
        <v>219</v>
      </c>
      <c r="D57" s="165">
        <f>48*0.0172</f>
        <v>0.8256</v>
      </c>
      <c r="E57" s="81">
        <v>197</v>
      </c>
      <c r="F57" s="81">
        <f t="shared" si="9"/>
        <v>162.63999999999999</v>
      </c>
      <c r="G57" s="81">
        <f t="shared" si="7"/>
        <v>195.17</v>
      </c>
    </row>
    <row r="58" spans="1:8" ht="27.6" x14ac:dyDescent="0.3">
      <c r="A58" s="59">
        <f t="shared" si="8"/>
        <v>52</v>
      </c>
      <c r="B58" s="60" t="s">
        <v>341</v>
      </c>
      <c r="C58" s="59" t="s">
        <v>207</v>
      </c>
      <c r="D58" s="68">
        <v>2</v>
      </c>
      <c r="E58" s="81">
        <v>4730</v>
      </c>
      <c r="F58" s="81">
        <f t="shared" si="9"/>
        <v>9460</v>
      </c>
      <c r="G58" s="81">
        <f t="shared" si="7"/>
        <v>11352</v>
      </c>
    </row>
    <row r="59" spans="1:8" x14ac:dyDescent="0.3">
      <c r="A59" s="59">
        <f t="shared" si="8"/>
        <v>53</v>
      </c>
      <c r="B59" s="60" t="s">
        <v>299</v>
      </c>
      <c r="C59" s="59" t="s">
        <v>181</v>
      </c>
      <c r="D59" s="68" t="s">
        <v>320</v>
      </c>
      <c r="E59" s="81">
        <v>3850</v>
      </c>
      <c r="F59" s="81">
        <f t="shared" si="9"/>
        <v>23100</v>
      </c>
      <c r="G59" s="81">
        <f t="shared" si="7"/>
        <v>27720</v>
      </c>
      <c r="H59" s="168"/>
    </row>
    <row r="60" spans="1:8" ht="22.5" customHeight="1" x14ac:dyDescent="0.3">
      <c r="A60" s="134"/>
      <c r="B60" s="392" t="s">
        <v>279</v>
      </c>
      <c r="C60" s="462"/>
      <c r="D60" s="462"/>
      <c r="E60" s="136"/>
      <c r="F60" s="137"/>
      <c r="G60" s="107"/>
    </row>
    <row r="61" spans="1:8" x14ac:dyDescent="0.3">
      <c r="A61" s="59">
        <f>A59+1</f>
        <v>54</v>
      </c>
      <c r="B61" s="60" t="s">
        <v>222</v>
      </c>
      <c r="C61" s="59" t="s">
        <v>181</v>
      </c>
      <c r="D61" s="62">
        <v>19</v>
      </c>
      <c r="E61" s="81">
        <v>1320</v>
      </c>
      <c r="F61" s="81">
        <f t="shared" ref="F61:F66" si="10">ROUND(E61*D61,2)</f>
        <v>25080</v>
      </c>
      <c r="G61" s="81">
        <f t="shared" ref="G61:G66" si="11">ROUND(F61*1.2,2)</f>
        <v>30096</v>
      </c>
    </row>
    <row r="62" spans="1:8" ht="27.6" x14ac:dyDescent="0.3">
      <c r="A62" s="59">
        <f>A61+1</f>
        <v>55</v>
      </c>
      <c r="B62" s="60" t="s">
        <v>343</v>
      </c>
      <c r="C62" s="59" t="s">
        <v>182</v>
      </c>
      <c r="D62" s="68" t="s">
        <v>344</v>
      </c>
      <c r="E62" s="81">
        <v>1430</v>
      </c>
      <c r="F62" s="81">
        <f t="shared" si="10"/>
        <v>60060</v>
      </c>
      <c r="G62" s="81">
        <f t="shared" si="11"/>
        <v>72072</v>
      </c>
    </row>
    <row r="63" spans="1:8" x14ac:dyDescent="0.3">
      <c r="A63" s="59">
        <f t="shared" ref="A63:A66" si="12">A62+1</f>
        <v>56</v>
      </c>
      <c r="B63" s="60" t="s">
        <v>345</v>
      </c>
      <c r="C63" s="59" t="s">
        <v>182</v>
      </c>
      <c r="D63" s="68" t="s">
        <v>320</v>
      </c>
      <c r="E63" s="81">
        <v>8140</v>
      </c>
      <c r="F63" s="81">
        <f t="shared" si="10"/>
        <v>48840</v>
      </c>
      <c r="G63" s="81">
        <f t="shared" si="11"/>
        <v>58608</v>
      </c>
    </row>
    <row r="64" spans="1:8" x14ac:dyDescent="0.3">
      <c r="A64" s="59">
        <f t="shared" si="12"/>
        <v>57</v>
      </c>
      <c r="B64" s="60" t="s">
        <v>346</v>
      </c>
      <c r="C64" s="59" t="s">
        <v>207</v>
      </c>
      <c r="D64" s="68">
        <v>2</v>
      </c>
      <c r="E64" s="81">
        <v>2090</v>
      </c>
      <c r="F64" s="81">
        <f t="shared" si="10"/>
        <v>4180</v>
      </c>
      <c r="G64" s="81">
        <f t="shared" si="11"/>
        <v>5016</v>
      </c>
    </row>
    <row r="65" spans="1:8" ht="33.75" customHeight="1" x14ac:dyDescent="0.3">
      <c r="A65" s="59">
        <f t="shared" si="12"/>
        <v>58</v>
      </c>
      <c r="B65" s="60" t="s">
        <v>347</v>
      </c>
      <c r="C65" s="59" t="s">
        <v>207</v>
      </c>
      <c r="D65" s="68">
        <v>2</v>
      </c>
      <c r="E65" s="81">
        <v>2420</v>
      </c>
      <c r="F65" s="81">
        <f t="shared" si="10"/>
        <v>4840</v>
      </c>
      <c r="G65" s="81">
        <f t="shared" si="11"/>
        <v>5808</v>
      </c>
    </row>
    <row r="66" spans="1:8" x14ac:dyDescent="0.3">
      <c r="A66" s="59">
        <f t="shared" si="12"/>
        <v>59</v>
      </c>
      <c r="B66" s="60" t="s">
        <v>299</v>
      </c>
      <c r="C66" s="59" t="s">
        <v>181</v>
      </c>
      <c r="D66" s="68" t="s">
        <v>301</v>
      </c>
      <c r="E66" s="81">
        <v>3850</v>
      </c>
      <c r="F66" s="81">
        <f t="shared" si="10"/>
        <v>3850</v>
      </c>
      <c r="G66" s="81">
        <f t="shared" si="11"/>
        <v>4620</v>
      </c>
      <c r="H66" s="168"/>
    </row>
    <row r="67" spans="1:8" ht="23.25" customHeight="1" x14ac:dyDescent="0.3">
      <c r="A67" s="134"/>
      <c r="B67" s="392" t="s">
        <v>280</v>
      </c>
      <c r="C67" s="462"/>
      <c r="D67" s="462"/>
      <c r="E67" s="136"/>
      <c r="F67" s="137"/>
      <c r="G67" s="107"/>
    </row>
    <row r="68" spans="1:8" ht="18.75" customHeight="1" x14ac:dyDescent="0.3">
      <c r="A68" s="59">
        <f>A66+1</f>
        <v>60</v>
      </c>
      <c r="B68" s="60" t="s">
        <v>222</v>
      </c>
      <c r="C68" s="59" t="s">
        <v>181</v>
      </c>
      <c r="D68" s="62">
        <v>11</v>
      </c>
      <c r="E68" s="81">
        <v>1320</v>
      </c>
      <c r="F68" s="81">
        <f t="shared" ref="F68:F73" si="13">ROUND(E68*D68,2)</f>
        <v>14520</v>
      </c>
      <c r="G68" s="81">
        <f t="shared" ref="G68:G73" si="14">ROUND(F68*1.2,2)</f>
        <v>17424</v>
      </c>
    </row>
    <row r="69" spans="1:8" ht="15.75" customHeight="1" x14ac:dyDescent="0.3">
      <c r="A69" s="59">
        <f>A68+1</f>
        <v>61</v>
      </c>
      <c r="B69" s="60" t="s">
        <v>348</v>
      </c>
      <c r="C69" s="59" t="s">
        <v>182</v>
      </c>
      <c r="D69" s="68" t="s">
        <v>309</v>
      </c>
      <c r="E69" s="81">
        <v>1430</v>
      </c>
      <c r="F69" s="81">
        <f t="shared" si="13"/>
        <v>32890</v>
      </c>
      <c r="G69" s="81">
        <f t="shared" si="14"/>
        <v>39468</v>
      </c>
    </row>
    <row r="70" spans="1:8" ht="18" customHeight="1" x14ac:dyDescent="0.3">
      <c r="A70" s="59">
        <f t="shared" ref="A70:A73" si="15">A69+1</f>
        <v>62</v>
      </c>
      <c r="B70" s="60" t="s">
        <v>345</v>
      </c>
      <c r="C70" s="59" t="s">
        <v>182</v>
      </c>
      <c r="D70" s="68" t="s">
        <v>320</v>
      </c>
      <c r="E70" s="81">
        <v>8140</v>
      </c>
      <c r="F70" s="81">
        <f t="shared" si="13"/>
        <v>48840</v>
      </c>
      <c r="G70" s="81">
        <f t="shared" si="14"/>
        <v>58608</v>
      </c>
    </row>
    <row r="71" spans="1:8" ht="19.5" customHeight="1" x14ac:dyDescent="0.3">
      <c r="A71" s="59">
        <f t="shared" si="15"/>
        <v>63</v>
      </c>
      <c r="B71" s="60" t="s">
        <v>346</v>
      </c>
      <c r="C71" s="59" t="s">
        <v>207</v>
      </c>
      <c r="D71" s="68" t="s">
        <v>304</v>
      </c>
      <c r="E71" s="81">
        <v>2090</v>
      </c>
      <c r="F71" s="81">
        <f t="shared" si="13"/>
        <v>4180</v>
      </c>
      <c r="G71" s="81">
        <f t="shared" si="14"/>
        <v>5016</v>
      </c>
    </row>
    <row r="72" spans="1:8" ht="27.6" x14ac:dyDescent="0.3">
      <c r="A72" s="59">
        <f t="shared" si="15"/>
        <v>64</v>
      </c>
      <c r="B72" s="60" t="s">
        <v>349</v>
      </c>
      <c r="C72" s="59" t="s">
        <v>207</v>
      </c>
      <c r="D72" s="68">
        <v>4</v>
      </c>
      <c r="E72" s="81">
        <v>2420</v>
      </c>
      <c r="F72" s="81">
        <f t="shared" si="13"/>
        <v>9680</v>
      </c>
      <c r="G72" s="81">
        <f t="shared" si="14"/>
        <v>11616</v>
      </c>
    </row>
    <row r="73" spans="1:8" x14ac:dyDescent="0.3">
      <c r="A73" s="59">
        <f t="shared" si="15"/>
        <v>65</v>
      </c>
      <c r="B73" s="60" t="s">
        <v>299</v>
      </c>
      <c r="C73" s="59" t="s">
        <v>181</v>
      </c>
      <c r="D73" s="68" t="s">
        <v>301</v>
      </c>
      <c r="E73" s="81">
        <v>3850</v>
      </c>
      <c r="F73" s="81">
        <f t="shared" si="13"/>
        <v>3850</v>
      </c>
      <c r="G73" s="81">
        <f t="shared" si="14"/>
        <v>4620</v>
      </c>
      <c r="H73" s="168"/>
    </row>
    <row r="74" spans="1:8" ht="21.75" customHeight="1" x14ac:dyDescent="0.3">
      <c r="A74" s="134"/>
      <c r="B74" s="392" t="s">
        <v>281</v>
      </c>
      <c r="C74" s="462"/>
      <c r="D74" s="462"/>
      <c r="E74" s="136"/>
      <c r="F74" s="137"/>
      <c r="G74" s="107"/>
    </row>
    <row r="75" spans="1:8" x14ac:dyDescent="0.3">
      <c r="A75" s="59">
        <f>A73+1</f>
        <v>66</v>
      </c>
      <c r="B75" s="60" t="s">
        <v>222</v>
      </c>
      <c r="C75" s="59" t="s">
        <v>181</v>
      </c>
      <c r="D75" s="62">
        <v>42</v>
      </c>
      <c r="E75" s="81">
        <v>1320</v>
      </c>
      <c r="F75" s="81">
        <f t="shared" ref="F75:F80" si="16">ROUND(E75*D75,2)</f>
        <v>55440</v>
      </c>
      <c r="G75" s="81">
        <f t="shared" ref="G75:G80" si="17">ROUND(F75*1.2,2)</f>
        <v>66528</v>
      </c>
    </row>
    <row r="76" spans="1:8" x14ac:dyDescent="0.3">
      <c r="A76" s="59">
        <f>A75+1</f>
        <v>67</v>
      </c>
      <c r="B76" s="60" t="s">
        <v>350</v>
      </c>
      <c r="C76" s="59" t="s">
        <v>182</v>
      </c>
      <c r="D76" s="68" t="s">
        <v>351</v>
      </c>
      <c r="E76" s="81">
        <v>16500</v>
      </c>
      <c r="F76" s="81">
        <f t="shared" si="16"/>
        <v>511500</v>
      </c>
      <c r="G76" s="81">
        <f t="shared" si="17"/>
        <v>613800</v>
      </c>
    </row>
    <row r="77" spans="1:8" x14ac:dyDescent="0.3">
      <c r="A77" s="59">
        <f t="shared" ref="A77:A80" si="18">A76+1</f>
        <v>68</v>
      </c>
      <c r="B77" s="60" t="s">
        <v>352</v>
      </c>
      <c r="C77" s="59" t="s">
        <v>182</v>
      </c>
      <c r="D77" s="68" t="s">
        <v>320</v>
      </c>
      <c r="E77" s="81">
        <v>19800</v>
      </c>
      <c r="F77" s="81">
        <f t="shared" si="16"/>
        <v>118800</v>
      </c>
      <c r="G77" s="81">
        <f t="shared" si="17"/>
        <v>142560</v>
      </c>
    </row>
    <row r="78" spans="1:8" x14ac:dyDescent="0.3">
      <c r="A78" s="59">
        <f t="shared" si="18"/>
        <v>69</v>
      </c>
      <c r="B78" s="60" t="s">
        <v>353</v>
      </c>
      <c r="C78" s="59" t="s">
        <v>207</v>
      </c>
      <c r="D78" s="68">
        <v>2</v>
      </c>
      <c r="E78" s="81">
        <v>10340</v>
      </c>
      <c r="F78" s="81">
        <f t="shared" si="16"/>
        <v>20680</v>
      </c>
      <c r="G78" s="81">
        <f t="shared" si="17"/>
        <v>24816</v>
      </c>
    </row>
    <row r="79" spans="1:8" ht="27.6" x14ac:dyDescent="0.3">
      <c r="A79" s="59">
        <f t="shared" si="18"/>
        <v>70</v>
      </c>
      <c r="B79" s="60" t="s">
        <v>354</v>
      </c>
      <c r="C79" s="59" t="s">
        <v>207</v>
      </c>
      <c r="D79" s="68">
        <v>2</v>
      </c>
      <c r="E79" s="81">
        <v>70923</v>
      </c>
      <c r="F79" s="81">
        <f t="shared" si="16"/>
        <v>141846</v>
      </c>
      <c r="G79" s="81">
        <f t="shared" si="17"/>
        <v>170215.2</v>
      </c>
    </row>
    <row r="80" spans="1:8" x14ac:dyDescent="0.3">
      <c r="A80" s="59">
        <f t="shared" si="18"/>
        <v>71</v>
      </c>
      <c r="B80" s="60" t="s">
        <v>299</v>
      </c>
      <c r="C80" s="59" t="s">
        <v>181</v>
      </c>
      <c r="D80" s="68" t="s">
        <v>304</v>
      </c>
      <c r="E80" s="81">
        <v>3850</v>
      </c>
      <c r="F80" s="81">
        <f t="shared" si="16"/>
        <v>7700</v>
      </c>
      <c r="G80" s="81">
        <f t="shared" si="17"/>
        <v>9240</v>
      </c>
      <c r="H80" s="168"/>
    </row>
    <row r="81" spans="1:8" ht="21" customHeight="1" x14ac:dyDescent="0.3">
      <c r="A81" s="134"/>
      <c r="B81" s="392" t="s">
        <v>282</v>
      </c>
      <c r="C81" s="462"/>
      <c r="D81" s="462"/>
      <c r="E81" s="136"/>
      <c r="F81" s="137"/>
      <c r="G81" s="107"/>
    </row>
    <row r="82" spans="1:8" x14ac:dyDescent="0.3">
      <c r="A82" s="59">
        <f>A80+1</f>
        <v>72</v>
      </c>
      <c r="B82" s="60" t="s">
        <v>222</v>
      </c>
      <c r="C82" s="59" t="s">
        <v>181</v>
      </c>
      <c r="D82" s="62">
        <v>26</v>
      </c>
      <c r="E82" s="81">
        <v>1320</v>
      </c>
      <c r="F82" s="81">
        <f t="shared" ref="F82:F87" si="19">ROUND(E82*D82,2)</f>
        <v>34320</v>
      </c>
      <c r="G82" s="81">
        <f t="shared" ref="G82:G87" si="20">ROUND(F82*1.2,2)</f>
        <v>41184</v>
      </c>
    </row>
    <row r="83" spans="1:8" x14ac:dyDescent="0.3">
      <c r="A83" s="59">
        <f>A82+1</f>
        <v>73</v>
      </c>
      <c r="B83" s="60" t="s">
        <v>355</v>
      </c>
      <c r="C83" s="59" t="s">
        <v>182</v>
      </c>
      <c r="D83" s="68" t="s">
        <v>351</v>
      </c>
      <c r="E83" s="81">
        <v>7480</v>
      </c>
      <c r="F83" s="81">
        <f t="shared" si="19"/>
        <v>231880</v>
      </c>
      <c r="G83" s="81">
        <f t="shared" si="20"/>
        <v>278256</v>
      </c>
    </row>
    <row r="84" spans="1:8" x14ac:dyDescent="0.3">
      <c r="A84" s="59">
        <f t="shared" ref="A84:A87" si="21">A83+1</f>
        <v>74</v>
      </c>
      <c r="B84" s="60" t="s">
        <v>356</v>
      </c>
      <c r="C84" s="59" t="s">
        <v>182</v>
      </c>
      <c r="D84" s="68" t="s">
        <v>320</v>
      </c>
      <c r="E84" s="81">
        <v>11110</v>
      </c>
      <c r="F84" s="81">
        <f t="shared" si="19"/>
        <v>66660</v>
      </c>
      <c r="G84" s="81">
        <f t="shared" si="20"/>
        <v>79992</v>
      </c>
    </row>
    <row r="85" spans="1:8" x14ac:dyDescent="0.3">
      <c r="A85" s="59">
        <f t="shared" si="21"/>
        <v>75</v>
      </c>
      <c r="B85" s="60" t="s">
        <v>357</v>
      </c>
      <c r="C85" s="59" t="s">
        <v>207</v>
      </c>
      <c r="D85" s="68">
        <v>2</v>
      </c>
      <c r="E85" s="81">
        <v>7260</v>
      </c>
      <c r="F85" s="81">
        <f t="shared" si="19"/>
        <v>14520</v>
      </c>
      <c r="G85" s="81">
        <f t="shared" si="20"/>
        <v>17424</v>
      </c>
    </row>
    <row r="86" spans="1:8" ht="27.6" x14ac:dyDescent="0.3">
      <c r="A86" s="59">
        <f t="shared" si="21"/>
        <v>76</v>
      </c>
      <c r="B86" s="60" t="s">
        <v>358</v>
      </c>
      <c r="C86" s="59" t="s">
        <v>207</v>
      </c>
      <c r="D86" s="68">
        <v>2</v>
      </c>
      <c r="E86" s="81">
        <v>14014</v>
      </c>
      <c r="F86" s="81">
        <f t="shared" si="19"/>
        <v>28028</v>
      </c>
      <c r="G86" s="81">
        <f t="shared" si="20"/>
        <v>33633.599999999999</v>
      </c>
    </row>
    <row r="87" spans="1:8" x14ac:dyDescent="0.3">
      <c r="A87" s="59">
        <f t="shared" si="21"/>
        <v>77</v>
      </c>
      <c r="B87" s="60" t="s">
        <v>299</v>
      </c>
      <c r="C87" s="59" t="s">
        <v>181</v>
      </c>
      <c r="D87" s="68" t="s">
        <v>301</v>
      </c>
      <c r="E87" s="81">
        <v>3850</v>
      </c>
      <c r="F87" s="81">
        <f t="shared" si="19"/>
        <v>3850</v>
      </c>
      <c r="G87" s="81">
        <f t="shared" si="20"/>
        <v>4620</v>
      </c>
      <c r="H87" s="168"/>
    </row>
    <row r="88" spans="1:8" ht="24.75" customHeight="1" x14ac:dyDescent="0.3">
      <c r="A88" s="134"/>
      <c r="B88" s="392" t="s">
        <v>283</v>
      </c>
      <c r="C88" s="462"/>
      <c r="D88" s="462"/>
      <c r="E88" s="136"/>
      <c r="F88" s="137"/>
      <c r="G88" s="107"/>
    </row>
    <row r="89" spans="1:8" x14ac:dyDescent="0.3">
      <c r="A89" s="59">
        <f>A87+1</f>
        <v>78</v>
      </c>
      <c r="B89" s="60" t="s">
        <v>222</v>
      </c>
      <c r="C89" s="59" t="s">
        <v>181</v>
      </c>
      <c r="D89" s="62">
        <v>15</v>
      </c>
      <c r="E89" s="81">
        <v>1320</v>
      </c>
      <c r="F89" s="81">
        <f t="shared" ref="F89" si="22">ROUND(E89*D89,2)</f>
        <v>19800</v>
      </c>
      <c r="G89" s="81">
        <f t="shared" ref="G89" si="23">ROUND(F89*1.2,2)</f>
        <v>23760</v>
      </c>
    </row>
    <row r="90" spans="1:8" x14ac:dyDescent="0.3">
      <c r="A90" s="59">
        <f>A89+1</f>
        <v>79</v>
      </c>
      <c r="B90" s="60" t="s">
        <v>355</v>
      </c>
      <c r="C90" s="59" t="s">
        <v>182</v>
      </c>
      <c r="D90" s="68" t="s">
        <v>359</v>
      </c>
      <c r="E90" s="81">
        <v>7480</v>
      </c>
      <c r="F90" s="81">
        <f t="shared" ref="F90:F93" si="24">ROUND(E90*D90,2)</f>
        <v>157080</v>
      </c>
      <c r="G90" s="81">
        <f t="shared" ref="G90:G93" si="25">ROUND(F90*1.2,2)</f>
        <v>188496</v>
      </c>
    </row>
    <row r="91" spans="1:8" x14ac:dyDescent="0.3">
      <c r="A91" s="59">
        <f t="shared" ref="A91:A94" si="26">A90+1</f>
        <v>80</v>
      </c>
      <c r="B91" s="60" t="s">
        <v>356</v>
      </c>
      <c r="C91" s="59" t="s">
        <v>182</v>
      </c>
      <c r="D91" s="68" t="s">
        <v>320</v>
      </c>
      <c r="E91" s="81">
        <v>11110</v>
      </c>
      <c r="F91" s="81">
        <f t="shared" si="24"/>
        <v>66660</v>
      </c>
      <c r="G91" s="81">
        <f t="shared" si="25"/>
        <v>79992</v>
      </c>
    </row>
    <row r="92" spans="1:8" x14ac:dyDescent="0.3">
      <c r="A92" s="59">
        <f t="shared" si="26"/>
        <v>81</v>
      </c>
      <c r="B92" s="60" t="s">
        <v>357</v>
      </c>
      <c r="C92" s="59" t="s">
        <v>207</v>
      </c>
      <c r="D92" s="68">
        <v>2</v>
      </c>
      <c r="E92" s="81">
        <v>7260</v>
      </c>
      <c r="F92" s="81">
        <f t="shared" si="24"/>
        <v>14520</v>
      </c>
      <c r="G92" s="81">
        <f t="shared" si="25"/>
        <v>17424</v>
      </c>
    </row>
    <row r="93" spans="1:8" ht="32.25" customHeight="1" x14ac:dyDescent="0.3">
      <c r="A93" s="59">
        <f t="shared" si="26"/>
        <v>82</v>
      </c>
      <c r="B93" s="60" t="s">
        <v>358</v>
      </c>
      <c r="C93" s="59" t="s">
        <v>207</v>
      </c>
      <c r="D93" s="68">
        <v>2</v>
      </c>
      <c r="E93" s="81">
        <v>14014</v>
      </c>
      <c r="F93" s="81">
        <f t="shared" si="24"/>
        <v>28028</v>
      </c>
      <c r="G93" s="81">
        <f t="shared" si="25"/>
        <v>33633.599999999999</v>
      </c>
    </row>
    <row r="94" spans="1:8" ht="21" customHeight="1" x14ac:dyDescent="0.3">
      <c r="A94" s="59">
        <f t="shared" si="26"/>
        <v>83</v>
      </c>
      <c r="B94" s="60" t="s">
        <v>299</v>
      </c>
      <c r="C94" s="59" t="s">
        <v>181</v>
      </c>
      <c r="D94" s="68" t="s">
        <v>301</v>
      </c>
      <c r="E94" s="81">
        <v>3850</v>
      </c>
      <c r="F94" s="81">
        <f t="shared" ref="F94" si="27">ROUND(E94*D94,2)</f>
        <v>3850</v>
      </c>
      <c r="G94" s="81">
        <f t="shared" ref="G94" si="28">ROUND(F94*1.2,2)</f>
        <v>4620</v>
      </c>
      <c r="H94" s="168"/>
    </row>
    <row r="95" spans="1:8" ht="23.25" customHeight="1" x14ac:dyDescent="0.3">
      <c r="A95" s="134"/>
      <c r="B95" s="392" t="s">
        <v>284</v>
      </c>
      <c r="C95" s="462"/>
      <c r="D95" s="462"/>
      <c r="E95" s="136"/>
      <c r="F95" s="137"/>
      <c r="G95" s="107"/>
    </row>
    <row r="96" spans="1:8" x14ac:dyDescent="0.3">
      <c r="A96" s="59">
        <f>A94+1</f>
        <v>84</v>
      </c>
      <c r="B96" s="60" t="s">
        <v>222</v>
      </c>
      <c r="C96" s="59" t="s">
        <v>181</v>
      </c>
      <c r="D96" s="62">
        <v>46</v>
      </c>
      <c r="E96" s="81">
        <v>1320</v>
      </c>
      <c r="F96" s="81">
        <f t="shared" ref="F96" si="29">ROUND(E96*D96,2)</f>
        <v>60720</v>
      </c>
      <c r="G96" s="81">
        <f t="shared" ref="G96" si="30">ROUND(F96*1.2,2)</f>
        <v>72864</v>
      </c>
    </row>
    <row r="97" spans="1:8" x14ac:dyDescent="0.3">
      <c r="A97" s="59">
        <f>A96+1</f>
        <v>85</v>
      </c>
      <c r="B97" s="60" t="s">
        <v>355</v>
      </c>
      <c r="C97" s="59" t="s">
        <v>182</v>
      </c>
      <c r="D97" s="68" t="s">
        <v>360</v>
      </c>
      <c r="E97" s="81">
        <v>7480</v>
      </c>
      <c r="F97" s="81">
        <f t="shared" ref="F97:F100" si="31">ROUND(E97*D97,2)</f>
        <v>366520</v>
      </c>
      <c r="G97" s="81">
        <f t="shared" ref="G97:G100" si="32">ROUND(F97*1.2,2)</f>
        <v>439824</v>
      </c>
    </row>
    <row r="98" spans="1:8" x14ac:dyDescent="0.3">
      <c r="A98" s="59">
        <f t="shared" ref="A98:A101" si="33">A97+1</f>
        <v>86</v>
      </c>
      <c r="B98" s="60" t="s">
        <v>356</v>
      </c>
      <c r="C98" s="59" t="s">
        <v>182</v>
      </c>
      <c r="D98" s="68" t="s">
        <v>320</v>
      </c>
      <c r="E98" s="81">
        <v>11110</v>
      </c>
      <c r="F98" s="81">
        <f t="shared" si="31"/>
        <v>66660</v>
      </c>
      <c r="G98" s="81">
        <f t="shared" si="32"/>
        <v>79992</v>
      </c>
    </row>
    <row r="99" spans="1:8" x14ac:dyDescent="0.3">
      <c r="A99" s="59">
        <f t="shared" si="33"/>
        <v>87</v>
      </c>
      <c r="B99" s="60" t="s">
        <v>357</v>
      </c>
      <c r="C99" s="59" t="s">
        <v>207</v>
      </c>
      <c r="D99" s="68">
        <v>2</v>
      </c>
      <c r="E99" s="81">
        <v>7260</v>
      </c>
      <c r="F99" s="81">
        <f t="shared" si="31"/>
        <v>14520</v>
      </c>
      <c r="G99" s="81">
        <f t="shared" si="32"/>
        <v>17424</v>
      </c>
    </row>
    <row r="100" spans="1:8" ht="27.6" x14ac:dyDescent="0.3">
      <c r="A100" s="59">
        <f t="shared" si="33"/>
        <v>88</v>
      </c>
      <c r="B100" s="60" t="s">
        <v>358</v>
      </c>
      <c r="C100" s="59" t="s">
        <v>207</v>
      </c>
      <c r="D100" s="68">
        <v>2</v>
      </c>
      <c r="E100" s="81">
        <v>14014</v>
      </c>
      <c r="F100" s="81">
        <f t="shared" si="31"/>
        <v>28028</v>
      </c>
      <c r="G100" s="81">
        <f t="shared" si="32"/>
        <v>33633.599999999999</v>
      </c>
    </row>
    <row r="101" spans="1:8" x14ac:dyDescent="0.3">
      <c r="A101" s="59">
        <f t="shared" si="33"/>
        <v>89</v>
      </c>
      <c r="B101" s="60" t="s">
        <v>299</v>
      </c>
      <c r="C101" s="59" t="s">
        <v>181</v>
      </c>
      <c r="D101" s="68" t="s">
        <v>301</v>
      </c>
      <c r="E101" s="81">
        <v>3850</v>
      </c>
      <c r="F101" s="81">
        <f t="shared" ref="F101" si="34">ROUND(E101*D101,2)</f>
        <v>3850</v>
      </c>
      <c r="G101" s="81">
        <f t="shared" ref="G101" si="35">ROUND(F101*1.2,2)</f>
        <v>4620</v>
      </c>
      <c r="H101" s="168"/>
    </row>
    <row r="102" spans="1:8" ht="19.5" customHeight="1" x14ac:dyDescent="0.3">
      <c r="A102" s="134"/>
      <c r="B102" s="392" t="s">
        <v>285</v>
      </c>
      <c r="C102" s="462"/>
      <c r="D102" s="462"/>
      <c r="E102" s="136"/>
      <c r="F102" s="137"/>
      <c r="G102" s="107"/>
    </row>
    <row r="103" spans="1:8" x14ac:dyDescent="0.3">
      <c r="A103" s="59">
        <f>A101+1</f>
        <v>90</v>
      </c>
      <c r="B103" s="60" t="s">
        <v>361</v>
      </c>
      <c r="C103" s="59" t="s">
        <v>182</v>
      </c>
      <c r="D103" s="68" t="s">
        <v>362</v>
      </c>
      <c r="E103" s="81">
        <v>396</v>
      </c>
      <c r="F103" s="81">
        <f t="shared" ref="F103" si="36">ROUND(E103*D103,2)</f>
        <v>15840</v>
      </c>
      <c r="G103" s="81">
        <f t="shared" ref="G103" si="37">ROUND(F103*1.2,2)</f>
        <v>19008</v>
      </c>
    </row>
    <row r="104" spans="1:8" x14ac:dyDescent="0.3">
      <c r="A104" s="59">
        <f>A103+1</f>
        <v>91</v>
      </c>
      <c r="B104" s="60" t="s">
        <v>363</v>
      </c>
      <c r="C104" s="59" t="s">
        <v>207</v>
      </c>
      <c r="D104" s="68" t="s">
        <v>301</v>
      </c>
      <c r="E104" s="81">
        <v>8030</v>
      </c>
      <c r="F104" s="81">
        <f t="shared" ref="F104:F107" si="38">ROUND(E104*D104,2)</f>
        <v>8030</v>
      </c>
      <c r="G104" s="81">
        <f t="shared" ref="G104:G107" si="39">ROUND(F104*1.2,2)</f>
        <v>9636</v>
      </c>
    </row>
    <row r="105" spans="1:8" x14ac:dyDescent="0.3">
      <c r="A105" s="59">
        <f t="shared" ref="A105:A108" si="40">A104+1</f>
        <v>92</v>
      </c>
      <c r="B105" s="60" t="s">
        <v>161</v>
      </c>
      <c r="C105" s="59" t="s">
        <v>181</v>
      </c>
      <c r="D105" s="68" t="s">
        <v>364</v>
      </c>
      <c r="E105" s="81">
        <v>1320</v>
      </c>
      <c r="F105" s="81">
        <f t="shared" si="38"/>
        <v>22044</v>
      </c>
      <c r="G105" s="81">
        <f t="shared" si="39"/>
        <v>26452.799999999999</v>
      </c>
    </row>
    <row r="106" spans="1:8" ht="21.75" customHeight="1" x14ac:dyDescent="0.3">
      <c r="A106" s="59">
        <f t="shared" si="40"/>
        <v>93</v>
      </c>
      <c r="B106" s="60" t="s">
        <v>365</v>
      </c>
      <c r="C106" s="59" t="s">
        <v>182</v>
      </c>
      <c r="D106" s="68" t="s">
        <v>366</v>
      </c>
      <c r="E106" s="163">
        <v>1091</v>
      </c>
      <c r="F106" s="81">
        <f t="shared" si="38"/>
        <v>327300</v>
      </c>
      <c r="G106" s="81">
        <f t="shared" si="39"/>
        <v>392760</v>
      </c>
      <c r="H106" s="170"/>
    </row>
    <row r="107" spans="1:8" x14ac:dyDescent="0.3">
      <c r="A107" s="59">
        <f t="shared" si="40"/>
        <v>94</v>
      </c>
      <c r="B107" s="60" t="s">
        <v>367</v>
      </c>
      <c r="C107" s="59" t="s">
        <v>207</v>
      </c>
      <c r="D107" s="68">
        <v>4</v>
      </c>
      <c r="E107" s="81">
        <v>7480</v>
      </c>
      <c r="F107" s="81">
        <f t="shared" si="38"/>
        <v>29920</v>
      </c>
      <c r="G107" s="81">
        <f t="shared" si="39"/>
        <v>35904</v>
      </c>
    </row>
    <row r="108" spans="1:8" x14ac:dyDescent="0.3">
      <c r="A108" s="59">
        <f t="shared" si="40"/>
        <v>95</v>
      </c>
      <c r="B108" s="60" t="s">
        <v>368</v>
      </c>
      <c r="C108" s="59" t="s">
        <v>182</v>
      </c>
      <c r="D108" s="68" t="s">
        <v>362</v>
      </c>
      <c r="E108" s="81">
        <v>26</v>
      </c>
      <c r="F108" s="81">
        <f>ROUND(E108*D108,2)</f>
        <v>1040</v>
      </c>
      <c r="G108" s="81">
        <f>ROUND(F108*1.2,2)</f>
        <v>1248</v>
      </c>
    </row>
    <row r="109" spans="1:8" x14ac:dyDescent="0.3">
      <c r="A109" s="139"/>
      <c r="B109" s="463" t="s">
        <v>265</v>
      </c>
      <c r="C109" s="464"/>
      <c r="D109" s="464"/>
      <c r="E109" s="465"/>
      <c r="F109" s="138">
        <f>SUM(F5:F108)</f>
        <v>4109058.51</v>
      </c>
      <c r="G109" s="138">
        <f>SUM(G5:G108)</f>
        <v>4930870.22</v>
      </c>
    </row>
  </sheetData>
  <mergeCells count="16">
    <mergeCell ref="B4:D4"/>
    <mergeCell ref="B88:D88"/>
    <mergeCell ref="B95:D95"/>
    <mergeCell ref="B102:D102"/>
    <mergeCell ref="B109:E109"/>
    <mergeCell ref="B32:D32"/>
    <mergeCell ref="B46:D46"/>
    <mergeCell ref="B60:D60"/>
    <mergeCell ref="B67:D67"/>
    <mergeCell ref="B74:D74"/>
    <mergeCell ref="B81:D81"/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scale="5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9"/>
  <sheetViews>
    <sheetView view="pageBreakPreview" zoomScale="90" zoomScaleNormal="100" zoomScaleSheetLayoutView="90" workbookViewId="0">
      <pane ySplit="3" topLeftCell="A28" activePane="bottomLeft" state="frozen"/>
      <selection activeCell="G69" sqref="G69"/>
      <selection pane="bottomLeft" activeCell="G69" sqref="G69"/>
    </sheetView>
  </sheetViews>
  <sheetFormatPr defaultRowHeight="14.4" x14ac:dyDescent="0.3"/>
  <cols>
    <col min="1" max="1" width="4.44140625" customWidth="1"/>
    <col min="2" max="2" width="60.6640625" customWidth="1"/>
    <col min="3" max="3" width="8.5546875" bestFit="1" customWidth="1"/>
    <col min="4" max="4" width="8.33203125" bestFit="1" customWidth="1"/>
    <col min="5" max="5" width="13.33203125" customWidth="1"/>
    <col min="6" max="6" width="15" customWidth="1"/>
    <col min="7" max="7" width="15.33203125" style="52" customWidth="1"/>
  </cols>
  <sheetData>
    <row r="1" spans="1:7" x14ac:dyDescent="0.3">
      <c r="A1" s="466" t="s">
        <v>213</v>
      </c>
      <c r="B1" s="394" t="s">
        <v>214</v>
      </c>
      <c r="C1" s="394" t="s">
        <v>215</v>
      </c>
      <c r="D1" s="394" t="s">
        <v>216</v>
      </c>
      <c r="E1" s="469" t="s">
        <v>254</v>
      </c>
      <c r="F1" s="470"/>
      <c r="G1" s="470"/>
    </row>
    <row r="2" spans="1:7" x14ac:dyDescent="0.3">
      <c r="A2" s="466"/>
      <c r="B2" s="394"/>
      <c r="C2" s="394"/>
      <c r="D2" s="394"/>
      <c r="E2" s="394" t="s">
        <v>243</v>
      </c>
      <c r="F2" s="394" t="s">
        <v>236</v>
      </c>
      <c r="G2" s="472" t="s">
        <v>223</v>
      </c>
    </row>
    <row r="3" spans="1:7" ht="31.2" customHeight="1" x14ac:dyDescent="0.3">
      <c r="A3" s="466"/>
      <c r="B3" s="394"/>
      <c r="C3" s="394"/>
      <c r="D3" s="394"/>
      <c r="E3" s="394"/>
      <c r="F3" s="394"/>
      <c r="G3" s="472"/>
    </row>
    <row r="4" spans="1:7" x14ac:dyDescent="0.3">
      <c r="A4" s="130">
        <v>1</v>
      </c>
      <c r="B4" s="131">
        <v>2</v>
      </c>
      <c r="C4" s="131">
        <v>3</v>
      </c>
      <c r="D4" s="131">
        <v>4</v>
      </c>
      <c r="E4" s="131">
        <v>5</v>
      </c>
      <c r="F4" s="131">
        <v>6</v>
      </c>
      <c r="G4" s="131">
        <v>7</v>
      </c>
    </row>
    <row r="5" spans="1:7" x14ac:dyDescent="0.3">
      <c r="A5" s="467" t="s">
        <v>193</v>
      </c>
      <c r="B5" s="467"/>
      <c r="C5" s="467"/>
      <c r="D5" s="467"/>
      <c r="E5" s="122"/>
      <c r="F5" s="122"/>
      <c r="G5" s="113"/>
    </row>
    <row r="6" spans="1:7" x14ac:dyDescent="0.3">
      <c r="A6" s="468" t="s">
        <v>194</v>
      </c>
      <c r="B6" s="468"/>
      <c r="C6" s="468"/>
      <c r="D6" s="468"/>
      <c r="E6" s="123"/>
      <c r="F6" s="123"/>
      <c r="G6" s="111"/>
    </row>
    <row r="7" spans="1:7" x14ac:dyDescent="0.3">
      <c r="A7" s="100">
        <v>1</v>
      </c>
      <c r="B7" s="112" t="s">
        <v>195</v>
      </c>
      <c r="C7" s="105" t="s">
        <v>181</v>
      </c>
      <c r="D7" s="129">
        <f>79.62</f>
        <v>79.62</v>
      </c>
      <c r="E7" s="125">
        <v>8650</v>
      </c>
      <c r="F7" s="81">
        <f>ROUND(E7*D7,2)</f>
        <v>688713</v>
      </c>
      <c r="G7" s="81">
        <f>ROUND(F7*1.2,2)</f>
        <v>826455.6</v>
      </c>
    </row>
    <row r="8" spans="1:7" x14ac:dyDescent="0.3">
      <c r="A8" s="100">
        <f>A7+1</f>
        <v>2</v>
      </c>
      <c r="B8" s="112" t="s">
        <v>196</v>
      </c>
      <c r="C8" s="105" t="s">
        <v>181</v>
      </c>
      <c r="D8" s="129">
        <v>308.73</v>
      </c>
      <c r="E8" s="125">
        <v>12450</v>
      </c>
      <c r="F8" s="81">
        <f>ROUND(E8*D8,2)</f>
        <v>3843688.5</v>
      </c>
      <c r="G8" s="81">
        <f>ROUND(F8*1.2,2)</f>
        <v>4612426.2</v>
      </c>
    </row>
    <row r="9" spans="1:7" ht="21.75" customHeight="1" x14ac:dyDescent="0.3">
      <c r="A9" s="100">
        <f t="shared" ref="A9:A10" si="0">A8+1</f>
        <v>3</v>
      </c>
      <c r="B9" s="112" t="s">
        <v>197</v>
      </c>
      <c r="C9" s="105" t="s">
        <v>181</v>
      </c>
      <c r="D9" s="129">
        <f>196.74</f>
        <v>196.74</v>
      </c>
      <c r="E9" s="125">
        <v>5165</v>
      </c>
      <c r="F9" s="81">
        <f>ROUND(E9*D9,2)</f>
        <v>1016162.1</v>
      </c>
      <c r="G9" s="81">
        <f>ROUND(F9*1.2,2)</f>
        <v>1219394.52</v>
      </c>
    </row>
    <row r="10" spans="1:7" ht="27.6" x14ac:dyDescent="0.3">
      <c r="A10" s="100">
        <f t="shared" si="0"/>
        <v>4</v>
      </c>
      <c r="B10" s="114" t="s">
        <v>198</v>
      </c>
      <c r="C10" s="105"/>
      <c r="D10" s="108"/>
      <c r="E10" s="124"/>
      <c r="F10" s="125"/>
      <c r="G10" s="109"/>
    </row>
    <row r="11" spans="1:7" x14ac:dyDescent="0.3">
      <c r="A11" s="115">
        <v>4.0999999999999996</v>
      </c>
      <c r="B11" s="112" t="s">
        <v>199</v>
      </c>
      <c r="C11" s="105" t="s">
        <v>181</v>
      </c>
      <c r="D11" s="108">
        <v>151</v>
      </c>
      <c r="E11" s="125">
        <v>1611</v>
      </c>
      <c r="F11" s="81">
        <f>ROUND(E11*D11,2)</f>
        <v>243261</v>
      </c>
      <c r="G11" s="81">
        <f>ROUND(F11*1.2,2)</f>
        <v>291913.2</v>
      </c>
    </row>
    <row r="12" spans="1:7" x14ac:dyDescent="0.3">
      <c r="A12" s="115">
        <v>4.2</v>
      </c>
      <c r="B12" s="112" t="s">
        <v>200</v>
      </c>
      <c r="C12" s="105" t="s">
        <v>181</v>
      </c>
      <c r="D12" s="108">
        <v>163</v>
      </c>
      <c r="E12" s="125">
        <v>1496</v>
      </c>
      <c r="F12" s="81">
        <f>ROUND(E12*D12,2)</f>
        <v>243848</v>
      </c>
      <c r="G12" s="81">
        <f>ROUND(F12*1.2,2)</f>
        <v>292617.59999999998</v>
      </c>
    </row>
    <row r="13" spans="1:7" x14ac:dyDescent="0.3">
      <c r="A13" s="115">
        <v>4.3</v>
      </c>
      <c r="B13" s="112" t="s">
        <v>201</v>
      </c>
      <c r="C13" s="105" t="s">
        <v>182</v>
      </c>
      <c r="D13" s="110">
        <v>226.24</v>
      </c>
      <c r="E13" s="125">
        <v>30</v>
      </c>
      <c r="F13" s="81">
        <f>ROUND(E13*D13,2)</f>
        <v>6787.2</v>
      </c>
      <c r="G13" s="81">
        <f>ROUND(F13*1.2,2)</f>
        <v>8144.64</v>
      </c>
    </row>
    <row r="14" spans="1:7" x14ac:dyDescent="0.3">
      <c r="A14" s="468" t="s">
        <v>202</v>
      </c>
      <c r="B14" s="468"/>
      <c r="C14" s="468"/>
      <c r="D14" s="468"/>
      <c r="E14" s="123"/>
      <c r="F14" s="123"/>
      <c r="G14" s="111"/>
    </row>
    <row r="15" spans="1:7" ht="68.25" customHeight="1" x14ac:dyDescent="0.3">
      <c r="A15" s="100">
        <f>A10+1</f>
        <v>5</v>
      </c>
      <c r="B15" s="112" t="s">
        <v>203</v>
      </c>
      <c r="C15" s="105" t="s">
        <v>182</v>
      </c>
      <c r="D15" s="110">
        <v>226.24</v>
      </c>
      <c r="E15" s="125">
        <v>1587</v>
      </c>
      <c r="F15" s="81">
        <f t="shared" ref="F15:F17" si="1">ROUND(E15*D15,2)</f>
        <v>359042.88</v>
      </c>
      <c r="G15" s="81">
        <f t="shared" ref="G15:G17" si="2">ROUND(F15*1.2,2)</f>
        <v>430851.46</v>
      </c>
    </row>
    <row r="16" spans="1:7" ht="21" customHeight="1" x14ac:dyDescent="0.3">
      <c r="A16" s="100">
        <f>A15+1</f>
        <v>6</v>
      </c>
      <c r="B16" s="112" t="s">
        <v>205</v>
      </c>
      <c r="C16" s="105" t="s">
        <v>182</v>
      </c>
      <c r="D16" s="110">
        <v>226.24</v>
      </c>
      <c r="E16" s="125">
        <v>4200</v>
      </c>
      <c r="F16" s="81">
        <f t="shared" si="1"/>
        <v>950208</v>
      </c>
      <c r="G16" s="81">
        <f t="shared" si="2"/>
        <v>1140249.6000000001</v>
      </c>
    </row>
    <row r="17" spans="1:7" ht="22.5" customHeight="1" x14ac:dyDescent="0.3">
      <c r="A17" s="100">
        <f>A16+1</f>
        <v>7</v>
      </c>
      <c r="B17" s="112" t="s">
        <v>206</v>
      </c>
      <c r="C17" s="105" t="s">
        <v>207</v>
      </c>
      <c r="D17" s="108">
        <v>1</v>
      </c>
      <c r="E17" s="124">
        <v>80000</v>
      </c>
      <c r="F17" s="81">
        <f t="shared" si="1"/>
        <v>80000</v>
      </c>
      <c r="G17" s="81">
        <f t="shared" si="2"/>
        <v>96000</v>
      </c>
    </row>
    <row r="18" spans="1:7" x14ac:dyDescent="0.3">
      <c r="A18" s="467" t="s">
        <v>208</v>
      </c>
      <c r="B18" s="467"/>
      <c r="C18" s="467"/>
      <c r="D18" s="467"/>
      <c r="E18" s="122"/>
      <c r="F18" s="122"/>
      <c r="G18" s="113"/>
    </row>
    <row r="19" spans="1:7" x14ac:dyDescent="0.3">
      <c r="A19" s="468" t="s">
        <v>194</v>
      </c>
      <c r="B19" s="468"/>
      <c r="C19" s="468"/>
      <c r="D19" s="468"/>
      <c r="E19" s="123"/>
      <c r="F19" s="123"/>
      <c r="G19" s="111"/>
    </row>
    <row r="20" spans="1:7" x14ac:dyDescent="0.3">
      <c r="A20" s="100">
        <f>A17+1</f>
        <v>8</v>
      </c>
      <c r="B20" s="112" t="s">
        <v>195</v>
      </c>
      <c r="C20" s="105" t="s">
        <v>181</v>
      </c>
      <c r="D20" s="129">
        <f>79.62</f>
        <v>79.62</v>
      </c>
      <c r="E20" s="125">
        <v>8650</v>
      </c>
      <c r="F20" s="81">
        <f>ROUND(E20*D20,2)</f>
        <v>688713</v>
      </c>
      <c r="G20" s="81">
        <f>ROUND(F20*1.2,2)</f>
        <v>826455.6</v>
      </c>
    </row>
    <row r="21" spans="1:7" x14ac:dyDescent="0.3">
      <c r="A21" s="100">
        <f>A20+1</f>
        <v>9</v>
      </c>
      <c r="B21" s="112" t="s">
        <v>196</v>
      </c>
      <c r="C21" s="105" t="s">
        <v>181</v>
      </c>
      <c r="D21" s="129">
        <v>308.73</v>
      </c>
      <c r="E21" s="125">
        <v>12450</v>
      </c>
      <c r="F21" s="81">
        <f>ROUND(E21*D21,2)</f>
        <v>3843688.5</v>
      </c>
      <c r="G21" s="81">
        <f>ROUND(F21*1.2,2)</f>
        <v>4612426.2</v>
      </c>
    </row>
    <row r="22" spans="1:7" ht="24" customHeight="1" x14ac:dyDescent="0.3">
      <c r="A22" s="100">
        <f t="shared" ref="A22:A23" si="3">A21+1</f>
        <v>10</v>
      </c>
      <c r="B22" s="112" t="s">
        <v>197</v>
      </c>
      <c r="C22" s="105" t="s">
        <v>181</v>
      </c>
      <c r="D22" s="129">
        <f>196.74</f>
        <v>196.74</v>
      </c>
      <c r="E22" s="125">
        <v>5165</v>
      </c>
      <c r="F22" s="81">
        <f>ROUND(E22*D22,2)</f>
        <v>1016162.1</v>
      </c>
      <c r="G22" s="81">
        <f>ROUND(F22*1.2,2)</f>
        <v>1219394.52</v>
      </c>
    </row>
    <row r="23" spans="1:7" ht="29.25" customHeight="1" x14ac:dyDescent="0.3">
      <c r="A23" s="100">
        <f t="shared" si="3"/>
        <v>11</v>
      </c>
      <c r="B23" s="114" t="s">
        <v>198</v>
      </c>
      <c r="C23" s="105"/>
      <c r="D23" s="108"/>
      <c r="E23" s="124"/>
      <c r="F23" s="125"/>
      <c r="G23" s="109"/>
    </row>
    <row r="24" spans="1:7" x14ac:dyDescent="0.3">
      <c r="A24" s="115">
        <v>11.1</v>
      </c>
      <c r="B24" s="112" t="s">
        <v>199</v>
      </c>
      <c r="C24" s="105" t="s">
        <v>181</v>
      </c>
      <c r="D24" s="108">
        <v>151</v>
      </c>
      <c r="E24" s="125">
        <v>1611</v>
      </c>
      <c r="F24" s="81">
        <f>ROUND(E24*D24,2)</f>
        <v>243261</v>
      </c>
      <c r="G24" s="81">
        <f>ROUND(F24*1.2,2)</f>
        <v>291913.2</v>
      </c>
    </row>
    <row r="25" spans="1:7" x14ac:dyDescent="0.3">
      <c r="A25" s="115">
        <v>11.2</v>
      </c>
      <c r="B25" s="112" t="s">
        <v>200</v>
      </c>
      <c r="C25" s="105" t="s">
        <v>181</v>
      </c>
      <c r="D25" s="108">
        <v>163</v>
      </c>
      <c r="E25" s="125">
        <v>1496</v>
      </c>
      <c r="F25" s="81">
        <f>ROUND(E25*D25,2)</f>
        <v>243848</v>
      </c>
      <c r="G25" s="81">
        <f>ROUND(F25*1.2,2)</f>
        <v>292617.59999999998</v>
      </c>
    </row>
    <row r="26" spans="1:7" x14ac:dyDescent="0.3">
      <c r="A26" s="115">
        <v>11.3</v>
      </c>
      <c r="B26" s="112" t="s">
        <v>201</v>
      </c>
      <c r="C26" s="105" t="s">
        <v>182</v>
      </c>
      <c r="D26" s="110">
        <v>226.24</v>
      </c>
      <c r="E26" s="125">
        <v>30</v>
      </c>
      <c r="F26" s="81">
        <f>ROUND(E26*D26,2)</f>
        <v>6787.2</v>
      </c>
      <c r="G26" s="81">
        <f>ROUND(F26*1.2,2)</f>
        <v>8144.64</v>
      </c>
    </row>
    <row r="27" spans="1:7" x14ac:dyDescent="0.3">
      <c r="A27" s="468" t="s">
        <v>209</v>
      </c>
      <c r="B27" s="468"/>
      <c r="C27" s="468"/>
      <c r="D27" s="468"/>
      <c r="E27" s="123"/>
      <c r="F27" s="123"/>
      <c r="G27" s="111"/>
    </row>
    <row r="28" spans="1:7" ht="66.75" customHeight="1" x14ac:dyDescent="0.3">
      <c r="A28" s="100">
        <f>A23+1</f>
        <v>12</v>
      </c>
      <c r="B28" s="112" t="s">
        <v>203</v>
      </c>
      <c r="C28" s="105" t="s">
        <v>182</v>
      </c>
      <c r="D28" s="110">
        <v>226.24</v>
      </c>
      <c r="E28" s="125">
        <v>1587</v>
      </c>
      <c r="F28" s="81">
        <f t="shared" ref="F28:F30" si="4">ROUND(E28*D28,2)</f>
        <v>359042.88</v>
      </c>
      <c r="G28" s="81">
        <f t="shared" ref="G28:G30" si="5">ROUND(F28*1.2,2)</f>
        <v>430851.46</v>
      </c>
    </row>
    <row r="29" spans="1:7" ht="24" customHeight="1" x14ac:dyDescent="0.3">
      <c r="A29" s="100">
        <f>A28+1</f>
        <v>13</v>
      </c>
      <c r="B29" s="112" t="s">
        <v>205</v>
      </c>
      <c r="C29" s="105" t="s">
        <v>182</v>
      </c>
      <c r="D29" s="110">
        <v>226.24</v>
      </c>
      <c r="E29" s="125">
        <v>4200</v>
      </c>
      <c r="F29" s="81">
        <f t="shared" si="4"/>
        <v>950208</v>
      </c>
      <c r="G29" s="81">
        <f t="shared" si="5"/>
        <v>1140249.6000000001</v>
      </c>
    </row>
    <row r="30" spans="1:7" ht="22.5" customHeight="1" x14ac:dyDescent="0.3">
      <c r="A30" s="100">
        <f>A29+1</f>
        <v>14</v>
      </c>
      <c r="B30" s="112" t="s">
        <v>206</v>
      </c>
      <c r="C30" s="105" t="s">
        <v>207</v>
      </c>
      <c r="D30" s="108">
        <v>1</v>
      </c>
      <c r="E30" s="124">
        <v>80000</v>
      </c>
      <c r="F30" s="81">
        <f t="shared" si="4"/>
        <v>80000</v>
      </c>
      <c r="G30" s="81">
        <f t="shared" si="5"/>
        <v>96000</v>
      </c>
    </row>
    <row r="31" spans="1:7" x14ac:dyDescent="0.3">
      <c r="A31" s="467" t="s">
        <v>210</v>
      </c>
      <c r="B31" s="467"/>
      <c r="C31" s="467"/>
      <c r="D31" s="467"/>
      <c r="E31" s="122"/>
      <c r="F31" s="122"/>
      <c r="G31" s="113"/>
    </row>
    <row r="32" spans="1:7" x14ac:dyDescent="0.3">
      <c r="A32" s="468" t="s">
        <v>194</v>
      </c>
      <c r="B32" s="468"/>
      <c r="C32" s="468"/>
      <c r="D32" s="468"/>
      <c r="E32" s="123"/>
      <c r="F32" s="123"/>
      <c r="G32" s="109"/>
    </row>
    <row r="33" spans="1:7" x14ac:dyDescent="0.3">
      <c r="A33" s="100">
        <f>A30+1</f>
        <v>15</v>
      </c>
      <c r="B33" s="112" t="s">
        <v>195</v>
      </c>
      <c r="C33" s="105" t="s">
        <v>181</v>
      </c>
      <c r="D33" s="129">
        <v>55.04</v>
      </c>
      <c r="E33" s="125">
        <v>8650</v>
      </c>
      <c r="F33" s="81">
        <f>ROUND(E33*D33,2)</f>
        <v>476096</v>
      </c>
      <c r="G33" s="81">
        <f>ROUND(F33*1.2,2)</f>
        <v>571315.19999999995</v>
      </c>
    </row>
    <row r="34" spans="1:7" x14ac:dyDescent="0.3">
      <c r="A34" s="100">
        <f>A33+1</f>
        <v>16</v>
      </c>
      <c r="B34" s="112" t="s">
        <v>196</v>
      </c>
      <c r="C34" s="105" t="s">
        <v>181</v>
      </c>
      <c r="D34" s="129">
        <v>213.41</v>
      </c>
      <c r="E34" s="125">
        <v>12450</v>
      </c>
      <c r="F34" s="81">
        <f>ROUND(E34*D34,2)</f>
        <v>2656954.5</v>
      </c>
      <c r="G34" s="81">
        <f>ROUND(F34*1.2,2)</f>
        <v>3188345.4</v>
      </c>
    </row>
    <row r="35" spans="1:7" ht="23.25" customHeight="1" x14ac:dyDescent="0.3">
      <c r="A35" s="100">
        <f>A34+1</f>
        <v>17</v>
      </c>
      <c r="B35" s="112" t="s">
        <v>197</v>
      </c>
      <c r="C35" s="105" t="s">
        <v>181</v>
      </c>
      <c r="D35" s="129">
        <f>136</f>
        <v>136</v>
      </c>
      <c r="E35" s="125">
        <v>5165</v>
      </c>
      <c r="F35" s="81">
        <f>ROUND(E35*D35,2)</f>
        <v>702440</v>
      </c>
      <c r="G35" s="81">
        <f>ROUND(F35*1.2,2)</f>
        <v>842928</v>
      </c>
    </row>
    <row r="36" spans="1:7" ht="27.6" x14ac:dyDescent="0.3">
      <c r="A36" s="100">
        <f>A35+1</f>
        <v>18</v>
      </c>
      <c r="B36" s="114" t="s">
        <v>198</v>
      </c>
      <c r="C36" s="105"/>
      <c r="D36" s="108"/>
      <c r="E36" s="124"/>
      <c r="F36" s="125"/>
      <c r="G36" s="109"/>
    </row>
    <row r="37" spans="1:7" x14ac:dyDescent="0.3">
      <c r="A37" s="115">
        <v>18.100000000000001</v>
      </c>
      <c r="B37" s="112" t="s">
        <v>199</v>
      </c>
      <c r="C37" s="105" t="s">
        <v>181</v>
      </c>
      <c r="D37" s="108">
        <v>105</v>
      </c>
      <c r="E37" s="125">
        <v>1611</v>
      </c>
      <c r="F37" s="81">
        <f>ROUND(E37*D37,2)</f>
        <v>169155</v>
      </c>
      <c r="G37" s="81">
        <f>ROUND(F37*1.2,2)</f>
        <v>202986</v>
      </c>
    </row>
    <row r="38" spans="1:7" x14ac:dyDescent="0.3">
      <c r="A38" s="115">
        <v>18.2</v>
      </c>
      <c r="B38" s="112" t="s">
        <v>200</v>
      </c>
      <c r="C38" s="105" t="s">
        <v>181</v>
      </c>
      <c r="D38" s="119">
        <v>112.6</v>
      </c>
      <c r="E38" s="125">
        <v>1496</v>
      </c>
      <c r="F38" s="81">
        <f>ROUND(E38*D38,2)</f>
        <v>168449.6</v>
      </c>
      <c r="G38" s="81">
        <f>ROUND(F38*1.2,2)</f>
        <v>202139.51999999999</v>
      </c>
    </row>
    <row r="39" spans="1:7" x14ac:dyDescent="0.3">
      <c r="A39" s="115">
        <v>18.3</v>
      </c>
      <c r="B39" s="112" t="s">
        <v>201</v>
      </c>
      <c r="C39" s="105" t="s">
        <v>182</v>
      </c>
      <c r="D39" s="110">
        <v>156.38999999999999</v>
      </c>
      <c r="E39" s="125">
        <v>30</v>
      </c>
      <c r="F39" s="81">
        <f>ROUND(E39*D39,2)</f>
        <v>4691.7</v>
      </c>
      <c r="G39" s="81">
        <f>ROUND(F39*1.2,2)</f>
        <v>5630.04</v>
      </c>
    </row>
    <row r="40" spans="1:7" x14ac:dyDescent="0.3">
      <c r="A40" s="468" t="s">
        <v>264</v>
      </c>
      <c r="B40" s="468"/>
      <c r="C40" s="468"/>
      <c r="D40" s="468"/>
      <c r="E40" s="123"/>
      <c r="F40" s="123"/>
      <c r="G40" s="111"/>
    </row>
    <row r="41" spans="1:7" ht="66.75" customHeight="1" x14ac:dyDescent="0.3">
      <c r="A41" s="100">
        <f>A36+1</f>
        <v>19</v>
      </c>
      <c r="B41" s="112" t="s">
        <v>203</v>
      </c>
      <c r="C41" s="105" t="s">
        <v>182</v>
      </c>
      <c r="D41" s="110">
        <v>156.38999999999999</v>
      </c>
      <c r="E41" s="125">
        <v>1587</v>
      </c>
      <c r="F41" s="81">
        <f t="shared" ref="F41:F43" si="6">ROUND(E41*D41,2)</f>
        <v>248190.93</v>
      </c>
      <c r="G41" s="81">
        <f t="shared" ref="G41:G43" si="7">ROUND(F41*1.2,2)</f>
        <v>297829.12</v>
      </c>
    </row>
    <row r="42" spans="1:7" ht="23.25" customHeight="1" x14ac:dyDescent="0.3">
      <c r="A42" s="100">
        <f>A41+1</f>
        <v>20</v>
      </c>
      <c r="B42" s="112" t="s">
        <v>205</v>
      </c>
      <c r="C42" s="105" t="s">
        <v>182</v>
      </c>
      <c r="D42" s="110">
        <v>156.38999999999999</v>
      </c>
      <c r="E42" s="125">
        <v>4200</v>
      </c>
      <c r="F42" s="81">
        <f t="shared" si="6"/>
        <v>656838</v>
      </c>
      <c r="G42" s="81">
        <f t="shared" si="7"/>
        <v>788205.6</v>
      </c>
    </row>
    <row r="43" spans="1:7" ht="22.5" customHeight="1" x14ac:dyDescent="0.3">
      <c r="A43" s="100">
        <f>A42+1</f>
        <v>21</v>
      </c>
      <c r="B43" s="112" t="s">
        <v>206</v>
      </c>
      <c r="C43" s="105" t="s">
        <v>207</v>
      </c>
      <c r="D43" s="108">
        <v>1</v>
      </c>
      <c r="E43" s="124">
        <v>80000</v>
      </c>
      <c r="F43" s="81">
        <f t="shared" si="6"/>
        <v>80000</v>
      </c>
      <c r="G43" s="81">
        <f t="shared" si="7"/>
        <v>96000</v>
      </c>
    </row>
    <row r="44" spans="1:7" x14ac:dyDescent="0.3">
      <c r="A44" s="467" t="s">
        <v>211</v>
      </c>
      <c r="B44" s="467"/>
      <c r="C44" s="467"/>
      <c r="D44" s="467"/>
      <c r="E44" s="122"/>
      <c r="F44" s="122"/>
      <c r="G44" s="113"/>
    </row>
    <row r="45" spans="1:7" x14ac:dyDescent="0.3">
      <c r="A45" s="468" t="s">
        <v>194</v>
      </c>
      <c r="B45" s="468"/>
      <c r="C45" s="468"/>
      <c r="D45" s="468"/>
      <c r="E45" s="123"/>
      <c r="F45" s="123"/>
      <c r="G45" s="111"/>
    </row>
    <row r="46" spans="1:7" x14ac:dyDescent="0.3">
      <c r="A46" s="100">
        <f>A43+1</f>
        <v>22</v>
      </c>
      <c r="B46" s="112" t="s">
        <v>195</v>
      </c>
      <c r="C46" s="105" t="s">
        <v>181</v>
      </c>
      <c r="D46" s="129">
        <v>34.22</v>
      </c>
      <c r="E46" s="125">
        <v>8650</v>
      </c>
      <c r="F46" s="81">
        <f>ROUND(E46*D46,2)</f>
        <v>296003</v>
      </c>
      <c r="G46" s="81">
        <f>ROUND(F46*1.2,2)</f>
        <v>355203.6</v>
      </c>
    </row>
    <row r="47" spans="1:7" x14ac:dyDescent="0.3">
      <c r="A47" s="100">
        <f>A46+1</f>
        <v>23</v>
      </c>
      <c r="B47" s="112" t="s">
        <v>196</v>
      </c>
      <c r="C47" s="105" t="s">
        <v>181</v>
      </c>
      <c r="D47" s="129">
        <v>132.63</v>
      </c>
      <c r="E47" s="125">
        <v>12450</v>
      </c>
      <c r="F47" s="81">
        <f>ROUND(E47*D47,2)</f>
        <v>1651243.5</v>
      </c>
      <c r="G47" s="81">
        <f>ROUND(F47*1.2,2)</f>
        <v>1981492.2</v>
      </c>
    </row>
    <row r="48" spans="1:7" ht="24" customHeight="1" x14ac:dyDescent="0.3">
      <c r="A48" s="100">
        <f t="shared" ref="A48:A49" si="8">A47+1</f>
        <v>24</v>
      </c>
      <c r="B48" s="112" t="s">
        <v>197</v>
      </c>
      <c r="C48" s="105" t="s">
        <v>181</v>
      </c>
      <c r="D48" s="129">
        <f>84.52</f>
        <v>84.52</v>
      </c>
      <c r="E48" s="125">
        <v>5165</v>
      </c>
      <c r="F48" s="81">
        <f>ROUND(E48*D48,2)</f>
        <v>436545.8</v>
      </c>
      <c r="G48" s="81">
        <f>ROUND(F48*1.2,2)</f>
        <v>523854.96</v>
      </c>
    </row>
    <row r="49" spans="1:8" ht="27.6" x14ac:dyDescent="0.3">
      <c r="A49" s="100">
        <f t="shared" si="8"/>
        <v>25</v>
      </c>
      <c r="B49" s="114" t="s">
        <v>198</v>
      </c>
      <c r="C49" s="105"/>
      <c r="D49" s="108"/>
      <c r="E49" s="124"/>
      <c r="F49" s="125"/>
      <c r="G49" s="109"/>
    </row>
    <row r="50" spans="1:8" x14ac:dyDescent="0.3">
      <c r="A50" s="115">
        <v>25.1</v>
      </c>
      <c r="B50" s="112" t="s">
        <v>199</v>
      </c>
      <c r="C50" s="105" t="s">
        <v>181</v>
      </c>
      <c r="D50" s="108">
        <v>65</v>
      </c>
      <c r="E50" s="125">
        <v>1611</v>
      </c>
      <c r="F50" s="81">
        <f>ROUND(E50*D50,2)</f>
        <v>104715</v>
      </c>
      <c r="G50" s="81">
        <f>ROUND(F50*1.2,2)</f>
        <v>125658</v>
      </c>
    </row>
    <row r="51" spans="1:8" x14ac:dyDescent="0.3">
      <c r="A51" s="115">
        <v>25.2</v>
      </c>
      <c r="B51" s="112" t="s">
        <v>200</v>
      </c>
      <c r="C51" s="105" t="s">
        <v>181</v>
      </c>
      <c r="D51" s="119">
        <v>70</v>
      </c>
      <c r="E51" s="125">
        <v>1496</v>
      </c>
      <c r="F51" s="81">
        <f>ROUND(E51*D51,2)</f>
        <v>104720</v>
      </c>
      <c r="G51" s="81">
        <f>ROUND(F51*1.2,2)</f>
        <v>125664</v>
      </c>
    </row>
    <row r="52" spans="1:8" x14ac:dyDescent="0.3">
      <c r="A52" s="115">
        <v>25.3</v>
      </c>
      <c r="B52" s="112" t="s">
        <v>201</v>
      </c>
      <c r="C52" s="105" t="s">
        <v>182</v>
      </c>
      <c r="D52" s="119">
        <v>97.2</v>
      </c>
      <c r="E52" s="125">
        <v>30</v>
      </c>
      <c r="F52" s="81">
        <f>ROUND(E52*D52,2)</f>
        <v>2916</v>
      </c>
      <c r="G52" s="81">
        <f>ROUND(F52*1.2,2)</f>
        <v>3499.2</v>
      </c>
    </row>
    <row r="53" spans="1:8" x14ac:dyDescent="0.3">
      <c r="A53" s="468" t="s">
        <v>212</v>
      </c>
      <c r="B53" s="468"/>
      <c r="C53" s="468"/>
      <c r="D53" s="468"/>
      <c r="E53" s="123"/>
      <c r="F53" s="123"/>
      <c r="G53" s="111"/>
    </row>
    <row r="54" spans="1:8" ht="62.25" customHeight="1" x14ac:dyDescent="0.3">
      <c r="A54" s="100">
        <f>A49+1</f>
        <v>26</v>
      </c>
      <c r="B54" s="112" t="s">
        <v>203</v>
      </c>
      <c r="C54" s="105" t="s">
        <v>182</v>
      </c>
      <c r="D54" s="110">
        <v>97.2</v>
      </c>
      <c r="E54" s="125">
        <v>1587</v>
      </c>
      <c r="F54" s="81">
        <f t="shared" ref="F54:F56" si="9">ROUND(E54*D54,2)</f>
        <v>154256.4</v>
      </c>
      <c r="G54" s="81">
        <f t="shared" ref="G54:G56" si="10">ROUND(F54*1.2,2)</f>
        <v>185107.68</v>
      </c>
    </row>
    <row r="55" spans="1:8" ht="24" customHeight="1" x14ac:dyDescent="0.3">
      <c r="A55" s="100">
        <f>A54+1</f>
        <v>27</v>
      </c>
      <c r="B55" s="112" t="s">
        <v>205</v>
      </c>
      <c r="C55" s="105" t="s">
        <v>182</v>
      </c>
      <c r="D55" s="110">
        <v>97.2</v>
      </c>
      <c r="E55" s="125">
        <v>4200</v>
      </c>
      <c r="F55" s="81">
        <f t="shared" si="9"/>
        <v>408240</v>
      </c>
      <c r="G55" s="81">
        <f t="shared" si="10"/>
        <v>489888</v>
      </c>
    </row>
    <row r="56" spans="1:8" ht="24" customHeight="1" x14ac:dyDescent="0.3">
      <c r="A56" s="100">
        <f>A55+1</f>
        <v>28</v>
      </c>
      <c r="B56" s="112" t="s">
        <v>206</v>
      </c>
      <c r="C56" s="105" t="s">
        <v>207</v>
      </c>
      <c r="D56" s="108">
        <v>1</v>
      </c>
      <c r="E56" s="124">
        <v>80000</v>
      </c>
      <c r="F56" s="81">
        <f t="shared" si="9"/>
        <v>80000</v>
      </c>
      <c r="G56" s="81">
        <f t="shared" si="10"/>
        <v>96000</v>
      </c>
    </row>
    <row r="57" spans="1:8" s="1" customFormat="1" x14ac:dyDescent="0.3">
      <c r="A57" s="126"/>
      <c r="B57" s="471" t="s">
        <v>242</v>
      </c>
      <c r="C57" s="471"/>
      <c r="D57" s="471"/>
      <c r="E57" s="471"/>
      <c r="F57" s="127">
        <f>SUM(F5:F56)</f>
        <v>23264876.789999999</v>
      </c>
      <c r="G57" s="128">
        <f>SUM(G5:G56)</f>
        <v>27917852.16</v>
      </c>
    </row>
    <row r="58" spans="1:8" x14ac:dyDescent="0.3">
      <c r="A58" s="389" t="s">
        <v>266</v>
      </c>
      <c r="B58" s="390"/>
      <c r="C58" s="390"/>
      <c r="D58" s="390"/>
      <c r="E58" s="391"/>
      <c r="F58" s="171">
        <f>ROUND(F57*0.03,2)</f>
        <v>697946.3</v>
      </c>
      <c r="G58" s="171">
        <f>ROUND(G57*0.03,2)</f>
        <v>837535.56</v>
      </c>
      <c r="H58" s="52"/>
    </row>
    <row r="59" spans="1:8" x14ac:dyDescent="0.3">
      <c r="A59" s="389" t="s">
        <v>267</v>
      </c>
      <c r="B59" s="390"/>
      <c r="C59" s="390"/>
      <c r="D59" s="390"/>
      <c r="E59" s="391"/>
      <c r="F59" s="171">
        <f>F57+F58</f>
        <v>23962823.09</v>
      </c>
      <c r="G59" s="171">
        <f>G57+G58</f>
        <v>28755387.719999999</v>
      </c>
      <c r="H59" s="52"/>
    </row>
  </sheetData>
  <mergeCells count="23">
    <mergeCell ref="A58:E58"/>
    <mergeCell ref="A59:E59"/>
    <mergeCell ref="B1:B3"/>
    <mergeCell ref="C1:C3"/>
    <mergeCell ref="D1:D3"/>
    <mergeCell ref="E2:E3"/>
    <mergeCell ref="E1:G1"/>
    <mergeCell ref="B57:E57"/>
    <mergeCell ref="G2:G3"/>
    <mergeCell ref="A40:D40"/>
    <mergeCell ref="A44:D44"/>
    <mergeCell ref="A45:D45"/>
    <mergeCell ref="A53:D53"/>
    <mergeCell ref="A18:D18"/>
    <mergeCell ref="A19:D19"/>
    <mergeCell ref="A27:D27"/>
    <mergeCell ref="F2:F3"/>
    <mergeCell ref="A1:A3"/>
    <mergeCell ref="A31:D31"/>
    <mergeCell ref="A32:D32"/>
    <mergeCell ref="A5:D5"/>
    <mergeCell ref="A6:D6"/>
    <mergeCell ref="A14:D14"/>
  </mergeCells>
  <pageMargins left="0.7" right="0.7" top="0.75" bottom="0.75" header="0.3" footer="0.3"/>
  <pageSetup paperSize="9" scale="6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4"/>
  <sheetViews>
    <sheetView view="pageBreakPreview" zoomScale="80" zoomScaleNormal="100" zoomScaleSheetLayoutView="80" workbookViewId="0">
      <pane ySplit="3" topLeftCell="A4" activePane="bottomLeft" state="frozen"/>
      <selection activeCell="G69" sqref="G69"/>
      <selection pane="bottomLeft" activeCell="G69" sqref="G69"/>
    </sheetView>
  </sheetViews>
  <sheetFormatPr defaultRowHeight="14.4" x14ac:dyDescent="0.3"/>
  <cols>
    <col min="1" max="1" width="5.5546875" customWidth="1"/>
    <col min="2" max="2" width="61.6640625" customWidth="1"/>
    <col min="3" max="3" width="14" customWidth="1"/>
    <col min="4" max="4" width="13" customWidth="1"/>
    <col min="5" max="5" width="13.6640625" customWidth="1"/>
    <col min="6" max="6" width="14.6640625" customWidth="1"/>
    <col min="7" max="7" width="15.5546875" customWidth="1"/>
  </cols>
  <sheetData>
    <row r="1" spans="1:7" x14ac:dyDescent="0.3">
      <c r="A1" s="466" t="s">
        <v>213</v>
      </c>
      <c r="B1" s="394" t="s">
        <v>214</v>
      </c>
      <c r="C1" s="394" t="s">
        <v>215</v>
      </c>
      <c r="D1" s="394" t="s">
        <v>216</v>
      </c>
      <c r="E1" s="473" t="s">
        <v>254</v>
      </c>
      <c r="F1" s="474"/>
      <c r="G1" s="475"/>
    </row>
    <row r="2" spans="1:7" x14ac:dyDescent="0.3">
      <c r="A2" s="466"/>
      <c r="B2" s="394"/>
      <c r="C2" s="394"/>
      <c r="D2" s="394"/>
      <c r="E2" s="476"/>
      <c r="F2" s="477"/>
      <c r="G2" s="478"/>
    </row>
    <row r="3" spans="1:7" ht="27.6" x14ac:dyDescent="0.3">
      <c r="A3" s="466"/>
      <c r="B3" s="394"/>
      <c r="C3" s="394"/>
      <c r="D3" s="394"/>
      <c r="E3" s="76" t="s">
        <v>183</v>
      </c>
      <c r="F3" s="77" t="s">
        <v>184</v>
      </c>
      <c r="G3" s="77" t="s">
        <v>186</v>
      </c>
    </row>
    <row r="4" spans="1:7" x14ac:dyDescent="0.3">
      <c r="A4" s="130">
        <v>1</v>
      </c>
      <c r="B4" s="131">
        <v>2</v>
      </c>
      <c r="C4" s="131">
        <v>3</v>
      </c>
      <c r="D4" s="131">
        <v>4</v>
      </c>
      <c r="E4" s="131">
        <v>5</v>
      </c>
      <c r="F4" s="131">
        <v>6</v>
      </c>
      <c r="G4" s="131">
        <v>7</v>
      </c>
    </row>
    <row r="5" spans="1:7" x14ac:dyDescent="0.3">
      <c r="A5" s="467" t="s">
        <v>193</v>
      </c>
      <c r="B5" s="467"/>
      <c r="C5" s="467"/>
      <c r="D5" s="467"/>
      <c r="E5" s="116"/>
      <c r="F5" s="116"/>
      <c r="G5" s="116"/>
    </row>
    <row r="6" spans="1:7" x14ac:dyDescent="0.3">
      <c r="A6" s="100">
        <v>1</v>
      </c>
      <c r="B6" s="60" t="s">
        <v>261</v>
      </c>
      <c r="C6" s="105" t="s">
        <v>181</v>
      </c>
      <c r="D6" s="108">
        <v>151</v>
      </c>
      <c r="E6" s="81">
        <v>5500</v>
      </c>
      <c r="F6" s="81">
        <f>ROUND(E6*D6,2)</f>
        <v>830500</v>
      </c>
      <c r="G6" s="81">
        <f>ROUND(F6*1.2,2)</f>
        <v>996600</v>
      </c>
    </row>
    <row r="7" spans="1:7" x14ac:dyDescent="0.3">
      <c r="A7" s="100">
        <f>A6+1</f>
        <v>2</v>
      </c>
      <c r="B7" s="60" t="s">
        <v>262</v>
      </c>
      <c r="C7" s="105" t="s">
        <v>181</v>
      </c>
      <c r="D7" s="108">
        <v>163</v>
      </c>
      <c r="E7" s="81">
        <v>1375</v>
      </c>
      <c r="F7" s="81">
        <f>ROUND(E7*D7,2)</f>
        <v>224125</v>
      </c>
      <c r="G7" s="81">
        <f>ROUND(F7*1.2,2)</f>
        <v>268950</v>
      </c>
    </row>
    <row r="8" spans="1:7" x14ac:dyDescent="0.3">
      <c r="A8" s="100">
        <f>A7+1</f>
        <v>3</v>
      </c>
      <c r="B8" s="60" t="s">
        <v>190</v>
      </c>
      <c r="C8" s="105" t="s">
        <v>182</v>
      </c>
      <c r="D8" s="110">
        <v>226.24</v>
      </c>
      <c r="E8" s="81">
        <v>168</v>
      </c>
      <c r="F8" s="81">
        <f>ROUND(E8*D8,2)</f>
        <v>38008.32</v>
      </c>
      <c r="G8" s="81">
        <f>ROUND(F8*1.2,2)</f>
        <v>45609.98</v>
      </c>
    </row>
    <row r="9" spans="1:7" ht="27.6" x14ac:dyDescent="0.3">
      <c r="A9" s="100">
        <f>A8+1</f>
        <v>4</v>
      </c>
      <c r="B9" s="112" t="s">
        <v>179</v>
      </c>
      <c r="C9" s="105" t="s">
        <v>182</v>
      </c>
      <c r="D9" s="110">
        <v>226.24</v>
      </c>
      <c r="E9" s="81">
        <f>ROUND(38500/1.2,2)</f>
        <v>32083.33</v>
      </c>
      <c r="F9" s="81">
        <f>ROUND(E9*D9,2)</f>
        <v>7258532.5800000001</v>
      </c>
      <c r="G9" s="81">
        <f>ROUND(F9*1.2,2)</f>
        <v>8710239.0999999996</v>
      </c>
    </row>
    <row r="10" spans="1:7" x14ac:dyDescent="0.3">
      <c r="A10" s="100">
        <f>A9+1</f>
        <v>5</v>
      </c>
      <c r="B10" s="120" t="s">
        <v>257</v>
      </c>
      <c r="C10" s="105" t="s">
        <v>178</v>
      </c>
      <c r="D10" s="82">
        <v>219</v>
      </c>
      <c r="E10" s="81">
        <f>ROUND(200/1.2,2)</f>
        <v>166.67</v>
      </c>
      <c r="F10" s="81">
        <f t="shared" ref="F10:F11" si="0">ROUND(E10*D10,2)</f>
        <v>36500.730000000003</v>
      </c>
      <c r="G10" s="81">
        <f t="shared" ref="G10:G11" si="1">ROUND(F10*1.2,2)</f>
        <v>43800.88</v>
      </c>
    </row>
    <row r="11" spans="1:7" x14ac:dyDescent="0.3">
      <c r="A11" s="100">
        <f t="shared" ref="A11:A13" si="2">A10+1</f>
        <v>6</v>
      </c>
      <c r="B11" s="120" t="s">
        <v>258</v>
      </c>
      <c r="C11" s="105" t="s">
        <v>178</v>
      </c>
      <c r="D11" s="82">
        <v>73</v>
      </c>
      <c r="E11" s="81">
        <f>ROUND(5841/1.2,2)</f>
        <v>4867.5</v>
      </c>
      <c r="F11" s="81">
        <f t="shared" si="0"/>
        <v>355327.5</v>
      </c>
      <c r="G11" s="81">
        <f t="shared" si="1"/>
        <v>426393</v>
      </c>
    </row>
    <row r="12" spans="1:7" x14ac:dyDescent="0.3">
      <c r="A12" s="100">
        <f t="shared" si="2"/>
        <v>7</v>
      </c>
      <c r="B12" s="112" t="s">
        <v>263</v>
      </c>
      <c r="C12" s="105" t="s">
        <v>204</v>
      </c>
      <c r="D12" s="108">
        <v>1</v>
      </c>
      <c r="E12" s="81">
        <v>110000</v>
      </c>
      <c r="F12" s="81">
        <f>ROUND(E12*D12,2)</f>
        <v>110000</v>
      </c>
      <c r="G12" s="81">
        <f>ROUND(F12*1.2,2)</f>
        <v>132000</v>
      </c>
    </row>
    <row r="13" spans="1:7" x14ac:dyDescent="0.3">
      <c r="A13" s="100">
        <f t="shared" si="2"/>
        <v>8</v>
      </c>
      <c r="B13" s="112" t="s">
        <v>180</v>
      </c>
      <c r="C13" s="105" t="s">
        <v>207</v>
      </c>
      <c r="D13" s="108">
        <v>1</v>
      </c>
      <c r="E13" s="81">
        <f>ROUND(154000/1.2,2)</f>
        <v>128333.33</v>
      </c>
      <c r="F13" s="81">
        <f>ROUND(E13*D13,2)</f>
        <v>128333.33</v>
      </c>
      <c r="G13" s="81">
        <f>ROUND(F13*1.2,2)</f>
        <v>154000</v>
      </c>
    </row>
    <row r="14" spans="1:7" x14ac:dyDescent="0.3">
      <c r="A14" s="467" t="s">
        <v>208</v>
      </c>
      <c r="B14" s="467"/>
      <c r="C14" s="467"/>
      <c r="D14" s="467"/>
      <c r="E14" s="117"/>
      <c r="F14" s="118"/>
      <c r="G14" s="118"/>
    </row>
    <row r="15" spans="1:7" x14ac:dyDescent="0.3">
      <c r="A15" s="100">
        <f>A13+1</f>
        <v>9</v>
      </c>
      <c r="B15" s="60" t="s">
        <v>261</v>
      </c>
      <c r="C15" s="105" t="s">
        <v>181</v>
      </c>
      <c r="D15" s="108">
        <v>151</v>
      </c>
      <c r="E15" s="81">
        <v>5500</v>
      </c>
      <c r="F15" s="81">
        <f>ROUND(E15*D15,2)</f>
        <v>830500</v>
      </c>
      <c r="G15" s="81">
        <f>ROUND(F15*1.2,2)</f>
        <v>996600</v>
      </c>
    </row>
    <row r="16" spans="1:7" x14ac:dyDescent="0.3">
      <c r="A16" s="100">
        <f>A15+1</f>
        <v>10</v>
      </c>
      <c r="B16" s="60" t="s">
        <v>262</v>
      </c>
      <c r="C16" s="105" t="s">
        <v>181</v>
      </c>
      <c r="D16" s="108">
        <v>163</v>
      </c>
      <c r="E16" s="81">
        <v>1375</v>
      </c>
      <c r="F16" s="81">
        <f>ROUND(E16*D16,2)</f>
        <v>224125</v>
      </c>
      <c r="G16" s="81">
        <f>ROUND(F16*1.2,2)</f>
        <v>268950</v>
      </c>
    </row>
    <row r="17" spans="1:7" x14ac:dyDescent="0.3">
      <c r="A17" s="100">
        <f>A16+1</f>
        <v>11</v>
      </c>
      <c r="B17" s="60" t="s">
        <v>190</v>
      </c>
      <c r="C17" s="105" t="s">
        <v>182</v>
      </c>
      <c r="D17" s="110">
        <v>226.24</v>
      </c>
      <c r="E17" s="81">
        <v>168</v>
      </c>
      <c r="F17" s="81">
        <f>ROUND(E17*D17,2)</f>
        <v>38008.32</v>
      </c>
      <c r="G17" s="81">
        <f>ROUND(F17*1.2,2)</f>
        <v>45609.98</v>
      </c>
    </row>
    <row r="18" spans="1:7" ht="27.6" x14ac:dyDescent="0.3">
      <c r="A18" s="100">
        <f>A17+1</f>
        <v>12</v>
      </c>
      <c r="B18" s="112" t="s">
        <v>179</v>
      </c>
      <c r="C18" s="105" t="s">
        <v>182</v>
      </c>
      <c r="D18" s="110">
        <v>226.24</v>
      </c>
      <c r="E18" s="81">
        <f>ROUND(38500/1.2,2)</f>
        <v>32083.33</v>
      </c>
      <c r="F18" s="81">
        <f>ROUND(E18*D18,2)</f>
        <v>7258532.5800000001</v>
      </c>
      <c r="G18" s="81">
        <f>ROUND(F18*1.2,2)</f>
        <v>8710239.0999999996</v>
      </c>
    </row>
    <row r="19" spans="1:7" x14ac:dyDescent="0.3">
      <c r="A19" s="100">
        <f>A18+1</f>
        <v>13</v>
      </c>
      <c r="B19" s="120" t="s">
        <v>257</v>
      </c>
      <c r="C19" s="105" t="s">
        <v>178</v>
      </c>
      <c r="D19" s="82">
        <v>219</v>
      </c>
      <c r="E19" s="81">
        <f>ROUND(200/1.2,2)</f>
        <v>166.67</v>
      </c>
      <c r="F19" s="81">
        <f t="shared" ref="F19:F20" si="3">ROUND(E19*D19,2)</f>
        <v>36500.730000000003</v>
      </c>
      <c r="G19" s="81">
        <f t="shared" ref="G19:G20" si="4">ROUND(F19*1.2,2)</f>
        <v>43800.88</v>
      </c>
    </row>
    <row r="20" spans="1:7" x14ac:dyDescent="0.3">
      <c r="A20" s="100">
        <f t="shared" ref="A20:A22" si="5">A19+1</f>
        <v>14</v>
      </c>
      <c r="B20" s="120" t="s">
        <v>258</v>
      </c>
      <c r="C20" s="105" t="s">
        <v>178</v>
      </c>
      <c r="D20" s="82">
        <v>73</v>
      </c>
      <c r="E20" s="81">
        <f>ROUND(5841/1.2,2)</f>
        <v>4867.5</v>
      </c>
      <c r="F20" s="81">
        <f t="shared" si="3"/>
        <v>355327.5</v>
      </c>
      <c r="G20" s="81">
        <f t="shared" si="4"/>
        <v>426393</v>
      </c>
    </row>
    <row r="21" spans="1:7" x14ac:dyDescent="0.3">
      <c r="A21" s="100">
        <f t="shared" si="5"/>
        <v>15</v>
      </c>
      <c r="B21" s="112" t="s">
        <v>263</v>
      </c>
      <c r="C21" s="105" t="s">
        <v>204</v>
      </c>
      <c r="D21" s="108">
        <v>1</v>
      </c>
      <c r="E21" s="81">
        <v>330000</v>
      </c>
      <c r="F21" s="81">
        <f>ROUND(E21*D21,2)</f>
        <v>330000</v>
      </c>
      <c r="G21" s="81">
        <f>ROUND(F21*1.2,2)</f>
        <v>396000</v>
      </c>
    </row>
    <row r="22" spans="1:7" x14ac:dyDescent="0.3">
      <c r="A22" s="100">
        <f t="shared" si="5"/>
        <v>16</v>
      </c>
      <c r="B22" s="112" t="s">
        <v>180</v>
      </c>
      <c r="C22" s="105" t="s">
        <v>207</v>
      </c>
      <c r="D22" s="108">
        <v>1</v>
      </c>
      <c r="E22" s="81">
        <f>ROUND(154000/1.2,2)</f>
        <v>128333.33</v>
      </c>
      <c r="F22" s="81">
        <f>ROUND(E22*D22,2)</f>
        <v>128333.33</v>
      </c>
      <c r="G22" s="81">
        <f>ROUND(F22*1.2,2)</f>
        <v>154000</v>
      </c>
    </row>
    <row r="23" spans="1:7" x14ac:dyDescent="0.3">
      <c r="A23" s="467" t="s">
        <v>210</v>
      </c>
      <c r="B23" s="467"/>
      <c r="C23" s="467"/>
      <c r="D23" s="467"/>
      <c r="E23" s="117"/>
      <c r="F23" s="118"/>
      <c r="G23" s="118"/>
    </row>
    <row r="24" spans="1:7" x14ac:dyDescent="0.3">
      <c r="A24" s="100">
        <f>A22+1</f>
        <v>17</v>
      </c>
      <c r="B24" s="60" t="s">
        <v>261</v>
      </c>
      <c r="C24" s="105" t="s">
        <v>181</v>
      </c>
      <c r="D24" s="108">
        <v>105</v>
      </c>
      <c r="E24" s="81">
        <v>5500</v>
      </c>
      <c r="F24" s="81">
        <f>ROUND(E24*D24,2)</f>
        <v>577500</v>
      </c>
      <c r="G24" s="81">
        <f>ROUND(F24*1.2,2)</f>
        <v>693000</v>
      </c>
    </row>
    <row r="25" spans="1:7" x14ac:dyDescent="0.3">
      <c r="A25" s="100">
        <f>A24+1</f>
        <v>18</v>
      </c>
      <c r="B25" s="60" t="s">
        <v>262</v>
      </c>
      <c r="C25" s="105" t="s">
        <v>181</v>
      </c>
      <c r="D25" s="119">
        <v>112.6</v>
      </c>
      <c r="E25" s="81">
        <v>1375</v>
      </c>
      <c r="F25" s="81">
        <f>ROUND(E25*D25,2)</f>
        <v>154825</v>
      </c>
      <c r="G25" s="81">
        <f>ROUND(F25*1.2,2)</f>
        <v>185790</v>
      </c>
    </row>
    <row r="26" spans="1:7" x14ac:dyDescent="0.3">
      <c r="A26" s="100">
        <f>A25+1</f>
        <v>19</v>
      </c>
      <c r="B26" s="60" t="s">
        <v>190</v>
      </c>
      <c r="C26" s="105" t="s">
        <v>182</v>
      </c>
      <c r="D26" s="110">
        <v>156.38999999999999</v>
      </c>
      <c r="E26" s="81">
        <v>168</v>
      </c>
      <c r="F26" s="81">
        <f>ROUND(E26*D26,2)</f>
        <v>26273.52</v>
      </c>
      <c r="G26" s="81">
        <f>ROUND(F26*1.2,2)</f>
        <v>31528.22</v>
      </c>
    </row>
    <row r="27" spans="1:7" ht="27.6" x14ac:dyDescent="0.3">
      <c r="A27" s="100">
        <f>A26+1</f>
        <v>20</v>
      </c>
      <c r="B27" s="112" t="s">
        <v>179</v>
      </c>
      <c r="C27" s="105" t="s">
        <v>182</v>
      </c>
      <c r="D27" s="110">
        <v>156.38999999999999</v>
      </c>
      <c r="E27" s="81">
        <f>ROUND(38500/1.2,2)</f>
        <v>32083.33</v>
      </c>
      <c r="F27" s="81">
        <f>ROUND(E27*D27,2)</f>
        <v>5017511.9800000004</v>
      </c>
      <c r="G27" s="81">
        <f>ROUND(F27*1.2,2)</f>
        <v>6021014.3799999999</v>
      </c>
    </row>
    <row r="28" spans="1:7" x14ac:dyDescent="0.3">
      <c r="A28" s="100">
        <f>A27+1</f>
        <v>21</v>
      </c>
      <c r="B28" s="120" t="s">
        <v>257</v>
      </c>
      <c r="C28" s="105" t="s">
        <v>178</v>
      </c>
      <c r="D28" s="82">
        <v>151</v>
      </c>
      <c r="E28" s="81">
        <f>ROUND(200/1.2,2)</f>
        <v>166.67</v>
      </c>
      <c r="F28" s="81">
        <f t="shared" ref="F28:F29" si="6">ROUND(E28*D28,2)</f>
        <v>25167.17</v>
      </c>
      <c r="G28" s="81">
        <f t="shared" ref="G28:G29" si="7">ROUND(F28*1.2,2)</f>
        <v>30200.6</v>
      </c>
    </row>
    <row r="29" spans="1:7" x14ac:dyDescent="0.3">
      <c r="A29" s="100">
        <f t="shared" ref="A29:A31" si="8">A28+1</f>
        <v>22</v>
      </c>
      <c r="B29" s="120" t="s">
        <v>258</v>
      </c>
      <c r="C29" s="105" t="s">
        <v>178</v>
      </c>
      <c r="D29" s="82">
        <v>50</v>
      </c>
      <c r="E29" s="81">
        <f>ROUND(5841/1.2,2)</f>
        <v>4867.5</v>
      </c>
      <c r="F29" s="81">
        <f t="shared" si="6"/>
        <v>243375</v>
      </c>
      <c r="G29" s="81">
        <f t="shared" si="7"/>
        <v>292050</v>
      </c>
    </row>
    <row r="30" spans="1:7" x14ac:dyDescent="0.3">
      <c r="A30" s="100">
        <f t="shared" si="8"/>
        <v>23</v>
      </c>
      <c r="B30" s="112" t="s">
        <v>263</v>
      </c>
      <c r="C30" s="105" t="s">
        <v>204</v>
      </c>
      <c r="D30" s="108">
        <v>1</v>
      </c>
      <c r="E30" s="81">
        <v>110000</v>
      </c>
      <c r="F30" s="81">
        <f>ROUND(E30*D30,2)</f>
        <v>110000</v>
      </c>
      <c r="G30" s="81">
        <f>ROUND(F30*1.2,2)</f>
        <v>132000</v>
      </c>
    </row>
    <row r="31" spans="1:7" x14ac:dyDescent="0.3">
      <c r="A31" s="100">
        <f t="shared" si="8"/>
        <v>24</v>
      </c>
      <c r="B31" s="112" t="s">
        <v>180</v>
      </c>
      <c r="C31" s="105" t="s">
        <v>207</v>
      </c>
      <c r="D31" s="108">
        <v>1</v>
      </c>
      <c r="E31" s="81">
        <f>ROUND(154000/1.2,2)</f>
        <v>128333.33</v>
      </c>
      <c r="F31" s="81">
        <f>ROUND(E31*D31,2)</f>
        <v>128333.33</v>
      </c>
      <c r="G31" s="81">
        <f>ROUND(F31*1.2,2)</f>
        <v>154000</v>
      </c>
    </row>
    <row r="32" spans="1:7" x14ac:dyDescent="0.3">
      <c r="A32" s="467" t="s">
        <v>211</v>
      </c>
      <c r="B32" s="467"/>
      <c r="C32" s="467"/>
      <c r="D32" s="467"/>
      <c r="E32" s="117"/>
      <c r="F32" s="118"/>
      <c r="G32" s="118"/>
    </row>
    <row r="33" spans="1:7" x14ac:dyDescent="0.3">
      <c r="A33" s="100">
        <f>A31+1</f>
        <v>25</v>
      </c>
      <c r="B33" s="60" t="s">
        <v>261</v>
      </c>
      <c r="C33" s="105" t="s">
        <v>181</v>
      </c>
      <c r="D33" s="108">
        <v>65</v>
      </c>
      <c r="E33" s="81">
        <v>5500</v>
      </c>
      <c r="F33" s="81">
        <f>ROUND(E33*D33,2)</f>
        <v>357500</v>
      </c>
      <c r="G33" s="81">
        <f>ROUND(F33*1.2,2)</f>
        <v>429000</v>
      </c>
    </row>
    <row r="34" spans="1:7" x14ac:dyDescent="0.3">
      <c r="A34" s="100">
        <f>A33+1</f>
        <v>26</v>
      </c>
      <c r="B34" s="60" t="s">
        <v>262</v>
      </c>
      <c r="C34" s="105" t="s">
        <v>181</v>
      </c>
      <c r="D34" s="119">
        <v>70</v>
      </c>
      <c r="E34" s="81">
        <v>1375</v>
      </c>
      <c r="F34" s="81">
        <f>ROUND(E34*D34,2)</f>
        <v>96250</v>
      </c>
      <c r="G34" s="81">
        <f>ROUND(F34*1.2,2)</f>
        <v>115500</v>
      </c>
    </row>
    <row r="35" spans="1:7" x14ac:dyDescent="0.3">
      <c r="A35" s="100">
        <f>A34+1</f>
        <v>27</v>
      </c>
      <c r="B35" s="60" t="s">
        <v>190</v>
      </c>
      <c r="C35" s="105" t="s">
        <v>182</v>
      </c>
      <c r="D35" s="119">
        <v>97.2</v>
      </c>
      <c r="E35" s="81">
        <v>168</v>
      </c>
      <c r="F35" s="81">
        <f>ROUND(E35*D35,2)</f>
        <v>16329.6</v>
      </c>
      <c r="G35" s="81">
        <f>ROUND(F35*1.2,2)</f>
        <v>19595.52</v>
      </c>
    </row>
    <row r="36" spans="1:7" ht="27.6" x14ac:dyDescent="0.3">
      <c r="A36" s="100">
        <f>A35+1</f>
        <v>28</v>
      </c>
      <c r="B36" s="112" t="s">
        <v>179</v>
      </c>
      <c r="C36" s="105" t="s">
        <v>182</v>
      </c>
      <c r="D36" s="110">
        <v>97.2</v>
      </c>
      <c r="E36" s="81">
        <f>ROUND(38500/1.2,2)</f>
        <v>32083.33</v>
      </c>
      <c r="F36" s="81">
        <f>ROUND(E36*D36,2)</f>
        <v>3118499.68</v>
      </c>
      <c r="G36" s="81">
        <f>ROUND(F36*1.2,2)</f>
        <v>3742199.62</v>
      </c>
    </row>
    <row r="37" spans="1:7" x14ac:dyDescent="0.3">
      <c r="A37" s="100">
        <f>A36+1</f>
        <v>29</v>
      </c>
      <c r="B37" s="120" t="s">
        <v>257</v>
      </c>
      <c r="C37" s="105" t="s">
        <v>178</v>
      </c>
      <c r="D37" s="108">
        <v>95</v>
      </c>
      <c r="E37" s="81">
        <f>ROUND(200/1.2,2)</f>
        <v>166.67</v>
      </c>
      <c r="F37" s="81">
        <f t="shared" ref="F37:F38" si="9">ROUND(E37*D37,2)</f>
        <v>15833.65</v>
      </c>
      <c r="G37" s="81">
        <f t="shared" ref="G37:G38" si="10">ROUND(F37*1.2,2)</f>
        <v>19000.38</v>
      </c>
    </row>
    <row r="38" spans="1:7" x14ac:dyDescent="0.3">
      <c r="A38" s="100">
        <f t="shared" ref="A38:A40" si="11">A37+1</f>
        <v>30</v>
      </c>
      <c r="B38" s="120" t="s">
        <v>258</v>
      </c>
      <c r="C38" s="105" t="s">
        <v>178</v>
      </c>
      <c r="D38" s="108">
        <v>32</v>
      </c>
      <c r="E38" s="81">
        <f>ROUND(5841/1.2,2)</f>
        <v>4867.5</v>
      </c>
      <c r="F38" s="81">
        <f t="shared" si="9"/>
        <v>155760</v>
      </c>
      <c r="G38" s="81">
        <f t="shared" si="10"/>
        <v>186912</v>
      </c>
    </row>
    <row r="39" spans="1:7" x14ac:dyDescent="0.3">
      <c r="A39" s="100">
        <f t="shared" si="11"/>
        <v>31</v>
      </c>
      <c r="B39" s="112" t="s">
        <v>263</v>
      </c>
      <c r="C39" s="105" t="s">
        <v>204</v>
      </c>
      <c r="D39" s="108">
        <v>1</v>
      </c>
      <c r="E39" s="81">
        <v>110000</v>
      </c>
      <c r="F39" s="81">
        <f>ROUND(E39*D39,2)</f>
        <v>110000</v>
      </c>
      <c r="G39" s="81">
        <f>ROUND(F39*1.2,2)</f>
        <v>132000</v>
      </c>
    </row>
    <row r="40" spans="1:7" x14ac:dyDescent="0.3">
      <c r="A40" s="100">
        <f t="shared" si="11"/>
        <v>32</v>
      </c>
      <c r="B40" s="112" t="s">
        <v>180</v>
      </c>
      <c r="C40" s="105" t="s">
        <v>207</v>
      </c>
      <c r="D40" s="108">
        <v>1</v>
      </c>
      <c r="E40" s="81">
        <f>ROUND(154000/1.2,2)</f>
        <v>128333.33</v>
      </c>
      <c r="F40" s="81">
        <f>ROUND(E40*D40,2)</f>
        <v>128333.33</v>
      </c>
      <c r="G40" s="81">
        <f>ROUND(F40*1.2,2)</f>
        <v>154000</v>
      </c>
    </row>
    <row r="41" spans="1:7" s="1" customFormat="1" ht="18.75" customHeight="1" x14ac:dyDescent="0.3">
      <c r="A41" s="83"/>
      <c r="B41" s="479" t="s">
        <v>265</v>
      </c>
      <c r="C41" s="480"/>
      <c r="D41" s="480"/>
      <c r="E41" s="481"/>
      <c r="F41" s="92">
        <f>SUM(F6:F40)</f>
        <v>28464147.179999996</v>
      </c>
      <c r="G41" s="92">
        <f>ROUND(F41*1.2,2)</f>
        <v>34156976.619999997</v>
      </c>
    </row>
    <row r="44" spans="1:7" x14ac:dyDescent="0.3">
      <c r="G44" s="26"/>
    </row>
  </sheetData>
  <mergeCells count="10">
    <mergeCell ref="E1:G2"/>
    <mergeCell ref="B41:E41"/>
    <mergeCell ref="A32:D32"/>
    <mergeCell ref="A14:D14"/>
    <mergeCell ref="A23:D23"/>
    <mergeCell ref="A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7"/>
  <sheetViews>
    <sheetView topLeftCell="A55" workbookViewId="0">
      <selection activeCell="G61" sqref="G61:G62"/>
    </sheetView>
  </sheetViews>
  <sheetFormatPr defaultRowHeight="14.4" x14ac:dyDescent="0.3"/>
  <cols>
    <col min="1" max="1" width="5.44140625" bestFit="1" customWidth="1"/>
    <col min="2" max="2" width="50.33203125" bestFit="1" customWidth="1"/>
    <col min="3" max="3" width="26.33203125" bestFit="1" customWidth="1"/>
    <col min="4" max="4" width="11" bestFit="1" customWidth="1"/>
    <col min="5" max="5" width="14.44140625" bestFit="1" customWidth="1"/>
    <col min="6" max="6" width="26.33203125" bestFit="1" customWidth="1"/>
    <col min="7" max="7" width="19.5546875" style="18" customWidth="1"/>
    <col min="8" max="8" width="26.5546875" style="29" customWidth="1"/>
    <col min="9" max="9" width="15.33203125" bestFit="1" customWidth="1"/>
  </cols>
  <sheetData>
    <row r="1" spans="1:8" ht="28.8" x14ac:dyDescent="0.3">
      <c r="A1" s="12" t="s">
        <v>0</v>
      </c>
      <c r="B1" s="12" t="s">
        <v>3</v>
      </c>
      <c r="C1" s="12" t="s">
        <v>2</v>
      </c>
      <c r="D1" s="12" t="s">
        <v>20</v>
      </c>
      <c r="E1" s="12" t="s">
        <v>1</v>
      </c>
      <c r="F1" s="12" t="s">
        <v>4</v>
      </c>
      <c r="G1" s="14" t="s">
        <v>143</v>
      </c>
      <c r="H1" s="12" t="s">
        <v>167</v>
      </c>
    </row>
    <row r="2" spans="1:8" s="1" customFormat="1" ht="18" x14ac:dyDescent="0.35">
      <c r="A2" s="378" t="s">
        <v>5</v>
      </c>
      <c r="B2" s="379"/>
      <c r="C2" s="9"/>
      <c r="D2" s="9"/>
      <c r="E2" s="9"/>
      <c r="F2" s="9"/>
      <c r="G2" s="16"/>
      <c r="H2" s="16"/>
    </row>
    <row r="3" spans="1:8" x14ac:dyDescent="0.3">
      <c r="A3" s="4" t="s">
        <v>6</v>
      </c>
      <c r="B3" s="4" t="s">
        <v>7</v>
      </c>
      <c r="C3" s="3"/>
      <c r="D3" s="3"/>
      <c r="E3" s="3"/>
      <c r="F3" s="3"/>
      <c r="G3" s="13"/>
      <c r="H3" s="19"/>
    </row>
    <row r="4" spans="1:8" x14ac:dyDescent="0.3">
      <c r="A4" s="3" t="s">
        <v>8</v>
      </c>
      <c r="B4" s="3" t="s">
        <v>136</v>
      </c>
      <c r="C4" s="3"/>
      <c r="D4" s="3"/>
      <c r="E4" s="3"/>
      <c r="F4" s="3"/>
      <c r="G4" s="13"/>
      <c r="H4" s="19"/>
    </row>
    <row r="5" spans="1:8" s="34" customFormat="1" x14ac:dyDescent="0.3">
      <c r="A5" s="31" t="s">
        <v>10</v>
      </c>
      <c r="B5" s="31" t="s">
        <v>134</v>
      </c>
      <c r="C5" s="31"/>
      <c r="D5" s="31"/>
      <c r="E5" s="31" t="s">
        <v>171</v>
      </c>
      <c r="F5" s="31" t="s">
        <v>172</v>
      </c>
      <c r="G5" s="32"/>
      <c r="H5" s="33"/>
    </row>
    <row r="6" spans="1:8" s="34" customFormat="1" x14ac:dyDescent="0.3">
      <c r="A6" s="31" t="s">
        <v>22</v>
      </c>
      <c r="B6" s="31" t="s">
        <v>135</v>
      </c>
      <c r="C6" s="31"/>
      <c r="D6" s="31"/>
      <c r="E6" s="31" t="s">
        <v>171</v>
      </c>
      <c r="F6" s="31" t="s">
        <v>172</v>
      </c>
      <c r="G6" s="32"/>
      <c r="H6" s="33"/>
    </row>
    <row r="7" spans="1:8" x14ac:dyDescent="0.3">
      <c r="A7" s="3" t="s">
        <v>23</v>
      </c>
      <c r="B7" s="3" t="s">
        <v>131</v>
      </c>
      <c r="C7" s="3"/>
      <c r="D7" s="3"/>
      <c r="E7" s="3"/>
      <c r="F7" s="3"/>
      <c r="G7" s="13"/>
      <c r="H7" s="19"/>
    </row>
    <row r="8" spans="1:8" x14ac:dyDescent="0.3">
      <c r="A8" s="3" t="s">
        <v>132</v>
      </c>
      <c r="B8" s="3" t="s">
        <v>133</v>
      </c>
      <c r="C8" s="3"/>
      <c r="D8" s="3"/>
      <c r="E8" s="3"/>
      <c r="F8" s="3"/>
      <c r="G8" s="13"/>
      <c r="H8" s="19"/>
    </row>
    <row r="9" spans="1:8" x14ac:dyDescent="0.3">
      <c r="A9" s="3" t="s">
        <v>24</v>
      </c>
      <c r="B9" s="3" t="s">
        <v>11</v>
      </c>
      <c r="C9" s="3"/>
      <c r="D9" s="3"/>
      <c r="E9" s="3"/>
      <c r="F9" s="3"/>
      <c r="G9" s="13"/>
      <c r="H9" s="19"/>
    </row>
    <row r="10" spans="1:8" x14ac:dyDescent="0.3">
      <c r="A10" s="3" t="s">
        <v>25</v>
      </c>
      <c r="B10" s="3" t="s">
        <v>12</v>
      </c>
      <c r="C10" s="3"/>
      <c r="D10" s="3"/>
      <c r="E10" s="3"/>
      <c r="F10" s="3"/>
      <c r="G10" s="13"/>
      <c r="H10" s="19"/>
    </row>
    <row r="11" spans="1:8" x14ac:dyDescent="0.3">
      <c r="A11" s="3" t="s">
        <v>26</v>
      </c>
      <c r="B11" s="3" t="s">
        <v>13</v>
      </c>
      <c r="C11" s="3"/>
      <c r="D11" s="3"/>
      <c r="E11" s="3"/>
      <c r="F11" s="3"/>
      <c r="G11" s="13"/>
      <c r="H11" s="19"/>
    </row>
    <row r="12" spans="1:8" s="34" customFormat="1" x14ac:dyDescent="0.3">
      <c r="A12" s="31" t="s">
        <v>27</v>
      </c>
      <c r="B12" s="31" t="s">
        <v>137</v>
      </c>
      <c r="C12" s="31"/>
      <c r="D12" s="31"/>
      <c r="E12" s="31"/>
      <c r="F12" s="31"/>
      <c r="G12" s="32"/>
      <c r="H12" s="33"/>
    </row>
    <row r="13" spans="1:8" s="34" customFormat="1" x14ac:dyDescent="0.3">
      <c r="A13" s="31" t="s">
        <v>28</v>
      </c>
      <c r="B13" s="31" t="s">
        <v>14</v>
      </c>
      <c r="C13" s="31" t="s">
        <v>15</v>
      </c>
      <c r="D13" s="31"/>
      <c r="E13" s="31"/>
      <c r="F13" s="31"/>
      <c r="G13" s="32"/>
      <c r="H13" s="33"/>
    </row>
    <row r="14" spans="1:8" x14ac:dyDescent="0.3">
      <c r="A14" s="3" t="s">
        <v>29</v>
      </c>
      <c r="B14" s="3" t="s">
        <v>16</v>
      </c>
      <c r="C14" s="3" t="s">
        <v>17</v>
      </c>
      <c r="D14" s="3"/>
      <c r="E14" s="3"/>
      <c r="F14" s="3"/>
      <c r="G14" s="13"/>
      <c r="H14" s="19"/>
    </row>
    <row r="15" spans="1:8" x14ac:dyDescent="0.3">
      <c r="A15" s="3" t="s">
        <v>30</v>
      </c>
      <c r="B15" s="3" t="s">
        <v>18</v>
      </c>
      <c r="C15" s="3" t="s">
        <v>130</v>
      </c>
      <c r="D15" s="3"/>
      <c r="E15" s="3"/>
      <c r="F15" s="3"/>
      <c r="G15" s="13"/>
      <c r="H15" s="19"/>
    </row>
    <row r="16" spans="1:8" s="34" customFormat="1" x14ac:dyDescent="0.3">
      <c r="A16" s="31" t="s">
        <v>138</v>
      </c>
      <c r="B16" s="31" t="s">
        <v>19</v>
      </c>
      <c r="C16" s="31"/>
      <c r="D16" s="31" t="s">
        <v>21</v>
      </c>
      <c r="E16" s="31"/>
      <c r="F16" s="31" t="s">
        <v>172</v>
      </c>
      <c r="G16" s="32"/>
      <c r="H16" s="33"/>
    </row>
    <row r="17" spans="1:8" ht="72" x14ac:dyDescent="0.3">
      <c r="A17" s="35" t="s">
        <v>139</v>
      </c>
      <c r="B17" s="36" t="s">
        <v>140</v>
      </c>
      <c r="C17" s="37" t="s">
        <v>141</v>
      </c>
      <c r="D17" s="38" t="s">
        <v>142</v>
      </c>
      <c r="E17" s="38"/>
      <c r="F17" s="37" t="s">
        <v>168</v>
      </c>
      <c r="G17" s="39">
        <f>H17/1.35</f>
        <v>3343784</v>
      </c>
      <c r="H17" s="40">
        <f>1677527.55+2836580.85</f>
        <v>4514108.4000000004</v>
      </c>
    </row>
    <row r="18" spans="1:8" s="1" customFormat="1" x14ac:dyDescent="0.3">
      <c r="A18" s="4" t="s">
        <v>31</v>
      </c>
      <c r="B18" s="4" t="s">
        <v>32</v>
      </c>
      <c r="C18" s="4"/>
      <c r="D18" s="4"/>
      <c r="E18" s="4"/>
      <c r="F18" s="4"/>
      <c r="G18" s="17"/>
      <c r="H18" s="11"/>
    </row>
    <row r="19" spans="1:8" ht="28.8" x14ac:dyDescent="0.3">
      <c r="A19" s="3" t="s">
        <v>35</v>
      </c>
      <c r="B19" s="5" t="s">
        <v>33</v>
      </c>
      <c r="C19" s="3" t="s">
        <v>34</v>
      </c>
      <c r="D19" s="3"/>
      <c r="E19" s="3"/>
      <c r="F19" s="3"/>
      <c r="G19" s="13"/>
      <c r="H19" s="19"/>
    </row>
    <row r="20" spans="1:8" x14ac:dyDescent="0.3">
      <c r="A20" s="3" t="s">
        <v>36</v>
      </c>
      <c r="B20" s="3" t="s">
        <v>37</v>
      </c>
      <c r="C20" s="3"/>
      <c r="D20" s="3"/>
      <c r="E20" s="3"/>
      <c r="F20" s="3"/>
      <c r="G20" s="13"/>
      <c r="H20" s="19"/>
    </row>
    <row r="21" spans="1:8" x14ac:dyDescent="0.3">
      <c r="A21" s="3" t="s">
        <v>43</v>
      </c>
      <c r="B21" s="3" t="s">
        <v>38</v>
      </c>
      <c r="C21" s="3"/>
      <c r="D21" s="3"/>
      <c r="E21" s="3"/>
      <c r="F21" s="3"/>
      <c r="G21" s="13"/>
      <c r="H21" s="19"/>
    </row>
    <row r="22" spans="1:8" x14ac:dyDescent="0.3">
      <c r="A22" s="3" t="s">
        <v>44</v>
      </c>
      <c r="B22" s="6" t="s">
        <v>39</v>
      </c>
      <c r="C22" s="3"/>
      <c r="D22" s="3"/>
      <c r="E22" s="3"/>
      <c r="F22" s="3"/>
      <c r="G22" s="13"/>
      <c r="H22" s="19"/>
    </row>
    <row r="23" spans="1:8" ht="28.8" x14ac:dyDescent="0.3">
      <c r="A23" s="31" t="s">
        <v>45</v>
      </c>
      <c r="B23" s="41" t="s">
        <v>40</v>
      </c>
      <c r="C23" s="31"/>
      <c r="D23" s="31"/>
      <c r="E23" s="31"/>
      <c r="F23" s="31" t="s">
        <v>173</v>
      </c>
      <c r="G23" s="32"/>
      <c r="H23" s="33"/>
    </row>
    <row r="24" spans="1:8" s="34" customFormat="1" x14ac:dyDescent="0.3">
      <c r="A24" s="31" t="s">
        <v>46</v>
      </c>
      <c r="B24" s="31" t="s">
        <v>41</v>
      </c>
      <c r="C24" s="31"/>
      <c r="D24" s="31"/>
      <c r="E24" s="31"/>
      <c r="F24" s="31" t="s">
        <v>173</v>
      </c>
      <c r="G24" s="32"/>
      <c r="H24" s="33"/>
    </row>
    <row r="25" spans="1:8" s="34" customFormat="1" x14ac:dyDescent="0.3">
      <c r="A25" s="31" t="s">
        <v>47</v>
      </c>
      <c r="B25" s="31" t="s">
        <v>42</v>
      </c>
      <c r="C25" s="31"/>
      <c r="D25" s="31"/>
      <c r="E25" s="31"/>
      <c r="F25" s="31" t="s">
        <v>173</v>
      </c>
      <c r="G25" s="32"/>
      <c r="H25" s="33"/>
    </row>
    <row r="26" spans="1:8" x14ac:dyDescent="0.3">
      <c r="A26" s="42" t="s">
        <v>48</v>
      </c>
      <c r="B26" s="42" t="s">
        <v>49</v>
      </c>
      <c r="C26" s="42"/>
      <c r="D26" s="42"/>
      <c r="E26" s="42"/>
      <c r="F26" s="42" t="s">
        <v>50</v>
      </c>
      <c r="G26" s="43"/>
      <c r="H26" s="44"/>
    </row>
    <row r="27" spans="1:8" x14ac:dyDescent="0.3">
      <c r="A27" s="4" t="s">
        <v>52</v>
      </c>
      <c r="B27" s="4" t="s">
        <v>51</v>
      </c>
      <c r="C27" s="3"/>
      <c r="D27" s="3"/>
      <c r="E27" s="3"/>
      <c r="F27" s="3"/>
      <c r="G27" s="13"/>
      <c r="H27" s="19"/>
    </row>
    <row r="28" spans="1:8" ht="28.8" x14ac:dyDescent="0.3">
      <c r="A28" s="31" t="s">
        <v>57</v>
      </c>
      <c r="B28" s="46" t="s">
        <v>56</v>
      </c>
      <c r="C28" s="31"/>
      <c r="D28" s="31"/>
      <c r="E28" s="31"/>
      <c r="F28" s="31" t="s">
        <v>174</v>
      </c>
      <c r="G28" s="32"/>
      <c r="H28" s="33"/>
    </row>
    <row r="29" spans="1:8" x14ac:dyDescent="0.3">
      <c r="A29" s="47" t="s">
        <v>58</v>
      </c>
      <c r="B29" s="48" t="s">
        <v>53</v>
      </c>
      <c r="C29" s="47"/>
      <c r="D29" s="47"/>
      <c r="E29" s="47"/>
      <c r="F29" s="47"/>
      <c r="G29" s="49"/>
      <c r="H29" s="50"/>
    </row>
    <row r="30" spans="1:8" x14ac:dyDescent="0.3">
      <c r="A30" s="31" t="s">
        <v>59</v>
      </c>
      <c r="B30" s="46" t="s">
        <v>54</v>
      </c>
      <c r="C30" s="31"/>
      <c r="D30" s="31"/>
      <c r="E30" s="31"/>
      <c r="F30" s="31" t="s">
        <v>174</v>
      </c>
      <c r="G30" s="32"/>
      <c r="H30" s="33"/>
    </row>
    <row r="31" spans="1:8" ht="28.8" x14ac:dyDescent="0.3">
      <c r="A31" s="47" t="s">
        <v>60</v>
      </c>
      <c r="B31" s="48" t="s">
        <v>55</v>
      </c>
      <c r="C31" s="47"/>
      <c r="D31" s="47"/>
      <c r="E31" s="47"/>
      <c r="F31" s="47"/>
      <c r="G31" s="49"/>
      <c r="H31" s="50"/>
    </row>
    <row r="32" spans="1:8" x14ac:dyDescent="0.3">
      <c r="A32" s="4" t="s">
        <v>65</v>
      </c>
      <c r="B32" s="8" t="s">
        <v>64</v>
      </c>
      <c r="C32" s="3"/>
      <c r="D32" s="3"/>
      <c r="E32" s="3"/>
      <c r="F32" s="3"/>
      <c r="G32" s="13"/>
      <c r="H32" s="19"/>
    </row>
    <row r="33" spans="1:10" ht="57.6" x14ac:dyDescent="0.3">
      <c r="A33" s="38" t="s">
        <v>66</v>
      </c>
      <c r="B33" s="45" t="s">
        <v>71</v>
      </c>
      <c r="C33" s="38" t="s">
        <v>70</v>
      </c>
      <c r="D33" s="38" t="s">
        <v>72</v>
      </c>
      <c r="E33" s="38" t="s">
        <v>73</v>
      </c>
      <c r="F33" s="37" t="s">
        <v>165</v>
      </c>
      <c r="G33" s="381">
        <f>H33/2</f>
        <v>7942400</v>
      </c>
      <c r="H33" s="381">
        <f>7942400*2</f>
        <v>15884800</v>
      </c>
      <c r="I33" s="30"/>
      <c r="J33" s="26"/>
    </row>
    <row r="34" spans="1:10" ht="43.2" x14ac:dyDescent="0.3">
      <c r="A34" s="38" t="s">
        <v>67</v>
      </c>
      <c r="B34" s="45" t="s">
        <v>61</v>
      </c>
      <c r="C34" s="38"/>
      <c r="D34" s="38" t="s">
        <v>72</v>
      </c>
      <c r="E34" s="38" t="s">
        <v>73</v>
      </c>
      <c r="F34" s="37" t="s">
        <v>166</v>
      </c>
      <c r="G34" s="382"/>
      <c r="H34" s="382"/>
    </row>
    <row r="35" spans="1:10" x14ac:dyDescent="0.3">
      <c r="A35" s="3" t="s">
        <v>68</v>
      </c>
      <c r="B35" s="7" t="s">
        <v>62</v>
      </c>
      <c r="C35" s="3"/>
      <c r="D35" s="3"/>
      <c r="E35" s="3"/>
      <c r="F35" s="3"/>
      <c r="G35" s="13"/>
      <c r="H35" s="19"/>
    </row>
    <row r="36" spans="1:10" x14ac:dyDescent="0.3">
      <c r="A36" s="3" t="s">
        <v>69</v>
      </c>
      <c r="B36" s="5" t="s">
        <v>63</v>
      </c>
      <c r="C36" s="3"/>
      <c r="D36" s="3"/>
      <c r="E36" s="3"/>
      <c r="F36" s="3"/>
      <c r="G36" s="13"/>
      <c r="H36" s="19"/>
    </row>
    <row r="37" spans="1:10" x14ac:dyDescent="0.3">
      <c r="A37" s="4" t="s">
        <v>78</v>
      </c>
      <c r="B37" s="8" t="s">
        <v>77</v>
      </c>
      <c r="C37" s="3"/>
      <c r="D37" s="3"/>
      <c r="E37" s="3"/>
      <c r="F37" s="3"/>
      <c r="G37" s="13"/>
      <c r="H37" s="19"/>
    </row>
    <row r="38" spans="1:10" x14ac:dyDescent="0.3">
      <c r="A38" s="3" t="s">
        <v>79</v>
      </c>
      <c r="B38" s="6" t="s">
        <v>74</v>
      </c>
      <c r="C38" s="3"/>
      <c r="D38" s="3"/>
      <c r="E38" s="3"/>
      <c r="F38" s="3"/>
      <c r="G38" s="13"/>
      <c r="H38" s="19"/>
    </row>
    <row r="39" spans="1:10" x14ac:dyDescent="0.3">
      <c r="A39" s="3" t="s">
        <v>80</v>
      </c>
      <c r="B39" s="6" t="s">
        <v>75</v>
      </c>
      <c r="C39" s="3"/>
      <c r="D39" s="3"/>
      <c r="E39" s="3"/>
      <c r="F39" s="3"/>
      <c r="G39" s="13"/>
      <c r="H39" s="19"/>
    </row>
    <row r="40" spans="1:10" x14ac:dyDescent="0.3">
      <c r="A40" s="3" t="s">
        <v>81</v>
      </c>
      <c r="B40" s="6" t="s">
        <v>76</v>
      </c>
      <c r="C40" s="3"/>
      <c r="D40" s="3"/>
      <c r="E40" s="3"/>
      <c r="F40" s="3"/>
      <c r="G40" s="13"/>
      <c r="H40" s="19"/>
    </row>
    <row r="41" spans="1:10" x14ac:dyDescent="0.3">
      <c r="A41" s="3" t="s">
        <v>99</v>
      </c>
      <c r="B41" s="8" t="s">
        <v>96</v>
      </c>
      <c r="C41" s="3"/>
      <c r="D41" s="3"/>
      <c r="E41" s="3"/>
      <c r="F41" s="3"/>
      <c r="G41" s="13"/>
      <c r="H41" s="19"/>
    </row>
    <row r="42" spans="1:10" x14ac:dyDescent="0.3">
      <c r="A42" s="3" t="s">
        <v>102</v>
      </c>
      <c r="B42" s="6" t="s">
        <v>82</v>
      </c>
      <c r="C42" s="3"/>
      <c r="D42" s="3"/>
      <c r="E42" s="3"/>
      <c r="F42" s="3"/>
      <c r="G42" s="13"/>
      <c r="H42" s="19"/>
    </row>
    <row r="43" spans="1:10" x14ac:dyDescent="0.3">
      <c r="A43" s="3" t="s">
        <v>103</v>
      </c>
      <c r="B43" s="6" t="s">
        <v>83</v>
      </c>
      <c r="C43" s="3"/>
      <c r="D43" s="3"/>
      <c r="E43" s="3"/>
      <c r="F43" s="3"/>
      <c r="G43" s="13"/>
      <c r="H43" s="19"/>
    </row>
    <row r="44" spans="1:10" x14ac:dyDescent="0.3">
      <c r="A44" s="3" t="s">
        <v>100</v>
      </c>
      <c r="B44" s="8" t="s">
        <v>97</v>
      </c>
      <c r="C44" s="3"/>
      <c r="D44" s="3"/>
      <c r="E44" s="3"/>
      <c r="F44" s="3"/>
      <c r="G44" s="13"/>
      <c r="H44" s="19"/>
    </row>
    <row r="45" spans="1:10" x14ac:dyDescent="0.3">
      <c r="A45" s="3" t="s">
        <v>104</v>
      </c>
      <c r="B45" s="6" t="s">
        <v>84</v>
      </c>
      <c r="C45" s="3"/>
      <c r="D45" s="3"/>
      <c r="E45" s="3"/>
      <c r="F45" s="3"/>
      <c r="G45" s="13"/>
      <c r="H45" s="19"/>
    </row>
    <row r="46" spans="1:10" x14ac:dyDescent="0.3">
      <c r="A46" s="3" t="s">
        <v>105</v>
      </c>
      <c r="B46" s="6" t="s">
        <v>85</v>
      </c>
      <c r="C46" s="3"/>
      <c r="D46" s="3"/>
      <c r="E46" s="3"/>
      <c r="F46" s="3"/>
      <c r="G46" s="13"/>
      <c r="H46" s="19"/>
    </row>
    <row r="47" spans="1:10" x14ac:dyDescent="0.3">
      <c r="A47" s="3" t="s">
        <v>106</v>
      </c>
      <c r="B47" s="6" t="s">
        <v>86</v>
      </c>
      <c r="C47" s="3"/>
      <c r="D47" s="3"/>
      <c r="E47" s="3"/>
      <c r="F47" s="3"/>
      <c r="G47" s="13"/>
      <c r="H47" s="19"/>
    </row>
    <row r="48" spans="1:10" x14ac:dyDescent="0.3">
      <c r="A48" s="3" t="s">
        <v>107</v>
      </c>
      <c r="B48" s="6" t="s">
        <v>87</v>
      </c>
      <c r="C48" s="3"/>
      <c r="D48" s="3"/>
      <c r="E48" s="3"/>
      <c r="F48" s="3"/>
      <c r="G48" s="13"/>
      <c r="H48" s="19"/>
    </row>
    <row r="49" spans="1:9" x14ac:dyDescent="0.3">
      <c r="A49" s="3" t="s">
        <v>108</v>
      </c>
      <c r="B49" s="6" t="s">
        <v>88</v>
      </c>
      <c r="C49" s="3"/>
      <c r="D49" s="3"/>
      <c r="E49" s="3"/>
      <c r="F49" s="3"/>
      <c r="G49" s="13"/>
      <c r="H49" s="19"/>
    </row>
    <row r="50" spans="1:9" x14ac:dyDescent="0.3">
      <c r="A50" s="3" t="s">
        <v>109</v>
      </c>
      <c r="B50" s="6" t="s">
        <v>89</v>
      </c>
      <c r="C50" s="3"/>
      <c r="D50" s="3"/>
      <c r="E50" s="3"/>
      <c r="F50" s="3"/>
      <c r="G50" s="13"/>
      <c r="H50" s="19"/>
    </row>
    <row r="51" spans="1:9" x14ac:dyDescent="0.3">
      <c r="A51" s="3" t="s">
        <v>110</v>
      </c>
      <c r="B51" s="6" t="s">
        <v>76</v>
      </c>
      <c r="C51" s="3"/>
      <c r="D51" s="3"/>
      <c r="E51" s="3"/>
      <c r="F51" s="3"/>
      <c r="G51" s="13"/>
      <c r="H51" s="19"/>
    </row>
    <row r="52" spans="1:9" x14ac:dyDescent="0.3">
      <c r="A52" s="3" t="s">
        <v>111</v>
      </c>
      <c r="B52" s="6" t="s">
        <v>90</v>
      </c>
      <c r="C52" s="3"/>
      <c r="D52" s="3"/>
      <c r="E52" s="3"/>
      <c r="F52" s="3"/>
      <c r="G52" s="13"/>
      <c r="H52" s="19"/>
    </row>
    <row r="53" spans="1:9" x14ac:dyDescent="0.3">
      <c r="A53" s="3" t="s">
        <v>112</v>
      </c>
      <c r="B53" s="6" t="s">
        <v>91</v>
      </c>
      <c r="C53" s="3"/>
      <c r="D53" s="3"/>
      <c r="E53" s="3"/>
      <c r="F53" s="3"/>
      <c r="G53" s="13"/>
      <c r="H53" s="19"/>
    </row>
    <row r="54" spans="1:9" x14ac:dyDescent="0.3">
      <c r="A54" s="3" t="s">
        <v>113</v>
      </c>
      <c r="B54" s="6" t="s">
        <v>92</v>
      </c>
      <c r="C54" s="3"/>
      <c r="D54" s="3"/>
      <c r="E54" s="3"/>
      <c r="F54" s="3"/>
      <c r="G54" s="13"/>
      <c r="H54" s="19"/>
    </row>
    <row r="55" spans="1:9" x14ac:dyDescent="0.3">
      <c r="A55" s="3" t="s">
        <v>101</v>
      </c>
      <c r="B55" s="8" t="s">
        <v>98</v>
      </c>
      <c r="C55" s="3"/>
      <c r="D55" s="3"/>
      <c r="E55" s="3"/>
      <c r="F55" s="3"/>
      <c r="G55" s="13"/>
      <c r="H55" s="19"/>
    </row>
    <row r="56" spans="1:9" x14ac:dyDescent="0.3">
      <c r="A56" s="3" t="s">
        <v>114</v>
      </c>
      <c r="B56" s="6" t="s">
        <v>93</v>
      </c>
      <c r="C56" s="3"/>
      <c r="D56" s="3"/>
      <c r="E56" s="3"/>
      <c r="F56" s="3"/>
      <c r="G56" s="13"/>
      <c r="H56" s="19"/>
    </row>
    <row r="57" spans="1:9" x14ac:dyDescent="0.3">
      <c r="A57" s="3" t="s">
        <v>115</v>
      </c>
      <c r="B57" s="6" t="s">
        <v>94</v>
      </c>
      <c r="C57" s="3"/>
      <c r="D57" s="3"/>
      <c r="E57" s="3"/>
      <c r="F57" s="3"/>
      <c r="G57" s="13"/>
      <c r="H57" s="19"/>
    </row>
    <row r="58" spans="1:9" x14ac:dyDescent="0.3">
      <c r="A58" s="3" t="s">
        <v>116</v>
      </c>
      <c r="B58" s="3" t="s">
        <v>95</v>
      </c>
      <c r="C58" s="3"/>
      <c r="D58" s="3"/>
      <c r="E58" s="3"/>
      <c r="F58" s="3"/>
      <c r="G58" s="13"/>
      <c r="H58" s="19"/>
    </row>
    <row r="59" spans="1:9" ht="18" x14ac:dyDescent="0.3">
      <c r="A59" s="380" t="s">
        <v>117</v>
      </c>
      <c r="B59" s="380"/>
      <c r="C59" s="10"/>
      <c r="D59" s="10" t="s">
        <v>178</v>
      </c>
      <c r="E59" s="10"/>
      <c r="F59" s="10"/>
      <c r="G59" s="10"/>
      <c r="H59" s="19"/>
    </row>
    <row r="60" spans="1:9" s="1" customFormat="1" ht="57.6" x14ac:dyDescent="0.3">
      <c r="A60" s="11">
        <v>1</v>
      </c>
      <c r="B60" s="51" t="s">
        <v>118</v>
      </c>
      <c r="C60" s="8" t="s">
        <v>176</v>
      </c>
      <c r="D60" s="8">
        <v>1929</v>
      </c>
      <c r="E60" s="4"/>
      <c r="F60" s="4"/>
      <c r="G60" s="17"/>
      <c r="H60" s="11"/>
    </row>
    <row r="61" spans="1:9" ht="57.6" x14ac:dyDescent="0.3">
      <c r="A61" s="20" t="s">
        <v>8</v>
      </c>
      <c r="B61" s="21" t="s">
        <v>155</v>
      </c>
      <c r="C61" s="21" t="s">
        <v>129</v>
      </c>
      <c r="D61" s="22">
        <f>1929/12.5*2</f>
        <v>308.64</v>
      </c>
      <c r="E61" s="3" t="s">
        <v>147</v>
      </c>
      <c r="F61" s="5" t="s">
        <v>175</v>
      </c>
      <c r="G61" s="13">
        <f>250.25*137900</f>
        <v>34509475</v>
      </c>
      <c r="H61" s="27"/>
      <c r="I61" s="30"/>
    </row>
    <row r="62" spans="1:9" x14ac:dyDescent="0.3">
      <c r="A62" s="20" t="s">
        <v>10</v>
      </c>
      <c r="B62" s="21" t="s">
        <v>154</v>
      </c>
      <c r="C62" s="22" t="s">
        <v>144</v>
      </c>
      <c r="D62" s="22"/>
      <c r="E62" s="3" t="s">
        <v>147</v>
      </c>
      <c r="F62" s="3" t="s">
        <v>146</v>
      </c>
      <c r="G62" s="13">
        <f>2890*2228</f>
        <v>6438920</v>
      </c>
      <c r="H62" s="27"/>
    </row>
    <row r="63" spans="1:9" ht="28.8" x14ac:dyDescent="0.3">
      <c r="A63" s="20" t="s">
        <v>22</v>
      </c>
      <c r="B63" s="21" t="s">
        <v>153</v>
      </c>
      <c r="C63" s="22" t="s">
        <v>128</v>
      </c>
      <c r="D63" s="22"/>
      <c r="E63" s="3" t="s">
        <v>147</v>
      </c>
      <c r="F63" s="5" t="s">
        <v>149</v>
      </c>
      <c r="G63" s="13"/>
      <c r="H63" s="27"/>
    </row>
    <row r="64" spans="1:9" ht="28.8" x14ac:dyDescent="0.3">
      <c r="A64" s="20" t="s">
        <v>23</v>
      </c>
      <c r="B64" s="21" t="s">
        <v>152</v>
      </c>
      <c r="C64" s="22"/>
      <c r="D64" s="22"/>
      <c r="E64" s="3" t="s">
        <v>147</v>
      </c>
      <c r="F64" s="5" t="s">
        <v>148</v>
      </c>
      <c r="G64" s="13"/>
      <c r="H64" s="27"/>
    </row>
    <row r="65" spans="1:9" ht="28.8" x14ac:dyDescent="0.3">
      <c r="A65" s="20" t="s">
        <v>24</v>
      </c>
      <c r="B65" s="21" t="s">
        <v>151</v>
      </c>
      <c r="C65" s="22"/>
      <c r="D65" s="22"/>
      <c r="E65" s="3" t="s">
        <v>147</v>
      </c>
      <c r="F65" s="5" t="s">
        <v>150</v>
      </c>
      <c r="G65" s="13"/>
      <c r="H65" s="27"/>
    </row>
    <row r="66" spans="1:9" ht="28.8" x14ac:dyDescent="0.3">
      <c r="A66" s="20" t="s">
        <v>25</v>
      </c>
      <c r="B66" s="21" t="s">
        <v>157</v>
      </c>
      <c r="C66" s="22"/>
      <c r="D66" s="22"/>
      <c r="E66" s="3" t="s">
        <v>147</v>
      </c>
      <c r="F66" s="5" t="s">
        <v>156</v>
      </c>
      <c r="G66" s="13"/>
      <c r="H66" s="27"/>
    </row>
    <row r="67" spans="1:9" x14ac:dyDescent="0.3">
      <c r="A67" s="19" t="s">
        <v>26</v>
      </c>
      <c r="B67" s="7" t="s">
        <v>158</v>
      </c>
      <c r="C67" s="6"/>
      <c r="D67" s="6"/>
      <c r="E67" s="3" t="s">
        <v>147</v>
      </c>
      <c r="F67" s="3"/>
      <c r="G67" s="13"/>
      <c r="H67" s="27"/>
    </row>
    <row r="68" spans="1:9" s="1" customFormat="1" ht="57.6" x14ac:dyDescent="0.3">
      <c r="A68" s="11">
        <v>1</v>
      </c>
      <c r="B68" s="51" t="s">
        <v>118</v>
      </c>
      <c r="C68" s="8" t="s">
        <v>177</v>
      </c>
      <c r="D68" s="8">
        <v>284</v>
      </c>
      <c r="E68" s="4"/>
      <c r="F68" s="4"/>
      <c r="G68" s="17"/>
      <c r="H68" s="11"/>
    </row>
    <row r="69" spans="1:9" ht="57.6" x14ac:dyDescent="0.3">
      <c r="A69" s="20" t="s">
        <v>8</v>
      </c>
      <c r="B69" s="21" t="s">
        <v>155</v>
      </c>
      <c r="C69" s="21" t="s">
        <v>129</v>
      </c>
      <c r="D69" s="22"/>
      <c r="E69" s="3" t="s">
        <v>147</v>
      </c>
      <c r="F69" s="5" t="s">
        <v>175</v>
      </c>
      <c r="G69" s="13"/>
      <c r="H69" s="27"/>
      <c r="I69" s="30"/>
    </row>
    <row r="70" spans="1:9" x14ac:dyDescent="0.3">
      <c r="A70" s="20" t="s">
        <v>10</v>
      </c>
      <c r="B70" s="21" t="s">
        <v>154</v>
      </c>
      <c r="C70" s="22" t="s">
        <v>144</v>
      </c>
      <c r="D70" s="22"/>
      <c r="E70" s="3" t="s">
        <v>147</v>
      </c>
      <c r="F70" s="3" t="s">
        <v>146</v>
      </c>
      <c r="G70" s="13"/>
      <c r="H70" s="27"/>
    </row>
    <row r="71" spans="1:9" ht="28.8" x14ac:dyDescent="0.3">
      <c r="A71" s="20" t="s">
        <v>22</v>
      </c>
      <c r="B71" s="21" t="s">
        <v>153</v>
      </c>
      <c r="C71" s="22" t="s">
        <v>128</v>
      </c>
      <c r="D71" s="22"/>
      <c r="E71" s="3" t="s">
        <v>147</v>
      </c>
      <c r="F71" s="5" t="s">
        <v>149</v>
      </c>
      <c r="G71" s="13"/>
      <c r="H71" s="27"/>
    </row>
    <row r="72" spans="1:9" ht="28.8" x14ac:dyDescent="0.3">
      <c r="A72" s="20" t="s">
        <v>23</v>
      </c>
      <c r="B72" s="21" t="s">
        <v>152</v>
      </c>
      <c r="C72" s="22"/>
      <c r="D72" s="22"/>
      <c r="E72" s="3" t="s">
        <v>147</v>
      </c>
      <c r="F72" s="5" t="s">
        <v>148</v>
      </c>
      <c r="G72" s="13"/>
      <c r="H72" s="27"/>
    </row>
    <row r="73" spans="1:9" ht="28.8" x14ac:dyDescent="0.3">
      <c r="A73" s="20" t="s">
        <v>24</v>
      </c>
      <c r="B73" s="21" t="s">
        <v>151</v>
      </c>
      <c r="C73" s="22"/>
      <c r="D73" s="22"/>
      <c r="E73" s="3" t="s">
        <v>147</v>
      </c>
      <c r="F73" s="5" t="s">
        <v>150</v>
      </c>
      <c r="G73" s="13"/>
      <c r="H73" s="27"/>
    </row>
    <row r="74" spans="1:9" ht="28.8" x14ac:dyDescent="0.3">
      <c r="A74" s="20" t="s">
        <v>25</v>
      </c>
      <c r="B74" s="21" t="s">
        <v>157</v>
      </c>
      <c r="C74" s="22"/>
      <c r="D74" s="22"/>
      <c r="E74" s="3" t="s">
        <v>147</v>
      </c>
      <c r="F74" s="5" t="s">
        <v>156</v>
      </c>
      <c r="G74" s="13"/>
      <c r="H74" s="27"/>
    </row>
    <row r="75" spans="1:9" x14ac:dyDescent="0.3">
      <c r="A75" s="19" t="s">
        <v>26</v>
      </c>
      <c r="B75" s="7" t="s">
        <v>158</v>
      </c>
      <c r="C75" s="6"/>
      <c r="D75" s="6"/>
      <c r="E75" s="3" t="s">
        <v>147</v>
      </c>
      <c r="F75" s="3"/>
      <c r="G75" s="13"/>
      <c r="H75" s="27"/>
    </row>
    <row r="76" spans="1:9" x14ac:dyDescent="0.3">
      <c r="A76" s="19">
        <v>2</v>
      </c>
      <c r="B76" s="7" t="s">
        <v>127</v>
      </c>
      <c r="C76" s="6" t="s">
        <v>126</v>
      </c>
      <c r="D76" s="6">
        <v>1</v>
      </c>
      <c r="E76" s="3"/>
      <c r="F76" s="3"/>
      <c r="G76" s="13"/>
      <c r="H76" s="27">
        <f t="shared" ref="H76:H82" si="0">G76*1.35</f>
        <v>0</v>
      </c>
    </row>
    <row r="77" spans="1:9" ht="43.2" x14ac:dyDescent="0.3">
      <c r="A77" s="19">
        <v>3</v>
      </c>
      <c r="B77" s="7" t="s">
        <v>119</v>
      </c>
      <c r="C77" s="7" t="s">
        <v>120</v>
      </c>
      <c r="D77" s="6">
        <v>1</v>
      </c>
      <c r="E77" s="3" t="s">
        <v>147</v>
      </c>
      <c r="F77" s="3"/>
      <c r="G77" s="13">
        <f>3096000*D77</f>
        <v>3096000</v>
      </c>
      <c r="H77" s="27">
        <f t="shared" si="0"/>
        <v>4179600.0000000005</v>
      </c>
    </row>
    <row r="78" spans="1:9" ht="28.8" x14ac:dyDescent="0.3">
      <c r="A78" s="19">
        <v>4</v>
      </c>
      <c r="B78" s="7" t="s">
        <v>121</v>
      </c>
      <c r="C78" s="7" t="s">
        <v>120</v>
      </c>
      <c r="D78" s="6">
        <v>3</v>
      </c>
      <c r="E78" s="3" t="s">
        <v>147</v>
      </c>
      <c r="F78" s="3"/>
      <c r="G78" s="13">
        <f t="shared" ref="G78:G79" si="1">3096000*D78</f>
        <v>9288000</v>
      </c>
      <c r="H78" s="27">
        <f t="shared" si="0"/>
        <v>12538800</v>
      </c>
    </row>
    <row r="79" spans="1:9" ht="28.8" x14ac:dyDescent="0.3">
      <c r="A79" s="19">
        <v>5</v>
      </c>
      <c r="B79" s="7" t="s">
        <v>122</v>
      </c>
      <c r="C79" s="7" t="s">
        <v>120</v>
      </c>
      <c r="D79" s="6">
        <v>2</v>
      </c>
      <c r="E79" s="3" t="s">
        <v>147</v>
      </c>
      <c r="F79" s="3"/>
      <c r="G79" s="13">
        <f t="shared" si="1"/>
        <v>6192000</v>
      </c>
      <c r="H79" s="27">
        <f t="shared" si="0"/>
        <v>8359200.0000000009</v>
      </c>
    </row>
    <row r="80" spans="1:9" ht="28.8" x14ac:dyDescent="0.3">
      <c r="A80" s="19">
        <v>6</v>
      </c>
      <c r="B80" s="7" t="s">
        <v>121</v>
      </c>
      <c r="C80" s="7" t="s">
        <v>123</v>
      </c>
      <c r="D80" s="6">
        <v>1</v>
      </c>
      <c r="E80" s="3" t="s">
        <v>147</v>
      </c>
      <c r="F80" s="3"/>
      <c r="G80" s="13">
        <v>2470000</v>
      </c>
      <c r="H80" s="27">
        <f t="shared" si="0"/>
        <v>3334500</v>
      </c>
    </row>
    <row r="81" spans="1:8" ht="28.8" x14ac:dyDescent="0.3">
      <c r="A81" s="19">
        <v>7</v>
      </c>
      <c r="B81" s="7" t="s">
        <v>122</v>
      </c>
      <c r="C81" s="7" t="s">
        <v>123</v>
      </c>
      <c r="D81" s="6">
        <v>1</v>
      </c>
      <c r="E81" s="3" t="s">
        <v>147</v>
      </c>
      <c r="F81" s="3"/>
      <c r="G81" s="13">
        <v>2470000</v>
      </c>
      <c r="H81" s="27">
        <f t="shared" si="0"/>
        <v>3334500</v>
      </c>
    </row>
    <row r="82" spans="1:8" x14ac:dyDescent="0.3">
      <c r="A82" s="19">
        <v>8</v>
      </c>
      <c r="B82" s="7" t="s">
        <v>124</v>
      </c>
      <c r="C82" s="6" t="s">
        <v>125</v>
      </c>
      <c r="D82" s="6">
        <v>4</v>
      </c>
      <c r="E82" s="3" t="s">
        <v>147</v>
      </c>
      <c r="F82" s="3"/>
      <c r="G82" s="13">
        <f>168000*D82</f>
        <v>672000</v>
      </c>
      <c r="H82" s="27">
        <f t="shared" si="0"/>
        <v>907200.00000000012</v>
      </c>
    </row>
    <row r="83" spans="1:8" x14ac:dyDescent="0.3">
      <c r="A83" s="19">
        <v>9</v>
      </c>
      <c r="B83" s="7" t="s">
        <v>159</v>
      </c>
      <c r="C83" s="3"/>
      <c r="D83" s="3"/>
      <c r="E83" s="3"/>
      <c r="F83" s="3"/>
      <c r="G83" s="13"/>
      <c r="H83" s="19"/>
    </row>
    <row r="84" spans="1:8" x14ac:dyDescent="0.3">
      <c r="A84" s="20" t="s">
        <v>162</v>
      </c>
      <c r="B84" s="21" t="s">
        <v>160</v>
      </c>
      <c r="C84" s="23" t="s">
        <v>164</v>
      </c>
      <c r="D84" s="23"/>
      <c r="E84" s="23"/>
      <c r="F84" s="3"/>
      <c r="G84" s="13"/>
      <c r="H84" s="19"/>
    </row>
    <row r="85" spans="1:8" x14ac:dyDescent="0.3">
      <c r="A85" s="20" t="s">
        <v>163</v>
      </c>
      <c r="B85" s="21" t="s">
        <v>161</v>
      </c>
      <c r="C85" s="23"/>
      <c r="D85" s="23"/>
      <c r="E85" s="23"/>
      <c r="F85" s="3"/>
      <c r="G85" s="13"/>
      <c r="H85" s="19"/>
    </row>
    <row r="86" spans="1:8" s="1" customFormat="1" x14ac:dyDescent="0.3">
      <c r="B86" s="24" t="s">
        <v>169</v>
      </c>
      <c r="G86" s="25">
        <f>SUM(G2:G85)</f>
        <v>76422579</v>
      </c>
      <c r="H86" s="25">
        <f>SUM(H2:H85)</f>
        <v>53052708.399999999</v>
      </c>
    </row>
    <row r="87" spans="1:8" s="1" customFormat="1" x14ac:dyDescent="0.3">
      <c r="B87" s="1" t="s">
        <v>170</v>
      </c>
      <c r="G87" s="25"/>
      <c r="H87" s="28">
        <f>1-G86/H86</f>
        <v>-0.4405028754384952</v>
      </c>
    </row>
  </sheetData>
  <mergeCells count="4">
    <mergeCell ref="A2:B2"/>
    <mergeCell ref="G33:G34"/>
    <mergeCell ref="H33:H34"/>
    <mergeCell ref="A59:B59"/>
  </mergeCells>
  <conditionalFormatting sqref="A19:A27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2"/>
  <sheetViews>
    <sheetView zoomScaleNormal="100" zoomScaleSheetLayoutView="100" workbookViewId="0">
      <selection activeCell="C24" sqref="C24"/>
    </sheetView>
  </sheetViews>
  <sheetFormatPr defaultRowHeight="14.4" x14ac:dyDescent="0.3"/>
  <cols>
    <col min="1" max="1" width="6.5546875" customWidth="1"/>
    <col min="2" max="2" width="30.6640625" customWidth="1"/>
    <col min="3" max="3" width="17.5546875" customWidth="1"/>
    <col min="4" max="4" width="18.6640625" customWidth="1"/>
    <col min="5" max="5" width="20.33203125" customWidth="1"/>
    <col min="6" max="7" width="16.5546875" customWidth="1"/>
    <col min="8" max="8" width="17.33203125" customWidth="1"/>
    <col min="9" max="9" width="16.5546875" bestFit="1" customWidth="1"/>
    <col min="10" max="11" width="14.5546875" bestFit="1" customWidth="1"/>
  </cols>
  <sheetData>
    <row r="1" spans="1:9" x14ac:dyDescent="0.3">
      <c r="A1" s="384" t="s">
        <v>213</v>
      </c>
      <c r="B1" s="384" t="s">
        <v>268</v>
      </c>
      <c r="C1" s="383" t="s">
        <v>273</v>
      </c>
      <c r="D1" s="383"/>
      <c r="E1" s="383"/>
      <c r="F1" s="385" t="s">
        <v>274</v>
      </c>
      <c r="G1" s="385"/>
      <c r="H1" s="385"/>
    </row>
    <row r="2" spans="1:9" ht="27.6" x14ac:dyDescent="0.3">
      <c r="A2" s="384"/>
      <c r="B2" s="384"/>
      <c r="C2" s="150" t="s">
        <v>269</v>
      </c>
      <c r="D2" s="151" t="s">
        <v>270</v>
      </c>
      <c r="E2" s="151" t="s">
        <v>271</v>
      </c>
      <c r="F2" s="152" t="s">
        <v>269</v>
      </c>
      <c r="G2" s="153" t="s">
        <v>270</v>
      </c>
      <c r="H2" s="153" t="s">
        <v>271</v>
      </c>
    </row>
    <row r="3" spans="1:9" x14ac:dyDescent="0.3">
      <c r="A3" s="86">
        <v>1</v>
      </c>
      <c r="B3" s="80" t="s">
        <v>466</v>
      </c>
      <c r="C3" s="154">
        <f>'СМР врем. ТС (сталь)'!F17</f>
        <v>1498174.66</v>
      </c>
      <c r="D3" s="156">
        <f>'мат врем.ТС (сталь)'!F17</f>
        <v>923062.26</v>
      </c>
      <c r="E3" s="157">
        <f t="shared" ref="E3" si="0">C3+D3</f>
        <v>2421236.92</v>
      </c>
      <c r="F3" s="158">
        <f>'СМР врем. ТС (сталь)'!G17</f>
        <v>1797809.5799999998</v>
      </c>
      <c r="G3" s="159">
        <f>'мат врем.ТС (сталь)'!G17</f>
        <v>1107674.71</v>
      </c>
      <c r="H3" s="160">
        <f t="shared" ref="H3" si="1">F3+G3</f>
        <v>2905484.29</v>
      </c>
      <c r="I3" s="30"/>
    </row>
    <row r="4" spans="1:9" x14ac:dyDescent="0.3">
      <c r="A4" s="106"/>
      <c r="B4" s="78" t="s">
        <v>272</v>
      </c>
      <c r="C4" s="155">
        <f t="shared" ref="C4:H4" si="2">SUM(C3:C3)</f>
        <v>1498174.66</v>
      </c>
      <c r="D4" s="155">
        <f t="shared" si="2"/>
        <v>923062.26</v>
      </c>
      <c r="E4" s="155">
        <f t="shared" si="2"/>
        <v>2421236.92</v>
      </c>
      <c r="F4" s="161">
        <f t="shared" si="2"/>
        <v>1797809.5799999998</v>
      </c>
      <c r="G4" s="161">
        <f t="shared" si="2"/>
        <v>1107674.71</v>
      </c>
      <c r="H4" s="161">
        <f t="shared" si="2"/>
        <v>2905484.29</v>
      </c>
      <c r="I4" s="30"/>
    </row>
    <row r="5" spans="1:9" x14ac:dyDescent="0.3">
      <c r="A5" s="132"/>
      <c r="B5" s="132"/>
      <c r="C5" s="132"/>
      <c r="D5" s="132"/>
      <c r="E5" s="132"/>
      <c r="I5" s="30"/>
    </row>
    <row r="6" spans="1:9" x14ac:dyDescent="0.3">
      <c r="A6" s="132"/>
      <c r="B6" s="132"/>
      <c r="C6" s="132"/>
      <c r="D6" s="132"/>
      <c r="E6" s="132"/>
    </row>
    <row r="7" spans="1:9" x14ac:dyDescent="0.3">
      <c r="A7" s="132"/>
      <c r="B7" s="132"/>
      <c r="C7" s="132"/>
      <c r="D7" s="132"/>
      <c r="E7" s="132"/>
    </row>
    <row r="8" spans="1:9" x14ac:dyDescent="0.3">
      <c r="A8" s="132"/>
      <c r="B8" s="132"/>
      <c r="C8" s="132"/>
      <c r="D8" s="132"/>
      <c r="E8" s="132"/>
    </row>
    <row r="9" spans="1:9" x14ac:dyDescent="0.3">
      <c r="A9" s="132"/>
      <c r="B9" s="132"/>
      <c r="C9" s="132"/>
      <c r="D9" s="132"/>
      <c r="E9" s="132"/>
    </row>
    <row r="10" spans="1:9" x14ac:dyDescent="0.3">
      <c r="A10" s="132"/>
      <c r="B10" s="132"/>
      <c r="C10" s="132"/>
      <c r="D10" s="132"/>
      <c r="E10" s="132"/>
    </row>
    <row r="11" spans="1:9" x14ac:dyDescent="0.3">
      <c r="A11" s="132"/>
      <c r="B11" s="132"/>
      <c r="C11" s="132"/>
      <c r="D11" s="132"/>
      <c r="E11" s="132"/>
    </row>
    <row r="12" spans="1:9" x14ac:dyDescent="0.3">
      <c r="A12" s="132"/>
      <c r="B12" s="132"/>
      <c r="C12" s="132"/>
      <c r="D12" s="132"/>
      <c r="E12" s="132"/>
    </row>
  </sheetData>
  <mergeCells count="4">
    <mergeCell ref="C1:E1"/>
    <mergeCell ref="B1:B2"/>
    <mergeCell ref="A1:A2"/>
    <mergeCell ref="F1:H1"/>
  </mergeCells>
  <pageMargins left="0.7" right="0.7" top="0.75" bottom="0.75" header="0.3" footer="0.3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7"/>
  <sheetViews>
    <sheetView topLeftCell="C1" zoomScaleNormal="100" zoomScaleSheetLayoutView="80" workbookViewId="0">
      <pane ySplit="2" topLeftCell="A7" activePane="bottomLeft" state="frozen"/>
      <selection pane="bottomLeft" activeCell="H15" sqref="H15"/>
    </sheetView>
  </sheetViews>
  <sheetFormatPr defaultRowHeight="14.4" x14ac:dyDescent="0.3"/>
  <cols>
    <col min="1" max="1" width="7.33203125" customWidth="1"/>
    <col min="2" max="2" width="61.33203125" customWidth="1"/>
    <col min="3" max="3" width="10.6640625" customWidth="1"/>
    <col min="4" max="4" width="11" customWidth="1"/>
    <col min="5" max="5" width="12.6640625" customWidth="1"/>
    <col min="6" max="6" width="16.5546875" style="69" customWidth="1"/>
    <col min="7" max="7" width="15.33203125" style="29" customWidth="1"/>
    <col min="8" max="8" width="16.44140625" customWidth="1"/>
  </cols>
  <sheetData>
    <row r="1" spans="1:8" s="1" customFormat="1" ht="21.75" customHeight="1" x14ac:dyDescent="0.3">
      <c r="A1" s="394" t="s">
        <v>187</v>
      </c>
      <c r="B1" s="394" t="s">
        <v>214</v>
      </c>
      <c r="C1" s="394" t="s">
        <v>224</v>
      </c>
      <c r="D1" s="394" t="s">
        <v>189</v>
      </c>
      <c r="E1" s="384" t="s">
        <v>254</v>
      </c>
      <c r="F1" s="384"/>
      <c r="G1" s="384"/>
    </row>
    <row r="2" spans="1:8" ht="36" customHeight="1" x14ac:dyDescent="0.3">
      <c r="A2" s="394"/>
      <c r="B2" s="394"/>
      <c r="C2" s="394"/>
      <c r="D2" s="394"/>
      <c r="E2" s="121" t="s">
        <v>225</v>
      </c>
      <c r="F2" s="57" t="s">
        <v>241</v>
      </c>
      <c r="G2" s="121" t="s">
        <v>223</v>
      </c>
    </row>
    <row r="3" spans="1:8" ht="12.75" customHeight="1" x14ac:dyDescent="0.3">
      <c r="A3" s="130">
        <v>1</v>
      </c>
      <c r="B3" s="131">
        <v>2</v>
      </c>
      <c r="C3" s="131">
        <v>3</v>
      </c>
      <c r="D3" s="131">
        <v>4</v>
      </c>
      <c r="E3" s="131">
        <v>5</v>
      </c>
      <c r="F3" s="131">
        <v>6</v>
      </c>
      <c r="G3" s="131">
        <v>7</v>
      </c>
    </row>
    <row r="4" spans="1:8" ht="20.25" customHeight="1" x14ac:dyDescent="0.3">
      <c r="A4" s="392" t="s">
        <v>467</v>
      </c>
      <c r="B4" s="393"/>
      <c r="C4" s="101"/>
      <c r="D4" s="101"/>
      <c r="E4" s="102"/>
      <c r="F4" s="101"/>
      <c r="G4" s="101"/>
    </row>
    <row r="5" spans="1:8" ht="21" customHeight="1" x14ac:dyDescent="0.3">
      <c r="A5" s="87">
        <v>1</v>
      </c>
      <c r="B5" s="79" t="s">
        <v>468</v>
      </c>
      <c r="C5" s="87" t="s">
        <v>207</v>
      </c>
      <c r="D5" s="90">
        <v>22</v>
      </c>
      <c r="E5" s="91">
        <v>3830.75</v>
      </c>
      <c r="F5" s="81">
        <f>ROUND(E5*D5,2)</f>
        <v>84276.5</v>
      </c>
      <c r="G5" s="81">
        <f>ROUND(F5*1.2,2)</f>
        <v>101131.8</v>
      </c>
    </row>
    <row r="6" spans="1:8" ht="21" customHeight="1" x14ac:dyDescent="0.3">
      <c r="A6" s="87">
        <f>A5+1</f>
        <v>2</v>
      </c>
      <c r="B6" s="79" t="s">
        <v>490</v>
      </c>
      <c r="C6" s="87" t="s">
        <v>469</v>
      </c>
      <c r="D6" s="90">
        <v>12</v>
      </c>
      <c r="E6" s="91">
        <v>12990.72</v>
      </c>
      <c r="F6" s="81">
        <f t="shared" ref="F6:F7" si="0">ROUND(E6*D6,2)</f>
        <v>155888.64000000001</v>
      </c>
      <c r="G6" s="81">
        <f t="shared" ref="G6:G10" si="1">ROUND(F6*1.2,2)</f>
        <v>187066.37</v>
      </c>
    </row>
    <row r="7" spans="1:8" ht="21" customHeight="1" x14ac:dyDescent="0.3">
      <c r="A7" s="87">
        <f t="shared" ref="A7:A14" si="2">A6+1</f>
        <v>3</v>
      </c>
      <c r="B7" s="79" t="s">
        <v>484</v>
      </c>
      <c r="C7" s="87" t="s">
        <v>234</v>
      </c>
      <c r="D7" s="90">
        <v>40.81</v>
      </c>
      <c r="E7" s="91">
        <v>400.64</v>
      </c>
      <c r="F7" s="81">
        <f t="shared" si="0"/>
        <v>16350.12</v>
      </c>
      <c r="G7" s="81">
        <f t="shared" si="1"/>
        <v>19620.14</v>
      </c>
    </row>
    <row r="8" spans="1:8" ht="42.75" customHeight="1" x14ac:dyDescent="0.3">
      <c r="A8" s="87">
        <f t="shared" si="2"/>
        <v>4</v>
      </c>
      <c r="B8" s="79" t="s">
        <v>491</v>
      </c>
      <c r="C8" s="87" t="s">
        <v>182</v>
      </c>
      <c r="D8" s="90">
        <v>480</v>
      </c>
      <c r="E8" s="91">
        <v>2177.39</v>
      </c>
      <c r="F8" s="81">
        <f>ROUND(E8*D8,2)</f>
        <v>1045147.2</v>
      </c>
      <c r="G8" s="81">
        <f>ROUND(F8*1.2,2)</f>
        <v>1254176.6399999999</v>
      </c>
    </row>
    <row r="9" spans="1:8" ht="21" customHeight="1" x14ac:dyDescent="0.3">
      <c r="A9" s="87">
        <f t="shared" si="2"/>
        <v>5</v>
      </c>
      <c r="B9" s="79" t="s">
        <v>492</v>
      </c>
      <c r="C9" s="87" t="s">
        <v>493</v>
      </c>
      <c r="D9" s="90">
        <v>60</v>
      </c>
      <c r="E9" s="91">
        <v>660</v>
      </c>
      <c r="F9" s="81">
        <f t="shared" ref="F9" si="3">ROUND(E9*D9,2)</f>
        <v>39600</v>
      </c>
      <c r="G9" s="81">
        <f t="shared" ref="G9" si="4">ROUND(F9*1.2,2)</f>
        <v>47520</v>
      </c>
    </row>
    <row r="10" spans="1:8" ht="21" customHeight="1" x14ac:dyDescent="0.3">
      <c r="A10" s="87">
        <f t="shared" si="2"/>
        <v>6</v>
      </c>
      <c r="B10" s="79" t="s">
        <v>476</v>
      </c>
      <c r="C10" s="87" t="s">
        <v>471</v>
      </c>
      <c r="D10" s="175" t="s">
        <v>472</v>
      </c>
      <c r="E10" s="91">
        <v>31703.15</v>
      </c>
      <c r="F10" s="81">
        <f>ROUND(E10*1.512,2)</f>
        <v>47935.16</v>
      </c>
      <c r="G10" s="81">
        <f t="shared" si="1"/>
        <v>57522.19</v>
      </c>
    </row>
    <row r="11" spans="1:8" ht="21" customHeight="1" x14ac:dyDescent="0.3">
      <c r="A11" s="87">
        <f t="shared" si="2"/>
        <v>7</v>
      </c>
      <c r="B11" s="79" t="s">
        <v>470</v>
      </c>
      <c r="C11" s="87" t="s">
        <v>207</v>
      </c>
      <c r="D11" s="90">
        <v>6</v>
      </c>
      <c r="E11" s="91">
        <v>2139.2199999999998</v>
      </c>
      <c r="F11" s="81">
        <f>ROUND(E11*D11,2)</f>
        <v>12835.32</v>
      </c>
      <c r="G11" s="81">
        <f>ROUND(F11*1.2,2)</f>
        <v>15402.38</v>
      </c>
    </row>
    <row r="12" spans="1:8" ht="21" customHeight="1" x14ac:dyDescent="0.3">
      <c r="A12" s="87">
        <f t="shared" si="2"/>
        <v>8</v>
      </c>
      <c r="B12" s="79" t="s">
        <v>494</v>
      </c>
      <c r="C12" s="87" t="s">
        <v>207</v>
      </c>
      <c r="D12" s="90">
        <v>4</v>
      </c>
      <c r="E12" s="91">
        <v>2535.4299999999998</v>
      </c>
      <c r="F12" s="81">
        <f t="shared" ref="F12:F13" si="5">ROUND(E12*D12,2)</f>
        <v>10141.719999999999</v>
      </c>
      <c r="G12" s="81">
        <f t="shared" ref="G12:G14" si="6">ROUND(F12*1.2,2)</f>
        <v>12170.06</v>
      </c>
    </row>
    <row r="13" spans="1:8" ht="21" customHeight="1" x14ac:dyDescent="0.3">
      <c r="A13" s="87">
        <f t="shared" si="2"/>
        <v>9</v>
      </c>
      <c r="B13" s="79" t="s">
        <v>473</v>
      </c>
      <c r="C13" s="87" t="s">
        <v>207</v>
      </c>
      <c r="D13" s="90">
        <v>2</v>
      </c>
      <c r="E13" s="91">
        <v>18000</v>
      </c>
      <c r="F13" s="81">
        <f t="shared" si="5"/>
        <v>36000</v>
      </c>
      <c r="G13" s="81">
        <f t="shared" si="6"/>
        <v>43200</v>
      </c>
    </row>
    <row r="14" spans="1:8" ht="21" customHeight="1" x14ac:dyDescent="0.3">
      <c r="A14" s="87">
        <f t="shared" si="2"/>
        <v>10</v>
      </c>
      <c r="B14" s="79" t="s">
        <v>495</v>
      </c>
      <c r="C14" s="87" t="s">
        <v>496</v>
      </c>
      <c r="D14" s="90" t="s">
        <v>497</v>
      </c>
      <c r="E14" s="91">
        <v>50000</v>
      </c>
      <c r="F14" s="81">
        <f>ROUND(E14*1,2)</f>
        <v>50000</v>
      </c>
      <c r="G14" s="81">
        <f t="shared" si="6"/>
        <v>60000</v>
      </c>
    </row>
    <row r="15" spans="1:8" x14ac:dyDescent="0.3">
      <c r="A15" s="83"/>
      <c r="B15" s="386" t="s">
        <v>265</v>
      </c>
      <c r="C15" s="387"/>
      <c r="D15" s="387"/>
      <c r="E15" s="388"/>
      <c r="F15" s="92">
        <f>SUM(F5:F14)</f>
        <v>1498174.66</v>
      </c>
      <c r="G15" s="92">
        <f>SUM(G5:G14)</f>
        <v>1797809.5799999998</v>
      </c>
      <c r="H15" s="30"/>
    </row>
    <row r="16" spans="1:8" x14ac:dyDescent="0.3">
      <c r="A16" s="389" t="s">
        <v>266</v>
      </c>
      <c r="B16" s="390"/>
      <c r="C16" s="390"/>
      <c r="D16" s="390"/>
      <c r="E16" s="391"/>
      <c r="F16" s="171">
        <v>0</v>
      </c>
      <c r="G16" s="171">
        <v>0</v>
      </c>
      <c r="H16" s="52"/>
    </row>
    <row r="17" spans="1:8" x14ac:dyDescent="0.3">
      <c r="A17" s="389" t="s">
        <v>267</v>
      </c>
      <c r="B17" s="390"/>
      <c r="C17" s="390"/>
      <c r="D17" s="390"/>
      <c r="E17" s="391"/>
      <c r="F17" s="171">
        <f>F15+F16</f>
        <v>1498174.66</v>
      </c>
      <c r="G17" s="171">
        <f>G15+G16</f>
        <v>1797809.5799999998</v>
      </c>
      <c r="H17" s="52"/>
    </row>
  </sheetData>
  <mergeCells count="9">
    <mergeCell ref="B15:E15"/>
    <mergeCell ref="A16:E16"/>
    <mergeCell ref="A17:E17"/>
    <mergeCell ref="A4:B4"/>
    <mergeCell ref="E1:G1"/>
    <mergeCell ref="A1:A2"/>
    <mergeCell ref="B1:B2"/>
    <mergeCell ref="C1:C2"/>
    <mergeCell ref="D1:D2"/>
  </mergeCells>
  <pageMargins left="0.7" right="0.7" top="0.75" bottom="0.75" header="0.3" footer="0.3"/>
  <pageSetup paperSize="9"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"/>
  <sheetViews>
    <sheetView zoomScale="85" zoomScaleNormal="85" zoomScaleSheetLayoutView="85" workbookViewId="0">
      <pane ySplit="2" topLeftCell="A3" activePane="bottomLeft" state="frozen"/>
      <selection pane="bottomLeft" activeCell="H17" sqref="H17"/>
    </sheetView>
  </sheetViews>
  <sheetFormatPr defaultRowHeight="14.4" x14ac:dyDescent="0.3"/>
  <cols>
    <col min="1" max="1" width="4.33203125" customWidth="1"/>
    <col min="2" max="2" width="60.6640625" style="2" bestFit="1" customWidth="1"/>
    <col min="4" max="4" width="11.44140625" bestFit="1" customWidth="1"/>
    <col min="5" max="5" width="12.6640625" style="52" customWidth="1"/>
    <col min="6" max="6" width="16.33203125" customWidth="1"/>
    <col min="7" max="7" width="17" customWidth="1"/>
    <col min="8" max="8" width="19.44140625" customWidth="1"/>
  </cols>
  <sheetData>
    <row r="1" spans="1:8" ht="28.95" customHeight="1" x14ac:dyDescent="0.3">
      <c r="A1" s="396" t="s">
        <v>213</v>
      </c>
      <c r="B1" s="398" t="s">
        <v>188</v>
      </c>
      <c r="C1" s="400" t="s">
        <v>256</v>
      </c>
      <c r="D1" s="400" t="s">
        <v>189</v>
      </c>
      <c r="E1" s="395" t="s">
        <v>254</v>
      </c>
      <c r="F1" s="395"/>
      <c r="G1" s="395"/>
    </row>
    <row r="2" spans="1:8" s="54" customFormat="1" ht="57.6" customHeight="1" x14ac:dyDescent="0.3">
      <c r="A2" s="397"/>
      <c r="B2" s="399"/>
      <c r="C2" s="401"/>
      <c r="D2" s="401"/>
      <c r="E2" s="76" t="s">
        <v>255</v>
      </c>
      <c r="F2" s="77" t="s">
        <v>184</v>
      </c>
      <c r="G2" s="77" t="s">
        <v>186</v>
      </c>
    </row>
    <row r="3" spans="1:8" ht="12.75" customHeight="1" x14ac:dyDescent="0.3">
      <c r="A3" s="130">
        <v>1</v>
      </c>
      <c r="B3" s="131">
        <v>2</v>
      </c>
      <c r="C3" s="131">
        <v>3</v>
      </c>
      <c r="D3" s="131">
        <v>4</v>
      </c>
      <c r="E3" s="131">
        <v>5</v>
      </c>
      <c r="F3" s="131">
        <v>6</v>
      </c>
      <c r="G3" s="131">
        <v>7</v>
      </c>
    </row>
    <row r="4" spans="1:8" x14ac:dyDescent="0.3">
      <c r="A4" s="86">
        <v>1</v>
      </c>
      <c r="B4" s="120" t="s">
        <v>474</v>
      </c>
      <c r="C4" s="172" t="s">
        <v>207</v>
      </c>
      <c r="D4" s="176">
        <v>22</v>
      </c>
      <c r="E4" s="181">
        <v>2310</v>
      </c>
      <c r="F4" s="81">
        <f>ROUND(E4*D4,2)</f>
        <v>50820</v>
      </c>
      <c r="G4" s="81">
        <f t="shared" ref="G4:G11" si="0">ROUND(F4*1.2,2)</f>
        <v>60984</v>
      </c>
      <c r="H4" s="178"/>
    </row>
    <row r="5" spans="1:8" x14ac:dyDescent="0.3">
      <c r="A5" s="86">
        <f>A4+1</f>
        <v>2</v>
      </c>
      <c r="B5" s="120" t="s">
        <v>486</v>
      </c>
      <c r="C5" s="172" t="s">
        <v>207</v>
      </c>
      <c r="D5" s="176">
        <v>32</v>
      </c>
      <c r="E5" s="181">
        <v>1139.42</v>
      </c>
      <c r="F5" s="81">
        <f t="shared" ref="F5:F11" si="1">ROUND(E5*D5,2)</f>
        <v>36461.440000000002</v>
      </c>
      <c r="G5" s="81">
        <f t="shared" si="0"/>
        <v>43753.73</v>
      </c>
      <c r="H5" s="178"/>
    </row>
    <row r="6" spans="1:8" x14ac:dyDescent="0.3">
      <c r="A6" s="86">
        <f t="shared" ref="A6:A16" si="2">A5+1</f>
        <v>3</v>
      </c>
      <c r="B6" s="79" t="s">
        <v>485</v>
      </c>
      <c r="C6" s="86" t="s">
        <v>182</v>
      </c>
      <c r="D6" s="177">
        <v>480</v>
      </c>
      <c r="E6" s="181">
        <v>1208.17</v>
      </c>
      <c r="F6" s="81">
        <f t="shared" si="1"/>
        <v>579921.6</v>
      </c>
      <c r="G6" s="81">
        <f t="shared" si="0"/>
        <v>695905.92</v>
      </c>
    </row>
    <row r="7" spans="1:8" x14ac:dyDescent="0.3">
      <c r="A7" s="86">
        <f t="shared" si="2"/>
        <v>4</v>
      </c>
      <c r="B7" s="79" t="s">
        <v>475</v>
      </c>
      <c r="C7" s="86" t="s">
        <v>178</v>
      </c>
      <c r="D7" s="177">
        <v>14</v>
      </c>
      <c r="E7" s="181">
        <v>4152.5</v>
      </c>
      <c r="F7" s="81">
        <f t="shared" si="1"/>
        <v>58135</v>
      </c>
      <c r="G7" s="81">
        <f t="shared" si="0"/>
        <v>69762</v>
      </c>
      <c r="H7" s="169"/>
    </row>
    <row r="8" spans="1:8" x14ac:dyDescent="0.3">
      <c r="A8" s="86">
        <f t="shared" si="2"/>
        <v>5</v>
      </c>
      <c r="B8" s="120" t="s">
        <v>477</v>
      </c>
      <c r="C8" s="86" t="s">
        <v>178</v>
      </c>
      <c r="D8" s="177">
        <v>6</v>
      </c>
      <c r="E8" s="181">
        <v>396</v>
      </c>
      <c r="F8" s="81">
        <f t="shared" si="1"/>
        <v>2376</v>
      </c>
      <c r="G8" s="81">
        <f t="shared" si="0"/>
        <v>2851.2</v>
      </c>
      <c r="H8" s="174"/>
    </row>
    <row r="9" spans="1:8" x14ac:dyDescent="0.3">
      <c r="A9" s="86">
        <f t="shared" si="2"/>
        <v>6</v>
      </c>
      <c r="B9" s="120" t="s">
        <v>479</v>
      </c>
      <c r="C9" s="86" t="s">
        <v>178</v>
      </c>
      <c r="D9" s="177">
        <v>6</v>
      </c>
      <c r="E9" s="181">
        <v>16.5</v>
      </c>
      <c r="F9" s="81">
        <f t="shared" si="1"/>
        <v>99</v>
      </c>
      <c r="G9" s="81">
        <f t="shared" si="0"/>
        <v>118.8</v>
      </c>
      <c r="H9" s="174"/>
    </row>
    <row r="10" spans="1:8" x14ac:dyDescent="0.3">
      <c r="A10" s="86">
        <f t="shared" si="2"/>
        <v>7</v>
      </c>
      <c r="B10" s="120" t="s">
        <v>478</v>
      </c>
      <c r="C10" s="86" t="s">
        <v>178</v>
      </c>
      <c r="D10" s="177">
        <v>4</v>
      </c>
      <c r="E10" s="181">
        <v>5015.08</v>
      </c>
      <c r="F10" s="81">
        <f t="shared" si="1"/>
        <v>20060.32</v>
      </c>
      <c r="G10" s="81">
        <f t="shared" si="0"/>
        <v>24072.38</v>
      </c>
      <c r="H10" s="174"/>
    </row>
    <row r="11" spans="1:8" x14ac:dyDescent="0.3">
      <c r="A11" s="86">
        <f t="shared" si="2"/>
        <v>8</v>
      </c>
      <c r="B11" s="120" t="s">
        <v>480</v>
      </c>
      <c r="C11" s="86" t="s">
        <v>178</v>
      </c>
      <c r="D11" s="177">
        <v>6</v>
      </c>
      <c r="E11" s="181">
        <v>51.33</v>
      </c>
      <c r="F11" s="81">
        <f t="shared" si="1"/>
        <v>307.98</v>
      </c>
      <c r="G11" s="81">
        <f t="shared" si="0"/>
        <v>369.58</v>
      </c>
      <c r="H11" s="174"/>
    </row>
    <row r="12" spans="1:8" x14ac:dyDescent="0.3">
      <c r="A12" s="86">
        <f t="shared" si="2"/>
        <v>9</v>
      </c>
      <c r="B12" s="79" t="s">
        <v>487</v>
      </c>
      <c r="C12" s="86" t="s">
        <v>182</v>
      </c>
      <c r="D12" s="179">
        <v>36</v>
      </c>
      <c r="E12" s="181">
        <v>2632.67</v>
      </c>
      <c r="F12" s="81">
        <f>ROUND(E12*D12,2)</f>
        <v>94776.12</v>
      </c>
      <c r="G12" s="81">
        <f>ROUND(F12*1.2,2)</f>
        <v>113731.34</v>
      </c>
    </row>
    <row r="13" spans="1:8" x14ac:dyDescent="0.3">
      <c r="A13" s="86">
        <f t="shared" si="2"/>
        <v>10</v>
      </c>
      <c r="B13" s="79" t="s">
        <v>481</v>
      </c>
      <c r="C13" s="86" t="s">
        <v>182</v>
      </c>
      <c r="D13" s="179">
        <v>60</v>
      </c>
      <c r="E13" s="181">
        <v>307.08</v>
      </c>
      <c r="F13" s="81">
        <f>ROUND(E13*D13,2)</f>
        <v>18424.8</v>
      </c>
      <c r="G13" s="81">
        <f>ROUND(F13*1.2,2)</f>
        <v>22109.759999999998</v>
      </c>
    </row>
    <row r="14" spans="1:8" x14ac:dyDescent="0.3">
      <c r="A14" s="86">
        <f t="shared" si="2"/>
        <v>11</v>
      </c>
      <c r="B14" s="79" t="s">
        <v>482</v>
      </c>
      <c r="C14" s="86" t="s">
        <v>182</v>
      </c>
      <c r="D14" s="179">
        <v>48</v>
      </c>
      <c r="E14" s="181">
        <v>398.75</v>
      </c>
      <c r="F14" s="81">
        <f>ROUND(E14*D14,2)</f>
        <v>19140</v>
      </c>
      <c r="G14" s="81">
        <f>ROUND(F14*1.2,2)</f>
        <v>22968</v>
      </c>
    </row>
    <row r="15" spans="1:8" x14ac:dyDescent="0.3">
      <c r="A15" s="86">
        <f t="shared" si="2"/>
        <v>12</v>
      </c>
      <c r="B15" s="120" t="s">
        <v>483</v>
      </c>
      <c r="C15" s="172" t="s">
        <v>220</v>
      </c>
      <c r="D15" s="177">
        <v>60</v>
      </c>
      <c r="E15" s="181">
        <v>209</v>
      </c>
      <c r="F15" s="163">
        <f>ROUND(E15*D15,2)</f>
        <v>12540</v>
      </c>
      <c r="G15" s="163">
        <f>ROUND(F15*1.2,2)</f>
        <v>15048</v>
      </c>
    </row>
    <row r="16" spans="1:8" x14ac:dyDescent="0.3">
      <c r="A16" s="86">
        <f t="shared" si="2"/>
        <v>13</v>
      </c>
      <c r="B16" s="120" t="s">
        <v>498</v>
      </c>
      <c r="C16" s="172" t="s">
        <v>499</v>
      </c>
      <c r="D16" s="177">
        <v>1</v>
      </c>
      <c r="E16" s="181">
        <v>30000</v>
      </c>
      <c r="F16" s="163">
        <f>ROUND(E16*D16,2)</f>
        <v>30000</v>
      </c>
      <c r="G16" s="163">
        <f>ROUND(F16*1.2,2)</f>
        <v>36000</v>
      </c>
      <c r="H16" s="169"/>
    </row>
    <row r="17" spans="1:8" s="1" customFormat="1" x14ac:dyDescent="0.3">
      <c r="A17" s="78"/>
      <c r="B17" s="386" t="s">
        <v>265</v>
      </c>
      <c r="C17" s="387"/>
      <c r="D17" s="387"/>
      <c r="E17" s="388"/>
      <c r="F17" s="92">
        <f>SUM(F4:F16)</f>
        <v>923062.26</v>
      </c>
      <c r="G17" s="92">
        <f>SUM(G4:G16)</f>
        <v>1107674.71</v>
      </c>
      <c r="H17" s="209"/>
    </row>
    <row r="20" spans="1:8" x14ac:dyDescent="0.3">
      <c r="B20" s="55"/>
      <c r="G20" s="26"/>
    </row>
  </sheetData>
  <mergeCells count="6">
    <mergeCell ref="B17:E17"/>
    <mergeCell ref="E1:G1"/>
    <mergeCell ref="A1:A2"/>
    <mergeCell ref="B1:B2"/>
    <mergeCell ref="C1:C2"/>
    <mergeCell ref="D1:D2"/>
  </mergeCells>
  <pageMargins left="0.7" right="0.7" top="0.75" bottom="0.75" header="0.3" footer="0.3"/>
  <pageSetup paperSize="9" scale="6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2D42A-C2FC-4C92-94D8-6DFC1BB7C4AE}">
  <dimension ref="A1:I12"/>
  <sheetViews>
    <sheetView zoomScaleNormal="100" zoomScaleSheetLayoutView="100" workbookViewId="0">
      <selection activeCell="H12" sqref="H12"/>
    </sheetView>
  </sheetViews>
  <sheetFormatPr defaultRowHeight="14.4" x14ac:dyDescent="0.3"/>
  <cols>
    <col min="1" max="1" width="6.5546875" customWidth="1"/>
    <col min="2" max="2" width="30.6640625" customWidth="1"/>
    <col min="3" max="3" width="17.5546875" customWidth="1"/>
    <col min="4" max="4" width="18.6640625" customWidth="1"/>
    <col min="5" max="5" width="20.33203125" customWidth="1"/>
    <col min="6" max="7" width="16.5546875" customWidth="1"/>
    <col min="8" max="8" width="17.33203125" customWidth="1"/>
    <col min="9" max="9" width="16.5546875" bestFit="1" customWidth="1"/>
    <col min="10" max="11" width="14.5546875" bestFit="1" customWidth="1"/>
  </cols>
  <sheetData>
    <row r="1" spans="1:9" x14ac:dyDescent="0.3">
      <c r="A1" s="384" t="s">
        <v>213</v>
      </c>
      <c r="B1" s="384" t="s">
        <v>268</v>
      </c>
      <c r="C1" s="383" t="s">
        <v>273</v>
      </c>
      <c r="D1" s="383"/>
      <c r="E1" s="383"/>
      <c r="F1" s="385" t="s">
        <v>274</v>
      </c>
      <c r="G1" s="385"/>
      <c r="H1" s="385"/>
    </row>
    <row r="2" spans="1:9" ht="28.95" customHeight="1" x14ac:dyDescent="0.3">
      <c r="A2" s="384"/>
      <c r="B2" s="384"/>
      <c r="C2" s="150" t="s">
        <v>269</v>
      </c>
      <c r="D2" s="151" t="s">
        <v>270</v>
      </c>
      <c r="E2" s="151" t="s">
        <v>271</v>
      </c>
      <c r="F2" s="152" t="s">
        <v>269</v>
      </c>
      <c r="G2" s="153" t="s">
        <v>270</v>
      </c>
      <c r="H2" s="153" t="s">
        <v>271</v>
      </c>
    </row>
    <row r="3" spans="1:9" x14ac:dyDescent="0.3">
      <c r="A3" s="86">
        <v>1</v>
      </c>
      <c r="B3" s="80" t="s">
        <v>466</v>
      </c>
      <c r="C3" s="154">
        <f>'СМР врем. ТС (сталь) коммерция'!F15</f>
        <v>2261644.46</v>
      </c>
      <c r="D3" s="156">
        <f>'мат врем.ТС (сталь) коммерция'!F18</f>
        <v>1252226.2400000002</v>
      </c>
      <c r="E3" s="157">
        <f t="shared" ref="E3" si="0">C3+D3</f>
        <v>3513870.7</v>
      </c>
      <c r="F3" s="158">
        <f>'СМР врем. ТС (сталь) коммерция'!G15</f>
        <v>2713973.3500000006</v>
      </c>
      <c r="G3" s="159">
        <f>'мат врем.ТС (сталь) коммерция'!G18</f>
        <v>1502671.5</v>
      </c>
      <c r="H3" s="160">
        <f t="shared" ref="H3" si="1">F3+G3</f>
        <v>4216644.8500000006</v>
      </c>
      <c r="I3" s="30"/>
    </row>
    <row r="4" spans="1:9" x14ac:dyDescent="0.3">
      <c r="A4" s="106"/>
      <c r="B4" s="78" t="s">
        <v>272</v>
      </c>
      <c r="C4" s="155">
        <f t="shared" ref="C4:H4" si="2">SUM(C3:C3)</f>
        <v>2261644.46</v>
      </c>
      <c r="D4" s="155">
        <f t="shared" si="2"/>
        <v>1252226.2400000002</v>
      </c>
      <c r="E4" s="155">
        <f t="shared" si="2"/>
        <v>3513870.7</v>
      </c>
      <c r="F4" s="161">
        <f t="shared" si="2"/>
        <v>2713973.3500000006</v>
      </c>
      <c r="G4" s="161">
        <f t="shared" si="2"/>
        <v>1502671.5</v>
      </c>
      <c r="H4" s="161">
        <f t="shared" si="2"/>
        <v>4216644.8500000006</v>
      </c>
      <c r="I4" s="30"/>
    </row>
    <row r="5" spans="1:9" x14ac:dyDescent="0.3">
      <c r="A5" s="132"/>
      <c r="B5" s="132"/>
      <c r="C5" s="132"/>
      <c r="D5" s="132"/>
      <c r="E5" s="132"/>
      <c r="I5" s="30"/>
    </row>
    <row r="6" spans="1:9" x14ac:dyDescent="0.3">
      <c r="A6" s="132"/>
      <c r="B6" s="132"/>
      <c r="C6" s="132"/>
      <c r="D6" s="132"/>
      <c r="E6" s="132"/>
    </row>
    <row r="7" spans="1:9" x14ac:dyDescent="0.3">
      <c r="A7" s="132"/>
      <c r="B7" s="132"/>
      <c r="C7" s="132"/>
      <c r="D7" s="132"/>
      <c r="E7" s="132"/>
    </row>
    <row r="8" spans="1:9" x14ac:dyDescent="0.3">
      <c r="A8" s="132"/>
      <c r="B8" s="132"/>
      <c r="C8" s="132"/>
      <c r="D8" s="132"/>
      <c r="E8" s="132"/>
    </row>
    <row r="9" spans="1:9" x14ac:dyDescent="0.3">
      <c r="A9" s="132"/>
      <c r="B9" s="132"/>
      <c r="C9" s="132"/>
      <c r="D9" s="132"/>
      <c r="E9" s="132"/>
    </row>
    <row r="10" spans="1:9" x14ac:dyDescent="0.3">
      <c r="A10" s="132"/>
      <c r="B10" s="132"/>
      <c r="C10" s="132"/>
      <c r="D10" s="132"/>
      <c r="E10" s="132"/>
    </row>
    <row r="11" spans="1:9" x14ac:dyDescent="0.3">
      <c r="A11" s="132"/>
      <c r="B11" s="132"/>
      <c r="C11" s="132"/>
      <c r="D11" s="132"/>
      <c r="E11" s="132"/>
    </row>
    <row r="12" spans="1:9" x14ac:dyDescent="0.3">
      <c r="A12" s="132"/>
      <c r="B12" s="132"/>
      <c r="C12" s="132"/>
      <c r="D12" s="132"/>
      <c r="E12" s="132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EE508-77A7-430D-B353-F53149FADD18}">
  <dimension ref="A1:J15"/>
  <sheetViews>
    <sheetView zoomScale="88" zoomScaleNormal="100" zoomScaleSheetLayoutView="80" workbookViewId="0">
      <pane ySplit="2" topLeftCell="A3" activePane="bottomLeft" state="frozen"/>
      <selection pane="bottomLeft" activeCell="B6" sqref="B6"/>
    </sheetView>
  </sheetViews>
  <sheetFormatPr defaultRowHeight="14.4" x14ac:dyDescent="0.3"/>
  <cols>
    <col min="1" max="1" width="7.33203125" customWidth="1"/>
    <col min="2" max="2" width="61.33203125" customWidth="1"/>
    <col min="3" max="3" width="10.6640625" customWidth="1"/>
    <col min="4" max="4" width="11" customWidth="1"/>
    <col min="5" max="5" width="12.6640625" customWidth="1"/>
    <col min="6" max="6" width="16.5546875" style="69" customWidth="1"/>
    <col min="7" max="7" width="15.33203125" style="29" customWidth="1"/>
    <col min="8" max="8" width="16.6640625" customWidth="1"/>
    <col min="9" max="9" width="22.6640625" customWidth="1"/>
  </cols>
  <sheetData>
    <row r="1" spans="1:10" s="1" customFormat="1" ht="21.75" customHeight="1" x14ac:dyDescent="0.3">
      <c r="A1" s="394" t="s">
        <v>187</v>
      </c>
      <c r="B1" s="394" t="s">
        <v>214</v>
      </c>
      <c r="C1" s="394" t="s">
        <v>224</v>
      </c>
      <c r="D1" s="394" t="s">
        <v>189</v>
      </c>
      <c r="E1" s="398" t="s">
        <v>225</v>
      </c>
      <c r="F1" s="402" t="s">
        <v>241</v>
      </c>
      <c r="G1" s="398" t="s">
        <v>223</v>
      </c>
    </row>
    <row r="2" spans="1:10" ht="36" customHeight="1" x14ac:dyDescent="0.3">
      <c r="A2" s="394"/>
      <c r="B2" s="394"/>
      <c r="C2" s="394"/>
      <c r="D2" s="394"/>
      <c r="E2" s="399"/>
      <c r="F2" s="403"/>
      <c r="G2" s="399"/>
    </row>
    <row r="3" spans="1:10" ht="12.75" customHeight="1" x14ac:dyDescent="0.3">
      <c r="A3" s="130">
        <v>1</v>
      </c>
      <c r="B3" s="131">
        <v>2</v>
      </c>
      <c r="C3" s="131">
        <v>3</v>
      </c>
      <c r="D3" s="131">
        <v>4</v>
      </c>
      <c r="E3" s="131">
        <v>5</v>
      </c>
      <c r="F3" s="131">
        <v>6</v>
      </c>
      <c r="G3" s="131">
        <v>7</v>
      </c>
      <c r="I3" t="s">
        <v>488</v>
      </c>
      <c r="J3" s="180">
        <v>0.48</v>
      </c>
    </row>
    <row r="4" spans="1:10" ht="20.25" customHeight="1" x14ac:dyDescent="0.3">
      <c r="A4" s="392" t="s">
        <v>467</v>
      </c>
      <c r="B4" s="393"/>
      <c r="C4" s="101"/>
      <c r="D4" s="101"/>
      <c r="E4" s="102"/>
      <c r="F4" s="101"/>
      <c r="G4" s="101"/>
      <c r="I4" t="s">
        <v>489</v>
      </c>
      <c r="J4" s="180">
        <v>0.02</v>
      </c>
    </row>
    <row r="5" spans="1:10" ht="21" customHeight="1" x14ac:dyDescent="0.3">
      <c r="A5" s="87">
        <v>1</v>
      </c>
      <c r="B5" s="79" t="s">
        <v>468</v>
      </c>
      <c r="C5" s="87" t="s">
        <v>207</v>
      </c>
      <c r="D5" s="90">
        <v>22</v>
      </c>
      <c r="E5" s="91">
        <f>(100%+$J$3)*(100%+$J$4)*3830.75</f>
        <v>5782.9002</v>
      </c>
      <c r="F5" s="81">
        <f>ROUND(E5*D5,2)</f>
        <v>127223.8</v>
      </c>
      <c r="G5" s="81">
        <f>ROUND(F5*1.2,2)</f>
        <v>152668.56</v>
      </c>
    </row>
    <row r="6" spans="1:10" ht="21" customHeight="1" x14ac:dyDescent="0.3">
      <c r="A6" s="87">
        <f>A5+1</f>
        <v>2</v>
      </c>
      <c r="B6" s="79" t="s">
        <v>490</v>
      </c>
      <c r="C6" s="87" t="s">
        <v>469</v>
      </c>
      <c r="D6" s="90">
        <v>12</v>
      </c>
      <c r="E6" s="91">
        <f>(100%+$J$3)*(100%+$J$4)*12990.72</f>
        <v>19610.790912</v>
      </c>
      <c r="F6" s="81">
        <f t="shared" ref="F6:F7" si="0">ROUND(E6*D6,2)</f>
        <v>235329.49</v>
      </c>
      <c r="G6" s="81">
        <f t="shared" ref="G6:G9" si="1">ROUND(F6*1.2,2)</f>
        <v>282395.39</v>
      </c>
    </row>
    <row r="7" spans="1:10" ht="21" customHeight="1" x14ac:dyDescent="0.3">
      <c r="A7" s="87">
        <f t="shared" ref="A7:A14" si="2">A6+1</f>
        <v>3</v>
      </c>
      <c r="B7" s="79" t="s">
        <v>484</v>
      </c>
      <c r="C7" s="87" t="s">
        <v>234</v>
      </c>
      <c r="D7" s="90">
        <v>40.81</v>
      </c>
      <c r="E7" s="91">
        <f>(100%+$J$3)*(100%+$J$4)*400.64</f>
        <v>604.80614400000002</v>
      </c>
      <c r="F7" s="81">
        <f t="shared" si="0"/>
        <v>24682.14</v>
      </c>
      <c r="G7" s="81">
        <f t="shared" si="1"/>
        <v>29618.57</v>
      </c>
    </row>
    <row r="8" spans="1:10" ht="42.75" customHeight="1" x14ac:dyDescent="0.3">
      <c r="A8" s="87">
        <f t="shared" si="2"/>
        <v>4</v>
      </c>
      <c r="B8" s="79" t="s">
        <v>491</v>
      </c>
      <c r="C8" s="87" t="s">
        <v>182</v>
      </c>
      <c r="D8" s="90">
        <v>480</v>
      </c>
      <c r="E8" s="91">
        <f>(100%+$J$3)*(100%+$J$4)*2177.39</f>
        <v>3286.987944</v>
      </c>
      <c r="F8" s="81">
        <f>ROUND(E8*D8,2)</f>
        <v>1577754.21</v>
      </c>
      <c r="G8" s="81">
        <f>ROUND(F8*1.2,2)</f>
        <v>1893305.05</v>
      </c>
    </row>
    <row r="9" spans="1:10" ht="27.6" x14ac:dyDescent="0.3">
      <c r="A9" s="87">
        <f t="shared" si="2"/>
        <v>5</v>
      </c>
      <c r="B9" s="79" t="s">
        <v>492</v>
      </c>
      <c r="C9" s="87" t="s">
        <v>493</v>
      </c>
      <c r="D9" s="90">
        <v>60</v>
      </c>
      <c r="E9" s="91">
        <f>(100%+$J$3)*(100%+$J$4)*660</f>
        <v>996.33600000000001</v>
      </c>
      <c r="F9" s="81">
        <f>ROUND(E9*D9,2)</f>
        <v>59780.160000000003</v>
      </c>
      <c r="G9" s="81">
        <f t="shared" si="1"/>
        <v>71736.19</v>
      </c>
    </row>
    <row r="10" spans="1:10" ht="21" customHeight="1" x14ac:dyDescent="0.3">
      <c r="A10" s="87">
        <f t="shared" si="2"/>
        <v>6</v>
      </c>
      <c r="B10" s="79" t="s">
        <v>476</v>
      </c>
      <c r="C10" s="87" t="s">
        <v>471</v>
      </c>
      <c r="D10" s="175" t="s">
        <v>472</v>
      </c>
      <c r="E10" s="91">
        <f>(100%+$J$3)*(100%+$J$4)*31703.15</f>
        <v>47859.075240000006</v>
      </c>
      <c r="F10" s="81">
        <f>ROUND(E10*1.512,2)</f>
        <v>72362.92</v>
      </c>
      <c r="G10" s="81">
        <f>ROUND(F10*1.2,2)</f>
        <v>86835.5</v>
      </c>
    </row>
    <row r="11" spans="1:10" ht="21" customHeight="1" x14ac:dyDescent="0.3">
      <c r="A11" s="87">
        <f t="shared" si="2"/>
        <v>7</v>
      </c>
      <c r="B11" s="79" t="s">
        <v>470</v>
      </c>
      <c r="C11" s="87" t="s">
        <v>207</v>
      </c>
      <c r="D11" s="90">
        <v>6</v>
      </c>
      <c r="E11" s="91">
        <f>(100%+$J$3)*(100%+$J$4)*2139.22</f>
        <v>3229.3665119999996</v>
      </c>
      <c r="F11" s="81">
        <f t="shared" ref="F11:F13" si="3">ROUND(E11*D11,2)</f>
        <v>19376.2</v>
      </c>
      <c r="G11" s="81">
        <f t="shared" ref="G11:G14" si="4">ROUND(F11*1.2,2)</f>
        <v>23251.439999999999</v>
      </c>
    </row>
    <row r="12" spans="1:10" ht="21" customHeight="1" x14ac:dyDescent="0.3">
      <c r="A12" s="87">
        <f t="shared" si="2"/>
        <v>8</v>
      </c>
      <c r="B12" s="79" t="s">
        <v>494</v>
      </c>
      <c r="C12" s="87" t="s">
        <v>207</v>
      </c>
      <c r="D12" s="90">
        <v>4</v>
      </c>
      <c r="E12" s="91">
        <f>(100%+$J$3)*(100%+$J$4)*2535.43</f>
        <v>3827.4851279999998</v>
      </c>
      <c r="F12" s="81">
        <f t="shared" si="3"/>
        <v>15309.94</v>
      </c>
      <c r="G12" s="81">
        <f t="shared" si="4"/>
        <v>18371.93</v>
      </c>
    </row>
    <row r="13" spans="1:10" ht="21" customHeight="1" x14ac:dyDescent="0.3">
      <c r="A13" s="87">
        <f t="shared" si="2"/>
        <v>9</v>
      </c>
      <c r="B13" s="79" t="s">
        <v>473</v>
      </c>
      <c r="C13" s="87" t="s">
        <v>207</v>
      </c>
      <c r="D13" s="90">
        <v>2</v>
      </c>
      <c r="E13" s="91">
        <f>(100%+$J$3)*(100%+$J$4)*18000</f>
        <v>27172.799999999999</v>
      </c>
      <c r="F13" s="81">
        <f t="shared" si="3"/>
        <v>54345.599999999999</v>
      </c>
      <c r="G13" s="81">
        <f t="shared" si="4"/>
        <v>65214.720000000001</v>
      </c>
    </row>
    <row r="14" spans="1:10" ht="37.200000000000003" customHeight="1" x14ac:dyDescent="0.3">
      <c r="A14" s="87">
        <f t="shared" si="2"/>
        <v>10</v>
      </c>
      <c r="B14" s="79" t="s">
        <v>495</v>
      </c>
      <c r="C14" s="87" t="s">
        <v>496</v>
      </c>
      <c r="D14" s="90" t="s">
        <v>497</v>
      </c>
      <c r="E14" s="91">
        <f>(100%+$J$3)*(100%+$J$4)*50000</f>
        <v>75480</v>
      </c>
      <c r="F14" s="81">
        <f>ROUND(E14*1,2)</f>
        <v>75480</v>
      </c>
      <c r="G14" s="81">
        <f t="shared" si="4"/>
        <v>90576</v>
      </c>
    </row>
    <row r="15" spans="1:10" x14ac:dyDescent="0.3">
      <c r="A15" s="83"/>
      <c r="B15" s="386" t="s">
        <v>265</v>
      </c>
      <c r="C15" s="387"/>
      <c r="D15" s="387"/>
      <c r="E15" s="388"/>
      <c r="F15" s="92">
        <f>SUM(F5:F14)</f>
        <v>2261644.46</v>
      </c>
      <c r="G15" s="92">
        <f>SUM(G5:G14)</f>
        <v>2713973.3500000006</v>
      </c>
    </row>
  </sheetData>
  <mergeCells count="9">
    <mergeCell ref="B15:E15"/>
    <mergeCell ref="E1:E2"/>
    <mergeCell ref="F1:F2"/>
    <mergeCell ref="G1:G2"/>
    <mergeCell ref="A1:A2"/>
    <mergeCell ref="B1:B2"/>
    <mergeCell ref="C1:C2"/>
    <mergeCell ref="D1:D2"/>
    <mergeCell ref="A4:B4"/>
  </mergeCells>
  <pageMargins left="0.7" right="0.7" top="0.75" bottom="0.75" header="0.3" footer="0.3"/>
  <pageSetup paperSize="9" scale="6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728B5-886E-4322-9C79-01D63751B37B}">
  <dimension ref="A1:K26"/>
  <sheetViews>
    <sheetView zoomScale="85" zoomScaleNormal="85" zoomScaleSheetLayoutView="85" workbookViewId="0">
      <pane ySplit="2" topLeftCell="A3" activePane="bottomLeft" state="frozen"/>
      <selection pane="bottomLeft" activeCell="B12" sqref="B12"/>
    </sheetView>
  </sheetViews>
  <sheetFormatPr defaultRowHeight="14.4" x14ac:dyDescent="0.3"/>
  <cols>
    <col min="1" max="1" width="4.33203125" customWidth="1"/>
    <col min="2" max="2" width="60.6640625" style="2" bestFit="1" customWidth="1"/>
    <col min="4" max="4" width="11.44140625" bestFit="1" customWidth="1"/>
    <col min="5" max="5" width="12.6640625" style="52" customWidth="1"/>
    <col min="6" max="6" width="16.33203125" customWidth="1"/>
    <col min="7" max="7" width="17" customWidth="1"/>
    <col min="8" max="9" width="19.44140625" customWidth="1"/>
    <col min="10" max="10" width="21.88671875" customWidth="1"/>
  </cols>
  <sheetData>
    <row r="1" spans="1:11" ht="28.95" customHeight="1" x14ac:dyDescent="0.3">
      <c r="A1" s="396" t="s">
        <v>213</v>
      </c>
      <c r="B1" s="398" t="s">
        <v>188</v>
      </c>
      <c r="C1" s="400" t="s">
        <v>256</v>
      </c>
      <c r="D1" s="400" t="s">
        <v>189</v>
      </c>
      <c r="E1" s="404" t="s">
        <v>255</v>
      </c>
      <c r="F1" s="396" t="s">
        <v>184</v>
      </c>
      <c r="G1" s="396" t="s">
        <v>186</v>
      </c>
    </row>
    <row r="2" spans="1:11" s="54" customFormat="1" ht="57.6" customHeight="1" x14ac:dyDescent="0.3">
      <c r="A2" s="397"/>
      <c r="B2" s="399"/>
      <c r="C2" s="401"/>
      <c r="D2" s="401"/>
      <c r="E2" s="405"/>
      <c r="F2" s="397"/>
      <c r="G2" s="397"/>
    </row>
    <row r="3" spans="1:11" ht="12.75" customHeight="1" x14ac:dyDescent="0.3">
      <c r="A3" s="130">
        <v>1</v>
      </c>
      <c r="B3" s="131">
        <v>2</v>
      </c>
      <c r="C3" s="131">
        <v>3</v>
      </c>
      <c r="D3" s="131">
        <v>4</v>
      </c>
      <c r="E3" s="131">
        <v>5</v>
      </c>
      <c r="F3" s="131">
        <v>6</v>
      </c>
      <c r="G3" s="131">
        <v>7</v>
      </c>
      <c r="H3" s="335" t="s">
        <v>708</v>
      </c>
      <c r="I3" s="335" t="s">
        <v>709</v>
      </c>
      <c r="J3" t="s">
        <v>488</v>
      </c>
      <c r="K3" s="180">
        <v>0.33</v>
      </c>
    </row>
    <row r="4" spans="1:11" x14ac:dyDescent="0.3">
      <c r="A4" s="330">
        <v>1</v>
      </c>
      <c r="B4" s="331" t="s">
        <v>474</v>
      </c>
      <c r="C4" s="330" t="s">
        <v>207</v>
      </c>
      <c r="D4" s="332">
        <v>22</v>
      </c>
      <c r="E4" s="333">
        <f>(100%+$K$3)*(100%+$K$4)*2310</f>
        <v>3133.7460000000001</v>
      </c>
      <c r="F4" s="333">
        <f>ROUND(E4*D4,2)</f>
        <v>68942.41</v>
      </c>
      <c r="G4" s="333">
        <f t="shared" ref="G4:G11" si="0">ROUND(F4*1.2,2)</f>
        <v>82730.89</v>
      </c>
      <c r="H4" s="336" t="e">
        <f>#REF!/#REF!</f>
        <v>#REF!</v>
      </c>
      <c r="I4" s="336" t="e">
        <f>H4-E4</f>
        <v>#REF!</v>
      </c>
      <c r="J4" t="s">
        <v>489</v>
      </c>
      <c r="K4" s="180">
        <v>0.02</v>
      </c>
    </row>
    <row r="5" spans="1:11" x14ac:dyDescent="0.3">
      <c r="A5" s="330">
        <f>A4+1</f>
        <v>2</v>
      </c>
      <c r="B5" s="331" t="s">
        <v>486</v>
      </c>
      <c r="C5" s="330" t="s">
        <v>207</v>
      </c>
      <c r="D5" s="332">
        <v>32</v>
      </c>
      <c r="E5" s="333">
        <f>(100%+$K$3)*(100%+$K$4)*1139.42</f>
        <v>1545.7371720000001</v>
      </c>
      <c r="F5" s="333">
        <f t="shared" ref="F5:F11" si="1">ROUND(E5*D5,2)</f>
        <v>49463.59</v>
      </c>
      <c r="G5" s="333">
        <f t="shared" si="0"/>
        <v>59356.31</v>
      </c>
      <c r="H5" s="336">
        <f>'ТС - ЛСР'!N76/'ТС - ЛСР'!G76</f>
        <v>1828.6</v>
      </c>
      <c r="I5" s="336">
        <f t="shared" ref="I5:I16" si="2">H5-E5</f>
        <v>282.86282799999981</v>
      </c>
    </row>
    <row r="6" spans="1:11" x14ac:dyDescent="0.3">
      <c r="A6" s="330">
        <f t="shared" ref="A6:A16" si="3">A5+1</f>
        <v>3</v>
      </c>
      <c r="B6" s="331" t="s">
        <v>485</v>
      </c>
      <c r="C6" s="330" t="s">
        <v>182</v>
      </c>
      <c r="D6" s="332">
        <v>480</v>
      </c>
      <c r="E6" s="333">
        <f>(100%+$K$3)*(100%+$K$4)*1208.17</f>
        <v>1639.0034220000002</v>
      </c>
      <c r="F6" s="333">
        <f t="shared" si="1"/>
        <v>786721.64</v>
      </c>
      <c r="G6" s="333">
        <f t="shared" si="0"/>
        <v>944065.97</v>
      </c>
      <c r="H6" s="336">
        <f>'ТС - ЛСР'!N73/'ТС - ЛСР'!G73</f>
        <v>3333.0472083333329</v>
      </c>
      <c r="I6" s="336">
        <f t="shared" si="2"/>
        <v>1694.0437863333327</v>
      </c>
      <c r="J6" s="185"/>
    </row>
    <row r="7" spans="1:11" x14ac:dyDescent="0.3">
      <c r="A7" s="330">
        <f t="shared" si="3"/>
        <v>4</v>
      </c>
      <c r="B7" s="331" t="s">
        <v>475</v>
      </c>
      <c r="C7" s="330" t="s">
        <v>178</v>
      </c>
      <c r="D7" s="332">
        <v>14</v>
      </c>
      <c r="E7" s="333">
        <f>(100%+$K$3)*(100%+$K$4)*4152.5</f>
        <v>5633.2815000000001</v>
      </c>
      <c r="F7" s="333">
        <f t="shared" si="1"/>
        <v>78865.94</v>
      </c>
      <c r="G7" s="333">
        <f t="shared" si="0"/>
        <v>94639.13</v>
      </c>
      <c r="H7" s="336">
        <f>'ТС - ЛСР'!N111/'ТС - ЛСР'!G106</f>
        <v>6469.51</v>
      </c>
      <c r="I7" s="336">
        <f t="shared" si="2"/>
        <v>836.22850000000017</v>
      </c>
    </row>
    <row r="8" spans="1:11" x14ac:dyDescent="0.3">
      <c r="A8" s="330">
        <f t="shared" si="3"/>
        <v>5</v>
      </c>
      <c r="B8" s="331" t="s">
        <v>477</v>
      </c>
      <c r="C8" s="330" t="s">
        <v>178</v>
      </c>
      <c r="D8" s="332">
        <v>6</v>
      </c>
      <c r="E8" s="333">
        <f>(100%+$K$3)*(100%+$K$4)*396</f>
        <v>537.21360000000004</v>
      </c>
      <c r="F8" s="333">
        <f t="shared" si="1"/>
        <v>3223.28</v>
      </c>
      <c r="G8" s="333">
        <f t="shared" si="0"/>
        <v>3867.94</v>
      </c>
      <c r="H8" s="336">
        <f>'ТС - ЛСР'!N124/'ТС - ЛСР'!G125</f>
        <v>3689.4916666666668</v>
      </c>
      <c r="I8" s="336">
        <f t="shared" si="2"/>
        <v>3152.2780666666667</v>
      </c>
    </row>
    <row r="9" spans="1:11" x14ac:dyDescent="0.3">
      <c r="A9" s="330">
        <f t="shared" si="3"/>
        <v>6</v>
      </c>
      <c r="B9" s="331" t="s">
        <v>479</v>
      </c>
      <c r="C9" s="330" t="s">
        <v>178</v>
      </c>
      <c r="D9" s="332">
        <v>6</v>
      </c>
      <c r="E9" s="333">
        <f>(100%+$K$3)*(100%+$K$4)*16.5</f>
        <v>22.383900000000001</v>
      </c>
      <c r="F9" s="333">
        <f t="shared" si="1"/>
        <v>134.30000000000001</v>
      </c>
      <c r="G9" s="333">
        <f t="shared" si="0"/>
        <v>161.16</v>
      </c>
      <c r="H9" s="336"/>
      <c r="I9" s="336">
        <f t="shared" si="2"/>
        <v>-22.383900000000001</v>
      </c>
    </row>
    <row r="10" spans="1:11" x14ac:dyDescent="0.3">
      <c r="A10" s="330">
        <f t="shared" si="3"/>
        <v>7</v>
      </c>
      <c r="B10" s="331" t="s">
        <v>478</v>
      </c>
      <c r="C10" s="330" t="s">
        <v>178</v>
      </c>
      <c r="D10" s="332">
        <v>4</v>
      </c>
      <c r="E10" s="333">
        <f>(100%+$K$3)*(100%+$K$4)*5015.08</f>
        <v>6803.4575279999999</v>
      </c>
      <c r="F10" s="333">
        <f t="shared" si="1"/>
        <v>27213.83</v>
      </c>
      <c r="G10" s="333">
        <f t="shared" si="0"/>
        <v>32656.6</v>
      </c>
      <c r="H10" s="336">
        <f>'ТС - ЛСР'!N141/'ТС - ЛСР'!G141</f>
        <v>4528.5950000000003</v>
      </c>
      <c r="I10" s="337">
        <f t="shared" si="2"/>
        <v>-2274.8625279999997</v>
      </c>
    </row>
    <row r="11" spans="1:11" x14ac:dyDescent="0.3">
      <c r="A11" s="330">
        <f t="shared" si="3"/>
        <v>8</v>
      </c>
      <c r="B11" s="331" t="s">
        <v>480</v>
      </c>
      <c r="C11" s="330" t="s">
        <v>178</v>
      </c>
      <c r="D11" s="332">
        <v>6</v>
      </c>
      <c r="E11" s="333">
        <f>(100%+$K$3)*(100%+$K$4)*51.33</f>
        <v>69.634277999999995</v>
      </c>
      <c r="F11" s="333">
        <f t="shared" si="1"/>
        <v>417.81</v>
      </c>
      <c r="G11" s="333">
        <f t="shared" si="0"/>
        <v>501.37</v>
      </c>
      <c r="H11" s="336"/>
      <c r="I11" s="336">
        <f t="shared" si="2"/>
        <v>-69.634277999999995</v>
      </c>
    </row>
    <row r="12" spans="1:11" x14ac:dyDescent="0.3">
      <c r="A12" s="330">
        <f t="shared" si="3"/>
        <v>9</v>
      </c>
      <c r="B12" s="331" t="s">
        <v>487</v>
      </c>
      <c r="C12" s="330" t="s">
        <v>182</v>
      </c>
      <c r="D12" s="332">
        <v>36</v>
      </c>
      <c r="E12" s="333">
        <f>(100%+$K$3)*(100%+$K$4)*2632.67</f>
        <v>3571.4801220000004</v>
      </c>
      <c r="F12" s="333">
        <f>ROUND(E12*D12,2)</f>
        <v>128573.28</v>
      </c>
      <c r="G12" s="333">
        <f>ROUND(F12*1.2,2)</f>
        <v>154287.94</v>
      </c>
      <c r="H12" s="336">
        <f>'ТС - ЛСР'!N156/'ТС - ЛСР'!G156</f>
        <v>1961.0619444444444</v>
      </c>
      <c r="I12" s="337">
        <f t="shared" si="2"/>
        <v>-1610.418177555556</v>
      </c>
    </row>
    <row r="13" spans="1:11" x14ac:dyDescent="0.3">
      <c r="A13" s="330">
        <f t="shared" si="3"/>
        <v>10</v>
      </c>
      <c r="B13" s="331" t="s">
        <v>481</v>
      </c>
      <c r="C13" s="330" t="s">
        <v>182</v>
      </c>
      <c r="D13" s="332">
        <v>60</v>
      </c>
      <c r="E13" s="333">
        <f>(100%+$K$3)*(100%+$K$4)*307.08</f>
        <v>416.58472799999998</v>
      </c>
      <c r="F13" s="333">
        <f>ROUND(E13*D13,2)</f>
        <v>24995.08</v>
      </c>
      <c r="G13" s="333">
        <f>ROUND(F13*1.2,2)</f>
        <v>29994.1</v>
      </c>
      <c r="H13" s="336"/>
      <c r="I13" s="336">
        <f t="shared" si="2"/>
        <v>-416.58472799999998</v>
      </c>
      <c r="J13">
        <f>60*3.77</f>
        <v>226.2</v>
      </c>
      <c r="K13" t="s">
        <v>219</v>
      </c>
    </row>
    <row r="14" spans="1:11" x14ac:dyDescent="0.3">
      <c r="A14" s="330">
        <f t="shared" si="3"/>
        <v>11</v>
      </c>
      <c r="B14" s="331" t="s">
        <v>482</v>
      </c>
      <c r="C14" s="330" t="s">
        <v>182</v>
      </c>
      <c r="D14" s="332">
        <v>48</v>
      </c>
      <c r="E14" s="333">
        <f>(100%+$K$3)*(100%+$K$4)*398.75</f>
        <v>540.94425000000001</v>
      </c>
      <c r="F14" s="333">
        <f>ROUND(E14*D14,2)</f>
        <v>25965.32</v>
      </c>
      <c r="G14" s="333">
        <f>ROUND(F14*1.2,2)</f>
        <v>31158.38</v>
      </c>
      <c r="H14" s="336"/>
      <c r="I14" s="336">
        <f t="shared" si="2"/>
        <v>-540.94425000000001</v>
      </c>
    </row>
    <row r="15" spans="1:11" x14ac:dyDescent="0.3">
      <c r="A15" s="330">
        <f t="shared" si="3"/>
        <v>12</v>
      </c>
      <c r="B15" s="331" t="s">
        <v>483</v>
      </c>
      <c r="C15" s="330" t="s">
        <v>220</v>
      </c>
      <c r="D15" s="332">
        <v>60</v>
      </c>
      <c r="E15" s="333">
        <f>(100%+$K$3)*(100%+$K$4)*209</f>
        <v>283.52940000000001</v>
      </c>
      <c r="F15" s="333">
        <f>ROUND(E15*D15,2)</f>
        <v>17011.759999999998</v>
      </c>
      <c r="G15" s="333">
        <f>ROUND(F15*1.2,2)</f>
        <v>20414.11</v>
      </c>
      <c r="H15" s="336"/>
      <c r="I15" s="336">
        <f t="shared" si="2"/>
        <v>-283.52940000000001</v>
      </c>
    </row>
    <row r="16" spans="1:11" x14ac:dyDescent="0.3">
      <c r="A16" s="330">
        <f t="shared" si="3"/>
        <v>13</v>
      </c>
      <c r="B16" s="331" t="s">
        <v>498</v>
      </c>
      <c r="C16" s="330" t="s">
        <v>499</v>
      </c>
      <c r="D16" s="332">
        <v>1</v>
      </c>
      <c r="E16" s="333">
        <f>(100%+$K$3)*(100%+$K$4)*30000</f>
        <v>40698</v>
      </c>
      <c r="F16" s="333">
        <f>ROUND(E16*D16,2)</f>
        <v>40698</v>
      </c>
      <c r="G16" s="333">
        <f>ROUND(F16*1.2,2)</f>
        <v>48837.599999999999</v>
      </c>
      <c r="H16" s="336"/>
      <c r="I16" s="336">
        <f t="shared" si="2"/>
        <v>-40698</v>
      </c>
    </row>
    <row r="17" spans="1:10" x14ac:dyDescent="0.3">
      <c r="A17" s="86"/>
      <c r="B17" s="173"/>
      <c r="C17" s="182"/>
      <c r="D17" s="183"/>
      <c r="E17" s="184"/>
      <c r="F17" s="163"/>
      <c r="G17" s="163"/>
      <c r="H17" s="169"/>
      <c r="I17" s="169"/>
    </row>
    <row r="18" spans="1:10" s="1" customFormat="1" x14ac:dyDescent="0.3">
      <c r="A18" s="78"/>
      <c r="B18" s="386" t="s">
        <v>265</v>
      </c>
      <c r="C18" s="387"/>
      <c r="D18" s="387"/>
      <c r="E18" s="388"/>
      <c r="F18" s="92">
        <f>SUM(F4:F16)</f>
        <v>1252226.2400000002</v>
      </c>
      <c r="G18" s="92">
        <f>SUM(G4:G16)</f>
        <v>1502671.5</v>
      </c>
    </row>
    <row r="21" spans="1:10" x14ac:dyDescent="0.3">
      <c r="B21" s="55"/>
      <c r="G21" s="26"/>
    </row>
    <row r="26" spans="1:10" x14ac:dyDescent="0.3">
      <c r="J26" s="30">
        <f>G18+'СМР врем. ТС (сталь) коммерция'!G15</f>
        <v>4216644.8500000006</v>
      </c>
    </row>
  </sheetData>
  <mergeCells count="8">
    <mergeCell ref="B18:E18"/>
    <mergeCell ref="E1:E2"/>
    <mergeCell ref="F1:F2"/>
    <mergeCell ref="G1:G2"/>
    <mergeCell ref="A1:A2"/>
    <mergeCell ref="B1:B2"/>
    <mergeCell ref="C1:C2"/>
    <mergeCell ref="D1:D2"/>
  </mergeCells>
  <pageMargins left="0.7" right="0.7" top="0.75" bottom="0.75" header="0.3" footer="0.3"/>
  <pageSetup paperSize="9" scale="6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DA3F1-3B34-4630-AF79-99D1A2AD29A2}">
  <sheetPr>
    <tabColor rgb="FFFFFF00"/>
  </sheetPr>
  <dimension ref="A1:J37"/>
  <sheetViews>
    <sheetView zoomScale="58" zoomScaleNormal="100" zoomScaleSheetLayoutView="80" workbookViewId="0">
      <pane ySplit="2" topLeftCell="A3" activePane="bottomLeft" state="frozen"/>
      <selection pane="bottomLeft" activeCell="J10" sqref="J10"/>
    </sheetView>
  </sheetViews>
  <sheetFormatPr defaultRowHeight="14.4" x14ac:dyDescent="0.3"/>
  <cols>
    <col min="1" max="1" width="7.33203125" customWidth="1"/>
    <col min="2" max="2" width="61.33203125" customWidth="1"/>
    <col min="3" max="3" width="10.6640625" customWidth="1"/>
    <col min="4" max="4" width="11" customWidth="1"/>
    <col min="5" max="5" width="12.6640625" customWidth="1"/>
    <col min="6" max="6" width="16.5546875" style="69" customWidth="1"/>
    <col min="7" max="7" width="15.33203125" style="29" customWidth="1"/>
    <col min="8" max="8" width="5.33203125" customWidth="1"/>
    <col min="9" max="9" width="18.109375" bestFit="1" customWidth="1"/>
    <col min="10" max="10" width="12.33203125" bestFit="1" customWidth="1"/>
  </cols>
  <sheetData>
    <row r="1" spans="1:10" s="1" customFormat="1" ht="21.75" customHeight="1" x14ac:dyDescent="0.3">
      <c r="A1" s="394" t="s">
        <v>187</v>
      </c>
      <c r="B1" s="394" t="s">
        <v>214</v>
      </c>
      <c r="C1" s="394" t="s">
        <v>224</v>
      </c>
      <c r="D1" s="394" t="s">
        <v>189</v>
      </c>
      <c r="E1" s="398" t="s">
        <v>225</v>
      </c>
      <c r="F1" s="402" t="s">
        <v>241</v>
      </c>
      <c r="G1" s="398" t="s">
        <v>223</v>
      </c>
    </row>
    <row r="2" spans="1:10" ht="36" customHeight="1" x14ac:dyDescent="0.3">
      <c r="A2" s="394"/>
      <c r="B2" s="394"/>
      <c r="C2" s="394"/>
      <c r="D2" s="394"/>
      <c r="E2" s="399"/>
      <c r="F2" s="403"/>
      <c r="G2" s="399"/>
    </row>
    <row r="3" spans="1:10" ht="12.75" customHeight="1" x14ac:dyDescent="0.3">
      <c r="A3" s="130">
        <v>1</v>
      </c>
      <c r="B3" s="131">
        <v>2</v>
      </c>
      <c r="C3" s="131">
        <v>3</v>
      </c>
      <c r="D3" s="131">
        <v>4</v>
      </c>
      <c r="E3" s="131">
        <v>5</v>
      </c>
      <c r="F3" s="131">
        <v>6</v>
      </c>
      <c r="G3" s="131">
        <v>7</v>
      </c>
    </row>
    <row r="4" spans="1:10" ht="42.45" customHeight="1" x14ac:dyDescent="0.3">
      <c r="A4" s="392" t="s">
        <v>467</v>
      </c>
      <c r="B4" s="393"/>
      <c r="C4" s="101"/>
      <c r="D4" s="101"/>
      <c r="E4" s="102"/>
      <c r="F4" s="101"/>
      <c r="G4" s="101"/>
      <c r="I4" s="208" t="s">
        <v>500</v>
      </c>
      <c r="J4" s="2" t="s">
        <v>509</v>
      </c>
    </row>
    <row r="5" spans="1:10" ht="21" customHeight="1" x14ac:dyDescent="0.3">
      <c r="A5" s="87">
        <v>1</v>
      </c>
      <c r="B5" s="186" t="s">
        <v>468</v>
      </c>
      <c r="C5" s="87" t="str">
        <f>'СМР врем. ТС (сталь) коммерция'!C5</f>
        <v>шт.</v>
      </c>
      <c r="D5" s="87">
        <f>'СМР врем. ТС (сталь) коммерция'!D5</f>
        <v>22</v>
      </c>
      <c r="E5" s="91">
        <f>'СМР врем. ТС (сталь) коммерция'!E5</f>
        <v>5782.9002</v>
      </c>
      <c r="F5" s="91">
        <f>'СМР врем. ТС (сталь) коммерция'!F5</f>
        <v>127223.8</v>
      </c>
      <c r="G5" s="91">
        <f>'СМР врем. ТС (сталь) коммерция'!G5</f>
        <v>152668.56</v>
      </c>
      <c r="I5" s="81">
        <f>G24</f>
        <v>82730.89</v>
      </c>
      <c r="J5" s="81">
        <f>I5/D5</f>
        <v>3760.4949999999999</v>
      </c>
    </row>
    <row r="6" spans="1:10" ht="21" customHeight="1" x14ac:dyDescent="0.3">
      <c r="A6" s="87">
        <v>2</v>
      </c>
      <c r="B6" s="187" t="s">
        <v>490</v>
      </c>
      <c r="C6" s="87" t="str">
        <f>'СМР врем. ТС (сталь) коммерция'!C6</f>
        <v xml:space="preserve">шт. </v>
      </c>
      <c r="D6" s="87">
        <f>'СМР врем. ТС (сталь) коммерция'!D6</f>
        <v>12</v>
      </c>
      <c r="E6" s="91">
        <f>'СМР врем. ТС (сталь) коммерция'!E6</f>
        <v>19610.790912</v>
      </c>
      <c r="F6" s="91">
        <f>'СМР врем. ТС (сталь) коммерция'!F6</f>
        <v>235329.49</v>
      </c>
      <c r="G6" s="91">
        <f>'СМР врем. ТС (сталь) коммерция'!G6</f>
        <v>282395.39</v>
      </c>
      <c r="I6" s="81">
        <f>G33+G34</f>
        <v>61152.479999999996</v>
      </c>
      <c r="J6" s="81">
        <f t="shared" ref="J6:J13" si="0">I6/D6</f>
        <v>5096.04</v>
      </c>
    </row>
    <row r="7" spans="1:10" ht="21" customHeight="1" x14ac:dyDescent="0.3">
      <c r="A7" s="87">
        <v>3</v>
      </c>
      <c r="B7" s="188" t="s">
        <v>484</v>
      </c>
      <c r="C7" s="87" t="str">
        <f>'СМР врем. ТС (сталь) коммерция'!C7</f>
        <v>м2</v>
      </c>
      <c r="D7" s="87">
        <f>'СМР врем. ТС (сталь) коммерция'!D7</f>
        <v>40.81</v>
      </c>
      <c r="E7" s="91">
        <f>'СМР врем. ТС (сталь) коммерция'!E7</f>
        <v>604.80614400000002</v>
      </c>
      <c r="F7" s="91">
        <f>'СМР врем. ТС (сталь) коммерция'!F7</f>
        <v>24682.14</v>
      </c>
      <c r="G7" s="91">
        <f>'СМР врем. ТС (сталь) коммерция'!G7</f>
        <v>29618.57</v>
      </c>
      <c r="I7" s="81">
        <f>G35</f>
        <v>20414.11</v>
      </c>
      <c r="J7" s="81">
        <f t="shared" si="0"/>
        <v>500.22322960058807</v>
      </c>
    </row>
    <row r="8" spans="1:10" ht="42.75" customHeight="1" x14ac:dyDescent="0.3">
      <c r="A8" s="87">
        <v>4</v>
      </c>
      <c r="B8" s="189" t="s">
        <v>491</v>
      </c>
      <c r="C8" s="87" t="str">
        <f>'СМР врем. ТС (сталь) коммерция'!C8</f>
        <v>м</v>
      </c>
      <c r="D8" s="87">
        <f>'СМР врем. ТС (сталь) коммерция'!D8</f>
        <v>480</v>
      </c>
      <c r="E8" s="91">
        <f>'СМР врем. ТС (сталь) коммерция'!E8</f>
        <v>3286.987944</v>
      </c>
      <c r="F8" s="91">
        <f>'СМР врем. ТС (сталь) коммерция'!F8</f>
        <v>1577754.21</v>
      </c>
      <c r="G8" s="91">
        <f>'СМР врем. ТС (сталь) коммерция'!G8</f>
        <v>1893305.05</v>
      </c>
      <c r="I8" s="81">
        <f>G25+G26+G36+G32</f>
        <v>1206547.82</v>
      </c>
      <c r="J8" s="81">
        <f t="shared" si="0"/>
        <v>2513.6412916666668</v>
      </c>
    </row>
    <row r="9" spans="1:10" ht="42.75" customHeight="1" x14ac:dyDescent="0.3">
      <c r="A9" s="87">
        <v>5</v>
      </c>
      <c r="B9" s="79" t="s">
        <v>492</v>
      </c>
      <c r="C9" s="87" t="str">
        <f>'СМР врем. ТС (сталь) коммерция'!C9</f>
        <v>стык</v>
      </c>
      <c r="D9" s="87">
        <f>'СМР врем. ТС (сталь) коммерция'!D9</f>
        <v>60</v>
      </c>
      <c r="E9" s="91">
        <f>'СМР врем. ТС (сталь) коммерция'!E9</f>
        <v>996.33600000000001</v>
      </c>
      <c r="F9" s="91">
        <f>'СМР врем. ТС (сталь) коммерция'!F9</f>
        <v>59780.160000000003</v>
      </c>
      <c r="G9" s="91">
        <f>'СМР врем. ТС (сталь) коммерция'!G9</f>
        <v>71736.19</v>
      </c>
      <c r="I9" s="81">
        <v>0</v>
      </c>
      <c r="J9" s="81">
        <f t="shared" si="0"/>
        <v>0</v>
      </c>
    </row>
    <row r="10" spans="1:10" ht="21" customHeight="1" x14ac:dyDescent="0.3">
      <c r="A10" s="87">
        <v>6</v>
      </c>
      <c r="B10" s="190" t="s">
        <v>476</v>
      </c>
      <c r="C10" s="87" t="str">
        <f>'СМР врем. ТС (сталь) коммерция'!C10</f>
        <v>м3/ шт.</v>
      </c>
      <c r="D10" s="87" t="str">
        <f>'СМР врем. ТС (сталь) коммерция'!D10</f>
        <v>1,512/ 14</v>
      </c>
      <c r="E10" s="91">
        <f>'СМР врем. ТС (сталь) коммерция'!E10</f>
        <v>47859.075240000006</v>
      </c>
      <c r="F10" s="91">
        <f>'СМР врем. ТС (сталь) коммерция'!F10</f>
        <v>72362.92</v>
      </c>
      <c r="G10" s="91">
        <f>'СМР врем. ТС (сталь) коммерция'!G10</f>
        <v>86835.5</v>
      </c>
      <c r="I10" s="81">
        <f>G27</f>
        <v>94639.13</v>
      </c>
      <c r="J10" s="81">
        <f>I10/1.512</f>
        <v>62592.017195767199</v>
      </c>
    </row>
    <row r="11" spans="1:10" ht="21" customHeight="1" x14ac:dyDescent="0.3">
      <c r="A11" s="87">
        <v>7</v>
      </c>
      <c r="B11" s="191" t="s">
        <v>470</v>
      </c>
      <c r="C11" s="87" t="str">
        <f>'СМР врем. ТС (сталь) коммерция'!C11</f>
        <v>шт.</v>
      </c>
      <c r="D11" s="87">
        <f>'СМР врем. ТС (сталь) коммерция'!D11</f>
        <v>6</v>
      </c>
      <c r="E11" s="91">
        <f>'СМР врем. ТС (сталь) коммерция'!E11</f>
        <v>3229.3665119999996</v>
      </c>
      <c r="F11" s="91">
        <f>'СМР врем. ТС (сталь) коммерция'!F11</f>
        <v>19376.2</v>
      </c>
      <c r="G11" s="91">
        <f>'СМР врем. ТС (сталь) коммерция'!G11</f>
        <v>23251.439999999999</v>
      </c>
      <c r="I11" s="81">
        <f>G28+G29</f>
        <v>4029.1</v>
      </c>
      <c r="J11" s="81">
        <f t="shared" si="0"/>
        <v>671.51666666666665</v>
      </c>
    </row>
    <row r="12" spans="1:10" ht="21" customHeight="1" x14ac:dyDescent="0.3">
      <c r="A12" s="87">
        <v>8</v>
      </c>
      <c r="B12" s="192" t="s">
        <v>494</v>
      </c>
      <c r="C12" s="87" t="str">
        <f>'СМР врем. ТС (сталь) коммерция'!C12</f>
        <v>шт.</v>
      </c>
      <c r="D12" s="87">
        <f>'СМР врем. ТС (сталь) коммерция'!D12</f>
        <v>4</v>
      </c>
      <c r="E12" s="91">
        <f>'СМР врем. ТС (сталь) коммерция'!E12</f>
        <v>3827.4851279999998</v>
      </c>
      <c r="F12" s="91">
        <f>'СМР врем. ТС (сталь) коммерция'!F12</f>
        <v>15309.94</v>
      </c>
      <c r="G12" s="91">
        <f>'СМР врем. ТС (сталь) коммерция'!G12</f>
        <v>18371.93</v>
      </c>
      <c r="I12" s="81">
        <f>G30+G31</f>
        <v>33157.97</v>
      </c>
      <c r="J12" s="81">
        <f t="shared" si="0"/>
        <v>8289.4925000000003</v>
      </c>
    </row>
    <row r="13" spans="1:10" ht="21" customHeight="1" x14ac:dyDescent="0.3">
      <c r="A13" s="87">
        <v>9</v>
      </c>
      <c r="B13" s="79" t="s">
        <v>473</v>
      </c>
      <c r="C13" s="87" t="str">
        <f>'СМР врем. ТС (сталь) коммерция'!C13</f>
        <v>шт.</v>
      </c>
      <c r="D13" s="87">
        <f>'СМР врем. ТС (сталь) коммерция'!D13</f>
        <v>2</v>
      </c>
      <c r="E13" s="91">
        <f>'СМР врем. ТС (сталь) коммерция'!E13</f>
        <v>27172.799999999999</v>
      </c>
      <c r="F13" s="91">
        <f>'СМР врем. ТС (сталь) коммерция'!F13</f>
        <v>54345.599999999999</v>
      </c>
      <c r="G13" s="91">
        <f>'СМР врем. ТС (сталь) коммерция'!G13</f>
        <v>65214.720000000001</v>
      </c>
      <c r="I13" s="81">
        <v>0</v>
      </c>
      <c r="J13" s="81">
        <f t="shared" si="0"/>
        <v>0</v>
      </c>
    </row>
    <row r="14" spans="1:10" ht="34.200000000000003" customHeight="1" x14ac:dyDescent="0.3">
      <c r="A14" s="87">
        <v>10</v>
      </c>
      <c r="B14" s="199" t="s">
        <v>495</v>
      </c>
      <c r="C14" s="87" t="str">
        <f>'СМР врем. ТС (сталь) коммерция'!C14</f>
        <v>узел/ м</v>
      </c>
      <c r="D14" s="87" t="str">
        <f>'СМР врем. ТС (сталь) коммерция'!D14</f>
        <v>1/ 480</v>
      </c>
      <c r="E14" s="91">
        <f>'СМР врем. ТС (сталь) коммерция'!E14</f>
        <v>75480</v>
      </c>
      <c r="F14" s="91">
        <f>'СМР врем. ТС (сталь) коммерция'!F14</f>
        <v>75480</v>
      </c>
      <c r="G14" s="91">
        <f>'СМР врем. ТС (сталь) коммерция'!G14</f>
        <v>90576</v>
      </c>
      <c r="I14" s="81">
        <v>0</v>
      </c>
      <c r="J14" s="81">
        <f>I14/1</f>
        <v>0</v>
      </c>
    </row>
    <row r="15" spans="1:10" x14ac:dyDescent="0.3">
      <c r="A15" s="83"/>
      <c r="B15" s="386" t="s">
        <v>265</v>
      </c>
      <c r="C15" s="387"/>
      <c r="D15" s="387"/>
      <c r="E15" s="388"/>
      <c r="F15" s="92">
        <f>SUM(F5:F14)</f>
        <v>2261644.46</v>
      </c>
      <c r="G15" s="92">
        <f>SUM(G5:G14)</f>
        <v>2713973.3500000006</v>
      </c>
    </row>
    <row r="24" spans="1:8" x14ac:dyDescent="0.3">
      <c r="A24" s="86">
        <v>1</v>
      </c>
      <c r="B24" s="193" t="s">
        <v>474</v>
      </c>
      <c r="C24" s="172" t="s">
        <v>207</v>
      </c>
      <c r="D24" s="176">
        <f>'мат врем.ТС (сталь) коммерция'!D4</f>
        <v>22</v>
      </c>
      <c r="E24" s="181">
        <f>'мат врем.ТС (сталь) коммерция'!E4</f>
        <v>3133.7460000000001</v>
      </c>
      <c r="F24" s="181">
        <f>'мат врем.ТС (сталь) коммерция'!F4</f>
        <v>68942.41</v>
      </c>
      <c r="G24" s="181">
        <f>'мат врем.ТС (сталь) коммерция'!G4</f>
        <v>82730.89</v>
      </c>
      <c r="H24" s="178"/>
    </row>
    <row r="25" spans="1:8" x14ac:dyDescent="0.3">
      <c r="A25" s="86">
        <v>2</v>
      </c>
      <c r="B25" s="194" t="s">
        <v>486</v>
      </c>
      <c r="C25" s="172" t="s">
        <v>207</v>
      </c>
      <c r="D25" s="176">
        <f>'мат врем.ТС (сталь) коммерция'!D5</f>
        <v>32</v>
      </c>
      <c r="E25" s="181">
        <f>'мат врем.ТС (сталь) коммерция'!E5</f>
        <v>1545.7371720000001</v>
      </c>
      <c r="F25" s="181">
        <f>'мат врем.ТС (сталь) коммерция'!F5</f>
        <v>49463.59</v>
      </c>
      <c r="G25" s="181">
        <f>'мат врем.ТС (сталь) коммерция'!G5</f>
        <v>59356.31</v>
      </c>
      <c r="H25" s="178"/>
    </row>
    <row r="26" spans="1:8" x14ac:dyDescent="0.3">
      <c r="A26" s="86">
        <v>3</v>
      </c>
      <c r="B26" s="189" t="s">
        <v>485</v>
      </c>
      <c r="C26" s="86" t="s">
        <v>182</v>
      </c>
      <c r="D26" s="176">
        <f>'мат врем.ТС (сталь) коммерция'!D6</f>
        <v>480</v>
      </c>
      <c r="E26" s="181">
        <f>'мат врем.ТС (сталь) коммерция'!E6</f>
        <v>1639.0034220000002</v>
      </c>
      <c r="F26" s="181">
        <f>'мат врем.ТС (сталь) коммерция'!F6</f>
        <v>786721.64</v>
      </c>
      <c r="G26" s="181">
        <f>'мат врем.ТС (сталь) коммерция'!G6</f>
        <v>944065.97</v>
      </c>
    </row>
    <row r="27" spans="1:8" x14ac:dyDescent="0.3">
      <c r="A27" s="86">
        <v>4</v>
      </c>
      <c r="B27" s="190" t="s">
        <v>475</v>
      </c>
      <c r="C27" s="86" t="s">
        <v>178</v>
      </c>
      <c r="D27" s="176">
        <f>'мат врем.ТС (сталь) коммерция'!D7</f>
        <v>14</v>
      </c>
      <c r="E27" s="181">
        <f>'мат врем.ТС (сталь) коммерция'!E7</f>
        <v>5633.2815000000001</v>
      </c>
      <c r="F27" s="181">
        <f>'мат врем.ТС (сталь) коммерция'!F7</f>
        <v>78865.94</v>
      </c>
      <c r="G27" s="181">
        <f>'мат врем.ТС (сталь) коммерция'!G7</f>
        <v>94639.13</v>
      </c>
      <c r="H27" s="169"/>
    </row>
    <row r="28" spans="1:8" x14ac:dyDescent="0.3">
      <c r="A28" s="86">
        <v>5</v>
      </c>
      <c r="B28" s="195" t="s">
        <v>477</v>
      </c>
      <c r="C28" s="86" t="s">
        <v>178</v>
      </c>
      <c r="D28" s="176">
        <f>'мат врем.ТС (сталь) коммерция'!D8</f>
        <v>6</v>
      </c>
      <c r="E28" s="181">
        <f>'мат врем.ТС (сталь) коммерция'!E8</f>
        <v>537.21360000000004</v>
      </c>
      <c r="F28" s="181">
        <f>'мат врем.ТС (сталь) коммерция'!F8</f>
        <v>3223.28</v>
      </c>
      <c r="G28" s="181">
        <f>'мат врем.ТС (сталь) коммерция'!G8</f>
        <v>3867.94</v>
      </c>
      <c r="H28" s="174"/>
    </row>
    <row r="29" spans="1:8" x14ac:dyDescent="0.3">
      <c r="A29" s="86">
        <v>6</v>
      </c>
      <c r="B29" s="195" t="s">
        <v>479</v>
      </c>
      <c r="C29" s="86" t="s">
        <v>178</v>
      </c>
      <c r="D29" s="176">
        <f>'мат врем.ТС (сталь) коммерция'!D9</f>
        <v>6</v>
      </c>
      <c r="E29" s="181">
        <f>'мат врем.ТС (сталь) коммерция'!E9</f>
        <v>22.383900000000001</v>
      </c>
      <c r="F29" s="181">
        <f>'мат врем.ТС (сталь) коммерция'!F9</f>
        <v>134.30000000000001</v>
      </c>
      <c r="G29" s="181">
        <f>'мат врем.ТС (сталь) коммерция'!G9</f>
        <v>161.16</v>
      </c>
      <c r="H29" s="174"/>
    </row>
    <row r="30" spans="1:8" x14ac:dyDescent="0.3">
      <c r="A30" s="86">
        <v>7</v>
      </c>
      <c r="B30" s="196" t="s">
        <v>478</v>
      </c>
      <c r="C30" s="86" t="s">
        <v>178</v>
      </c>
      <c r="D30" s="176">
        <f>'мат врем.ТС (сталь) коммерция'!D10</f>
        <v>4</v>
      </c>
      <c r="E30" s="181">
        <f>'мат врем.ТС (сталь) коммерция'!E10</f>
        <v>6803.4575279999999</v>
      </c>
      <c r="F30" s="181">
        <f>'мат врем.ТС (сталь) коммерция'!F10</f>
        <v>27213.83</v>
      </c>
      <c r="G30" s="181">
        <f>'мат врем.ТС (сталь) коммерция'!G10</f>
        <v>32656.6</v>
      </c>
      <c r="H30" s="174"/>
    </row>
    <row r="31" spans="1:8" x14ac:dyDescent="0.3">
      <c r="A31" s="86">
        <v>8</v>
      </c>
      <c r="B31" s="196" t="s">
        <v>480</v>
      </c>
      <c r="C31" s="86" t="s">
        <v>178</v>
      </c>
      <c r="D31" s="176">
        <f>'мат врем.ТС (сталь) коммерция'!D11</f>
        <v>6</v>
      </c>
      <c r="E31" s="181">
        <f>'мат врем.ТС (сталь) коммерция'!E11</f>
        <v>69.634277999999995</v>
      </c>
      <c r="F31" s="181">
        <f>'мат врем.ТС (сталь) коммерция'!F11</f>
        <v>417.81</v>
      </c>
      <c r="G31" s="181">
        <f>'мат врем.ТС (сталь) коммерция'!G11</f>
        <v>501.37</v>
      </c>
      <c r="H31" s="174"/>
    </row>
    <row r="32" spans="1:8" x14ac:dyDescent="0.3">
      <c r="A32" s="86">
        <v>9</v>
      </c>
      <c r="B32" s="197" t="s">
        <v>487</v>
      </c>
      <c r="C32" s="86" t="s">
        <v>182</v>
      </c>
      <c r="D32" s="176">
        <f>'мат врем.ТС (сталь) коммерция'!D12</f>
        <v>36</v>
      </c>
      <c r="E32" s="181">
        <f>'мат врем.ТС (сталь) коммерция'!E12</f>
        <v>3571.4801220000004</v>
      </c>
      <c r="F32" s="181">
        <f>'мат врем.ТС (сталь) коммерция'!F12</f>
        <v>128573.28</v>
      </c>
      <c r="G32" s="181">
        <f>'мат врем.ТС (сталь) коммерция'!G12</f>
        <v>154287.94</v>
      </c>
    </row>
    <row r="33" spans="1:8" x14ac:dyDescent="0.3">
      <c r="A33" s="86">
        <v>10</v>
      </c>
      <c r="B33" s="187" t="s">
        <v>481</v>
      </c>
      <c r="C33" s="86" t="s">
        <v>182</v>
      </c>
      <c r="D33" s="176">
        <f>'мат врем.ТС (сталь) коммерция'!D13</f>
        <v>60</v>
      </c>
      <c r="E33" s="181">
        <f>'мат врем.ТС (сталь) коммерция'!E13</f>
        <v>416.58472799999998</v>
      </c>
      <c r="F33" s="181">
        <f>'мат врем.ТС (сталь) коммерция'!F13</f>
        <v>24995.08</v>
      </c>
      <c r="G33" s="181">
        <f>'мат врем.ТС (сталь) коммерция'!G13</f>
        <v>29994.1</v>
      </c>
    </row>
    <row r="34" spans="1:8" x14ac:dyDescent="0.3">
      <c r="A34" s="86">
        <v>11</v>
      </c>
      <c r="B34" s="187" t="s">
        <v>482</v>
      </c>
      <c r="C34" s="86" t="s">
        <v>182</v>
      </c>
      <c r="D34" s="176">
        <f>'мат врем.ТС (сталь) коммерция'!D14</f>
        <v>48</v>
      </c>
      <c r="E34" s="181">
        <f>'мат врем.ТС (сталь) коммерция'!E14</f>
        <v>540.94425000000001</v>
      </c>
      <c r="F34" s="181">
        <f>'мат врем.ТС (сталь) коммерция'!F14</f>
        <v>25965.32</v>
      </c>
      <c r="G34" s="181">
        <f>'мат врем.ТС (сталь) коммерция'!G14</f>
        <v>31158.38</v>
      </c>
    </row>
    <row r="35" spans="1:8" x14ac:dyDescent="0.3">
      <c r="A35" s="86">
        <v>12</v>
      </c>
      <c r="B35" s="198" t="s">
        <v>483</v>
      </c>
      <c r="C35" s="172" t="s">
        <v>220</v>
      </c>
      <c r="D35" s="176">
        <f>'мат врем.ТС (сталь) коммерция'!D15</f>
        <v>60</v>
      </c>
      <c r="E35" s="181">
        <f>'мат врем.ТС (сталь) коммерция'!E15</f>
        <v>283.52940000000001</v>
      </c>
      <c r="F35" s="181">
        <f>'мат врем.ТС (сталь) коммерция'!F15</f>
        <v>17011.759999999998</v>
      </c>
      <c r="G35" s="181">
        <f>'мат врем.ТС (сталь) коммерция'!G15</f>
        <v>20414.11</v>
      </c>
      <c r="H35" s="169"/>
    </row>
    <row r="36" spans="1:8" x14ac:dyDescent="0.3">
      <c r="A36" s="86">
        <v>13</v>
      </c>
      <c r="B36" s="194" t="s">
        <v>498</v>
      </c>
      <c r="C36" s="182"/>
      <c r="D36" s="176">
        <f>'мат врем.ТС (сталь) коммерция'!D16</f>
        <v>1</v>
      </c>
      <c r="E36" s="181">
        <f>'мат врем.ТС (сталь) коммерция'!E16</f>
        <v>40698</v>
      </c>
      <c r="F36" s="181">
        <f>'мат врем.ТС (сталь) коммерция'!F16</f>
        <v>40698</v>
      </c>
      <c r="G36" s="181">
        <f>'мат врем.ТС (сталь) коммерция'!G16</f>
        <v>48837.599999999999</v>
      </c>
      <c r="H36" s="169"/>
    </row>
    <row r="37" spans="1:8" s="1" customFormat="1" x14ac:dyDescent="0.3">
      <c r="A37" s="78"/>
      <c r="B37" s="386" t="s">
        <v>265</v>
      </c>
      <c r="C37" s="387"/>
      <c r="D37" s="387"/>
      <c r="E37" s="388"/>
      <c r="F37" s="92">
        <f>SUM(F24:F36)</f>
        <v>1252226.2400000002</v>
      </c>
      <c r="G37" s="92">
        <f>SUM(G24:G36)</f>
        <v>1502671.5</v>
      </c>
    </row>
  </sheetData>
  <mergeCells count="10">
    <mergeCell ref="G1:G2"/>
    <mergeCell ref="A4:B4"/>
    <mergeCell ref="B15:E15"/>
    <mergeCell ref="B37:E37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12</vt:i4>
      </vt:variant>
    </vt:vector>
  </HeadingPairs>
  <TitlesOfParts>
    <vt:vector size="31" baseType="lpstr">
      <vt:lpstr>Лист1</vt:lpstr>
      <vt:lpstr>Лист2</vt:lpstr>
      <vt:lpstr>Свод</vt:lpstr>
      <vt:lpstr>СМР врем. ТС (сталь)</vt:lpstr>
      <vt:lpstr>мат врем.ТС (сталь)</vt:lpstr>
      <vt:lpstr>Свод коммерция</vt:lpstr>
      <vt:lpstr>СМР врем. ТС (сталь) коммерция</vt:lpstr>
      <vt:lpstr>мат врем.ТС (сталь) коммерция</vt:lpstr>
      <vt:lpstr>КП СМР+Мат</vt:lpstr>
      <vt:lpstr>КП+вопросы</vt:lpstr>
      <vt:lpstr>не учтено</vt:lpstr>
      <vt:lpstr>Смета Насти от 04.10.23</vt:lpstr>
      <vt:lpstr>ТС - ЛСР</vt:lpstr>
      <vt:lpstr>СМР 217 путь</vt:lpstr>
      <vt:lpstr>мат 217 путь</vt:lpstr>
      <vt:lpstr>СМР комм-ции 217 </vt:lpstr>
      <vt:lpstr>мат комм-ции 217</vt:lpstr>
      <vt:lpstr>СМР жд 8 цех</vt:lpstr>
      <vt:lpstr>мат 8 цех</vt:lpstr>
      <vt:lpstr>'Смета Насти от 04.10.23'!Заголовки_для_печати</vt:lpstr>
      <vt:lpstr>'ТС - ЛСР'!Заголовки_для_печати</vt:lpstr>
      <vt:lpstr>'КП СМР+Мат'!Область_печати</vt:lpstr>
      <vt:lpstr>'мат врем.ТС (сталь)'!Область_печати</vt:lpstr>
      <vt:lpstr>'мат врем.ТС (сталь) коммерция'!Область_печати</vt:lpstr>
      <vt:lpstr>'мат комм-ции 217'!Область_печати</vt:lpstr>
      <vt:lpstr>Свод!Область_печати</vt:lpstr>
      <vt:lpstr>'Свод коммерция'!Область_печати</vt:lpstr>
      <vt:lpstr>'СМР врем. ТС (сталь)'!Область_печати</vt:lpstr>
      <vt:lpstr>'СМР врем. ТС (сталь) коммерция'!Область_печати</vt:lpstr>
      <vt:lpstr>'СМР комм-ции 217 '!Область_печати</vt:lpstr>
      <vt:lpstr>'ТС - ЛСР'!Область_печати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Admin</cp:lastModifiedBy>
  <cp:lastPrinted>2023-10-03T08:19:37Z</cp:lastPrinted>
  <dcterms:created xsi:type="dcterms:W3CDTF">2023-03-21T11:58:40Z</dcterms:created>
  <dcterms:modified xsi:type="dcterms:W3CDTF">2023-10-11T10:59:38Z</dcterms:modified>
</cp:coreProperties>
</file>