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Временная теплосеть\"/>
    </mc:Choice>
  </mc:AlternateContent>
  <xr:revisionPtr revIDLastSave="0" documentId="13_ncr:1_{1E44B22F-A895-4535-9D58-D88B4E9804CC}" xr6:coauthVersionLast="47" xr6:coauthVersionMax="47" xr10:uidLastSave="{00000000-0000-0000-0000-000000000000}"/>
  <bookViews>
    <workbookView xWindow="28680" yWindow="-120" windowWidth="29040" windowHeight="15840" tabRatio="914" firstSheet="6" activeTab="6" xr2:uid="{00000000-000D-0000-FFFF-FFFF00000000}"/>
  </bookViews>
  <sheets>
    <sheet name="Лист1" sheetId="1" state="hidden" r:id="rId1"/>
    <sheet name="Лист2" sheetId="2" state="hidden" r:id="rId2"/>
    <sheet name="Свод" sheetId="13" state="hidden" r:id="rId3"/>
    <sheet name="СМР врем. ТС (сталь)" sheetId="8" state="hidden" r:id="rId4"/>
    <sheet name="мат врем.ТС (сталь)" sheetId="3" state="hidden" r:id="rId5"/>
    <sheet name="Свод коммерция" sheetId="18" state="hidden" r:id="rId6"/>
    <sheet name="СМР врем. ТС (сталь) коммерция" sheetId="16" r:id="rId7"/>
    <sheet name="мат врем.ТС (сталь) коммерция" sheetId="17" r:id="rId8"/>
    <sheet name="КП СМР+Мат" sheetId="19" state="hidden" r:id="rId9"/>
    <sheet name="КП+вопросы" sheetId="20" r:id="rId10"/>
    <sheet name="не учтено" sheetId="23" r:id="rId11"/>
    <sheet name="ТС - ЛСР" sheetId="22" r:id="rId12"/>
    <sheet name="СМР 217 путь" sheetId="9" state="hidden" r:id="rId13"/>
    <sheet name="мат 217 путь" sheetId="4" state="hidden" r:id="rId14"/>
    <sheet name="СМР комм-ции 217 " sheetId="14" state="hidden" r:id="rId15"/>
    <sheet name="мат комм-ции 217" sheetId="15" state="hidden" r:id="rId16"/>
    <sheet name="СМР жд 8 цех" sheetId="10" state="hidden" r:id="rId17"/>
    <sheet name="мат 8 цех" sheetId="5" state="hidden" r:id="rId18"/>
  </sheets>
  <definedNames>
    <definedName name="_xlnm.Print_Titles" localSheetId="11">'ТС - ЛСР'!$38:$38</definedName>
    <definedName name="_xlnm.Print_Area" localSheetId="8">'КП СМР+Мат'!$A$1:$G$15</definedName>
    <definedName name="_xlnm.Print_Area" localSheetId="4">'мат врем.ТС (сталь)'!$A$1:$G$17</definedName>
    <definedName name="_xlnm.Print_Area" localSheetId="7">'мат врем.ТС (сталь) коммерция'!$A$1:$G$18</definedName>
    <definedName name="_xlnm.Print_Area" localSheetId="15">'мат комм-ции 217'!$A$1:$G$109</definedName>
    <definedName name="_xlnm.Print_Area" localSheetId="2">Свод!$A$1:$H$4</definedName>
    <definedName name="_xlnm.Print_Area" localSheetId="5">'Свод коммерция'!$A$1:$H$4</definedName>
    <definedName name="_xlnm.Print_Area" localSheetId="3">'СМР врем. ТС (сталь)'!$A$1:$G$17</definedName>
    <definedName name="_xlnm.Print_Area" localSheetId="6">'СМР врем. ТС (сталь) коммерция'!$A$1:$G$15</definedName>
    <definedName name="_xlnm.Print_Area" localSheetId="14">'СМР комм-ции 217 '!$A$1:$G$253</definedName>
    <definedName name="_xlnm.Print_Area" localSheetId="11">'ТС - ЛСР'!$A$1:$N$243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7" l="1"/>
  <c r="G27" i="17"/>
  <c r="E28" i="20"/>
  <c r="E26" i="20"/>
  <c r="E27" i="20"/>
  <c r="E25" i="20"/>
  <c r="E24" i="20"/>
  <c r="E23" i="20"/>
  <c r="J23" i="23"/>
  <c r="J22" i="23"/>
  <c r="H12" i="17"/>
  <c r="I5" i="17"/>
  <c r="I6" i="17"/>
  <c r="I7" i="17"/>
  <c r="I8" i="17"/>
  <c r="I9" i="17"/>
  <c r="I10" i="17"/>
  <c r="I11" i="17"/>
  <c r="I12" i="17"/>
  <c r="I13" i="17"/>
  <c r="I14" i="17"/>
  <c r="I15" i="17"/>
  <c r="I16" i="17"/>
  <c r="H10" i="17"/>
  <c r="H8" i="17"/>
  <c r="H7" i="17"/>
  <c r="H6" i="17"/>
  <c r="H5" i="17"/>
  <c r="H4" i="17"/>
  <c r="I4" i="17" s="1"/>
  <c r="S76" i="22" l="1"/>
  <c r="K15" i="20"/>
  <c r="J20" i="20" l="1"/>
  <c r="J13" i="17"/>
  <c r="D6" i="20"/>
  <c r="D7" i="20"/>
  <c r="D8" i="20"/>
  <c r="D9" i="20"/>
  <c r="D10" i="20"/>
  <c r="D11" i="20"/>
  <c r="D12" i="20"/>
  <c r="D13" i="20"/>
  <c r="D14" i="20"/>
  <c r="D5" i="20"/>
  <c r="J14" i="19"/>
  <c r="H14" i="20" s="1"/>
  <c r="I14" i="20" s="1"/>
  <c r="C14" i="19" l="1"/>
  <c r="D6" i="19"/>
  <c r="E6" i="20" s="1"/>
  <c r="D7" i="19"/>
  <c r="E7" i="20" s="1"/>
  <c r="E33" i="20" s="1"/>
  <c r="D8" i="19"/>
  <c r="E8" i="20" s="1"/>
  <c r="E8" i="19"/>
  <c r="F8" i="20" s="1"/>
  <c r="D9" i="19"/>
  <c r="D10" i="19"/>
  <c r="E10" i="20" s="1"/>
  <c r="D11" i="19"/>
  <c r="E11" i="20" s="1"/>
  <c r="E11" i="19"/>
  <c r="F11" i="20" s="1"/>
  <c r="D12" i="19"/>
  <c r="E12" i="20" s="1"/>
  <c r="F12" i="19"/>
  <c r="D13" i="19"/>
  <c r="E13" i="19"/>
  <c r="F13" i="20" s="1"/>
  <c r="D14" i="19"/>
  <c r="E14" i="20" s="1"/>
  <c r="E14" i="19"/>
  <c r="F14" i="20" s="1"/>
  <c r="G14" i="20" s="1"/>
  <c r="J14" i="20" s="1"/>
  <c r="F14" i="19"/>
  <c r="D5" i="19"/>
  <c r="E5" i="20" s="1"/>
  <c r="E5" i="19"/>
  <c r="F5" i="20" s="1"/>
  <c r="G5" i="20" s="1"/>
  <c r="C6" i="19"/>
  <c r="C7" i="19"/>
  <c r="C8" i="19"/>
  <c r="C9" i="19"/>
  <c r="C10" i="19"/>
  <c r="C11" i="19"/>
  <c r="C12" i="19"/>
  <c r="C13" i="19"/>
  <c r="C5" i="19"/>
  <c r="D36" i="19"/>
  <c r="D25" i="19"/>
  <c r="E25" i="19"/>
  <c r="D26" i="19"/>
  <c r="D27" i="19"/>
  <c r="D28" i="19"/>
  <c r="D29" i="19"/>
  <c r="D30" i="19"/>
  <c r="D31" i="19"/>
  <c r="D32" i="19"/>
  <c r="D33" i="19"/>
  <c r="D34" i="19"/>
  <c r="D35" i="19"/>
  <c r="D24" i="19"/>
  <c r="E16" i="17"/>
  <c r="E36" i="19" s="1"/>
  <c r="E15" i="17"/>
  <c r="E35" i="19" s="1"/>
  <c r="E14" i="17"/>
  <c r="E34" i="19" s="1"/>
  <c r="E13" i="17"/>
  <c r="E33" i="19" s="1"/>
  <c r="E12" i="17"/>
  <c r="E32" i="19" s="1"/>
  <c r="E11" i="17"/>
  <c r="E31" i="19" s="1"/>
  <c r="E10" i="17"/>
  <c r="E30" i="19" s="1"/>
  <c r="E9" i="17"/>
  <c r="E29" i="19" s="1"/>
  <c r="E8" i="17"/>
  <c r="E28" i="19" s="1"/>
  <c r="E7" i="17"/>
  <c r="E27" i="19" s="1"/>
  <c r="E6" i="17"/>
  <c r="E26" i="19" s="1"/>
  <c r="E5" i="17"/>
  <c r="E4" i="17"/>
  <c r="E24" i="19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G12" i="16"/>
  <c r="G12" i="19" s="1"/>
  <c r="G13" i="16"/>
  <c r="G13" i="19" s="1"/>
  <c r="G14" i="16"/>
  <c r="G14" i="19" s="1"/>
  <c r="F14" i="16"/>
  <c r="F12" i="16"/>
  <c r="F13" i="16"/>
  <c r="F13" i="19" s="1"/>
  <c r="E14" i="16"/>
  <c r="E13" i="16"/>
  <c r="E12" i="16"/>
  <c r="E12" i="19" s="1"/>
  <c r="F12" i="20" s="1"/>
  <c r="E11" i="16"/>
  <c r="E10" i="16"/>
  <c r="F10" i="16" s="1"/>
  <c r="F10" i="19" s="1"/>
  <c r="E9" i="16"/>
  <c r="F9" i="16" s="1"/>
  <c r="F9" i="19" s="1"/>
  <c r="E8" i="16"/>
  <c r="E7" i="16"/>
  <c r="E7" i="19" s="1"/>
  <c r="F7" i="20" s="1"/>
  <c r="E6" i="16"/>
  <c r="E6" i="19" s="1"/>
  <c r="F6" i="20" s="1"/>
  <c r="E5" i="16"/>
  <c r="A6" i="16"/>
  <c r="A7" i="16" s="1"/>
  <c r="A8" i="16" s="1"/>
  <c r="A9" i="16" s="1"/>
  <c r="A10" i="16" s="1"/>
  <c r="A11" i="16" s="1"/>
  <c r="A12" i="16" s="1"/>
  <c r="A13" i="16" s="1"/>
  <c r="A14" i="16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F4" i="3"/>
  <c r="G4" i="3" s="1"/>
  <c r="F14" i="8"/>
  <c r="G14" i="8" s="1"/>
  <c r="F13" i="8"/>
  <c r="G13" i="8" s="1"/>
  <c r="F12" i="8"/>
  <c r="G12" i="8" s="1"/>
  <c r="F11" i="8"/>
  <c r="G11" i="8" s="1"/>
  <c r="F10" i="8"/>
  <c r="G10" i="8" s="1"/>
  <c r="F9" i="8"/>
  <c r="G9" i="8" s="1"/>
  <c r="F8" i="8"/>
  <c r="G8" i="8" s="1"/>
  <c r="F7" i="8"/>
  <c r="G7" i="8" s="1"/>
  <c r="F6" i="8"/>
  <c r="G6" i="8" s="1"/>
  <c r="A6" i="8"/>
  <c r="A7" i="8" s="1"/>
  <c r="A8" i="8" s="1"/>
  <c r="A9" i="8" s="1"/>
  <c r="A10" i="8" s="1"/>
  <c r="A11" i="8" s="1"/>
  <c r="A12" i="8" s="1"/>
  <c r="A13" i="8" s="1"/>
  <c r="A14" i="8" s="1"/>
  <c r="F5" i="8"/>
  <c r="G5" i="8" s="1"/>
  <c r="E10" i="19" l="1"/>
  <c r="F10" i="20" s="1"/>
  <c r="G10" i="20" s="1"/>
  <c r="E13" i="20"/>
  <c r="J13" i="19"/>
  <c r="H13" i="20" s="1"/>
  <c r="G7" i="20"/>
  <c r="F15" i="8"/>
  <c r="G11" i="20"/>
  <c r="E9" i="20"/>
  <c r="J9" i="19"/>
  <c r="H9" i="20" s="1"/>
  <c r="G6" i="20"/>
  <c r="G8" i="20"/>
  <c r="F15" i="17"/>
  <c r="E9" i="19"/>
  <c r="F9" i="20" s="1"/>
  <c r="G12" i="20"/>
  <c r="F16" i="17"/>
  <c r="F14" i="17"/>
  <c r="F13" i="17"/>
  <c r="F12" i="17"/>
  <c r="F11" i="17"/>
  <c r="F10" i="17"/>
  <c r="F9" i="17"/>
  <c r="F8" i="17"/>
  <c r="F7" i="17"/>
  <c r="F6" i="17"/>
  <c r="F5" i="17"/>
  <c r="F4" i="17"/>
  <c r="F11" i="16"/>
  <c r="G10" i="16"/>
  <c r="G10" i="19" s="1"/>
  <c r="G9" i="16"/>
  <c r="G9" i="19" s="1"/>
  <c r="F8" i="16"/>
  <c r="F7" i="16"/>
  <c r="F6" i="16"/>
  <c r="F5" i="16"/>
  <c r="G9" i="20" l="1"/>
  <c r="I9" i="20"/>
  <c r="G11" i="16"/>
  <c r="G11" i="19" s="1"/>
  <c r="F11" i="19"/>
  <c r="G10" i="17"/>
  <c r="G30" i="19" s="1"/>
  <c r="F30" i="19"/>
  <c r="G8" i="16"/>
  <c r="G8" i="19" s="1"/>
  <c r="F8" i="19"/>
  <c r="G4" i="17"/>
  <c r="G24" i="19" s="1"/>
  <c r="F24" i="19"/>
  <c r="G5" i="17"/>
  <c r="G25" i="19" s="1"/>
  <c r="F25" i="19"/>
  <c r="G6" i="16"/>
  <c r="G6" i="19" s="1"/>
  <c r="F6" i="19"/>
  <c r="G11" i="17"/>
  <c r="G31" i="19" s="1"/>
  <c r="F31" i="19"/>
  <c r="G13" i="17"/>
  <c r="G33" i="19" s="1"/>
  <c r="F33" i="19"/>
  <c r="G14" i="17"/>
  <c r="G34" i="19" s="1"/>
  <c r="F34" i="19"/>
  <c r="G16" i="17"/>
  <c r="G36" i="19" s="1"/>
  <c r="F36" i="19"/>
  <c r="G6" i="17"/>
  <c r="G26" i="19" s="1"/>
  <c r="F26" i="19"/>
  <c r="G7" i="16"/>
  <c r="G7" i="19" s="1"/>
  <c r="F7" i="19"/>
  <c r="G12" i="17"/>
  <c r="G32" i="19" s="1"/>
  <c r="F32" i="19"/>
  <c r="G7" i="17"/>
  <c r="G27" i="19" s="1"/>
  <c r="I10" i="19" s="1"/>
  <c r="J10" i="19" s="1"/>
  <c r="H10" i="20" s="1"/>
  <c r="I10" i="20" s="1"/>
  <c r="J10" i="20" s="1"/>
  <c r="F27" i="19"/>
  <c r="G13" i="20"/>
  <c r="I13" i="20"/>
  <c r="G8" i="17"/>
  <c r="G28" i="19" s="1"/>
  <c r="F28" i="19"/>
  <c r="F5" i="19"/>
  <c r="F15" i="16"/>
  <c r="G9" i="17"/>
  <c r="G29" i="19" s="1"/>
  <c r="F29" i="19"/>
  <c r="F35" i="19"/>
  <c r="G15" i="17"/>
  <c r="G35" i="19" s="1"/>
  <c r="I7" i="19" s="1"/>
  <c r="J7" i="19" s="1"/>
  <c r="H7" i="20" s="1"/>
  <c r="I7" i="20" s="1"/>
  <c r="J7" i="20" s="1"/>
  <c r="F18" i="17"/>
  <c r="D3" i="18" s="1"/>
  <c r="D4" i="18" s="1"/>
  <c r="C3" i="18"/>
  <c r="C4" i="18" s="1"/>
  <c r="G5" i="16"/>
  <c r="J13" i="20" l="1"/>
  <c r="J9" i="20"/>
  <c r="I12" i="19"/>
  <c r="J12" i="19" s="1"/>
  <c r="H12" i="20" s="1"/>
  <c r="I12" i="20" s="1"/>
  <c r="J12" i="20" s="1"/>
  <c r="I8" i="19"/>
  <c r="J8" i="19" s="1"/>
  <c r="H8" i="20" s="1"/>
  <c r="I8" i="20" s="1"/>
  <c r="J8" i="20" s="1"/>
  <c r="G18" i="17"/>
  <c r="G37" i="19"/>
  <c r="I5" i="19"/>
  <c r="J5" i="19" s="1"/>
  <c r="H5" i="20" s="1"/>
  <c r="I5" i="20" s="1"/>
  <c r="J5" i="20" s="1"/>
  <c r="I6" i="19"/>
  <c r="J6" i="19" s="1"/>
  <c r="H6" i="20" s="1"/>
  <c r="I6" i="20" s="1"/>
  <c r="J6" i="20" s="1"/>
  <c r="F15" i="19"/>
  <c r="F37" i="19"/>
  <c r="G15" i="16"/>
  <c r="F3" i="18" s="1"/>
  <c r="F4" i="18" s="1"/>
  <c r="G5" i="19"/>
  <c r="G15" i="19" s="1"/>
  <c r="I11" i="19"/>
  <c r="J11" i="19" s="1"/>
  <c r="H11" i="20" s="1"/>
  <c r="I11" i="20" s="1"/>
  <c r="J11" i="20" s="1"/>
  <c r="E3" i="18"/>
  <c r="E4" i="18" s="1"/>
  <c r="F250" i="14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G3" i="18" l="1"/>
  <c r="J26" i="17"/>
  <c r="J4" i="20"/>
  <c r="J15" i="20" s="1"/>
  <c r="F31" i="15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4" i="18" l="1"/>
  <c r="H3" i="18"/>
  <c r="H4" i="18" s="1"/>
  <c r="G248" i="14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G5" i="15"/>
  <c r="A20" i="15"/>
  <c r="A21" i="15" s="1"/>
  <c r="A22" i="15" s="1"/>
  <c r="A23" i="15" s="1"/>
  <c r="A24" i="15" s="1"/>
  <c r="A25" i="15" s="1"/>
  <c r="F109" i="15" l="1"/>
  <c r="G27" i="15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A160" i="14" l="1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56" i="10" l="1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G15" i="8" l="1"/>
  <c r="G17" i="8" s="1"/>
  <c r="F3" i="13" s="1"/>
  <c r="F17" i="8"/>
  <c r="C3" i="13" s="1"/>
  <c r="F17" i="3" l="1"/>
  <c r="D3" i="13" s="1"/>
  <c r="E3" i="13" s="1"/>
  <c r="G17" i="3" l="1"/>
  <c r="G3" i="13" s="1"/>
  <c r="H3" i="13" s="1"/>
  <c r="E4" i="13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F58" i="10" l="1"/>
  <c r="F59" i="10" s="1"/>
  <c r="D4" i="13" l="1"/>
  <c r="G4" i="13" l="1"/>
  <c r="G62" i="2" l="1"/>
  <c r="G61" i="2"/>
  <c r="D61" i="2"/>
  <c r="G82" i="2" l="1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 s="1"/>
  <c r="H68" i="1"/>
  <c r="H72" i="1"/>
  <c r="H73" i="1"/>
  <c r="H33" i="1"/>
  <c r="G33" i="1" s="1"/>
  <c r="H17" i="1"/>
  <c r="G17" i="1" s="1"/>
  <c r="G86" i="2" l="1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H87" i="2"/>
  <c r="F4" i="13" l="1"/>
  <c r="C4" i="13"/>
  <c r="H4" i="13" l="1"/>
</calcChain>
</file>

<file path=xl/sharedStrings.xml><?xml version="1.0" encoding="utf-8"?>
<sst xmlns="http://schemas.openxmlformats.org/spreadsheetml/2006/main" count="2362" uniqueCount="766">
  <si>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</si>
  <si>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</si>
  <si>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</si>
  <si>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</si>
  <si>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</si>
  <si>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</si>
  <si>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</si>
  <si>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</si>
  <si>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</si>
  <si>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</si>
  <si>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</si>
  <si>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</si>
  <si>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</si>
  <si>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</si>
  <si>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</si>
  <si>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</si>
  <si>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</si>
  <si>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</si>
  <si>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</si>
  <si>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</si>
  <si>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</si>
  <si>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</si>
  <si>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</si>
  <si>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</si>
  <si>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</si>
  <si>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</si>
  <si>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</si>
  <si>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</si>
  <si>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</si>
  <si>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</si>
  <si>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</si>
  <si>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</si>
  <si>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</si>
  <si>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</si>
  <si>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</si>
  <si>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</si>
  <si>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</si>
  <si>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</si>
  <si>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</si>
  <si>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</si>
  <si>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</si>
  <si>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</si>
  <si>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</si>
  <si>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</si>
  <si>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</si>
  <si>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</si>
  <si>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</si>
  <si>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</si>
  <si>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</si>
  <si>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</si>
  <si>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</si>
  <si>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</si>
  <si>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</si>
  <si>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</si>
  <si>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</si>
  <si>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</si>
  <si>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</si>
  <si>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</si>
  <si>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</si>
  <si>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</si>
  <si>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</si>
  <si>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</si>
  <si>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</si>
  <si>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</si>
  <si>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</si>
  <si>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</si>
  <si>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</si>
  <si>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</si>
  <si>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</si>
  <si>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</si>
  <si>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</si>
  <si>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</si>
  <si>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</si>
  <si>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</si>
  <si>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</si>
  <si>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</si>
  <si>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</si>
  <si>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</si>
  <si>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</si>
  <si>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</si>
  <si>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</si>
  <si>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</si>
  <si>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</si>
  <si>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</si>
  <si>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</si>
  <si>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</si>
  <si>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</si>
  <si>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</si>
  <si>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</si>
  <si>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</si>
  <si>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</si>
  <si>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</si>
  <si>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</si>
  <si>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</si>
  <si>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</si>
  <si>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</si>
  <si>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</si>
  <si>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</si>
  <si>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</si>
  <si>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</si>
  <si>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</si>
  <si>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</si>
  <si>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</si>
  <si>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</si>
  <si>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</si>
  <si>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</si>
  <si>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</si>
  <si>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</si>
  <si>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</si>
  <si>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</si>
  <si>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</si>
  <si>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</si>
  <si>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</si>
  <si>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</si>
  <si>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</si>
  <si>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</si>
  <si>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</si>
  <si>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</si>
  <si>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</si>
  <si>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</si>
  <si>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</si>
  <si>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</si>
  <si>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</si>
  <si>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</si>
  <si>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</si>
  <si>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</si>
  <si>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</si>
  <si>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</si>
  <si>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</si>
  <si>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</si>
  <si>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</si>
  <si>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</si>
  <si>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</si>
  <si>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</si>
  <si>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</si>
  <si>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</si>
  <si>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</si>
  <si>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</si>
  <si>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</si>
  <si>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</si>
  <si>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</si>
  <si>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</si>
  <si>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</si>
  <si>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</si>
  <si>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</si>
  <si>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</si>
  <si>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</si>
  <si>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</si>
  <si>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</si>
  <si>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</si>
  <si>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</si>
  <si>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</si>
  <si>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</si>
  <si>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</si>
  <si>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</si>
  <si>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</si>
  <si>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</si>
  <si>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</si>
  <si>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</si>
  <si>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</si>
  <si>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</si>
  <si>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</si>
  <si>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</si>
  <si>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</si>
  <si>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</si>
  <si>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</si>
  <si>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</si>
  <si>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</si>
  <si>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</si>
  <si>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</si>
  <si>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</si>
  <si>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</si>
  <si>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</si>
  <si>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</si>
  <si>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</si>
  <si>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</si>
  <si>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</si>
  <si>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</si>
  <si>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</si>
  <si>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</si>
  <si>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</si>
  <si>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</si>
  <si>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</si>
  <si>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</si>
  <si>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</si>
  <si>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</si>
  <si>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</si>
  <si>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</si>
  <si>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</si>
  <si>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</si>
  <si>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</si>
  <si>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</si>
  <si>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</si>
  <si>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</si>
  <si>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</si>
  <si>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</si>
  <si>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</si>
  <si>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</si>
  <si>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</si>
  <si>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</si>
  <si>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</si>
  <si>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</si>
  <si>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</si>
  <si>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</si>
  <si>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</si>
  <si>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</si>
  <si>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</si>
  <si>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</si>
  <si>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</si>
  <si>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</si>
  <si>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</si>
  <si>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</si>
  <si>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</si>
  <si>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</si>
  <si>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</si>
  <si>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</si>
  <si>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</si>
  <si>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</si>
  <si>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т</t>
  </si>
  <si>
    <t>кг</t>
  </si>
  <si>
    <t>л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</si>
  <si>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</si>
  <si>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</si>
  <si>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</si>
  <si>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</si>
  <si>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</si>
  <si>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</si>
  <si>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</si>
  <si>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</si>
  <si>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</si>
  <si>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</si>
  <si>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</si>
  <si>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</si>
  <si>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</si>
  <si>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</si>
  <si>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</si>
  <si>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</si>
  <si>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</si>
  <si>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</si>
  <si>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</si>
  <si>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</si>
  <si>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</si>
  <si>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</si>
  <si>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</si>
  <si>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</si>
  <si>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</si>
  <si>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</si>
  <si>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Земляные работы</t>
  </si>
  <si>
    <t>Обратная засыпка грунта бульдозером (95%)</t>
  </si>
  <si>
    <t>Обратная засыпка грунта вручную (5%)</t>
  </si>
  <si>
    <t>Устройство песчаного основания h=0,1м под трубы вручную</t>
  </si>
  <si>
    <t>Прокладка трубопровода</t>
  </si>
  <si>
    <t>10</t>
  </si>
  <si>
    <t>Монтаж трубы ПНД-110 SN12 в траншее на глубине 1 м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</si>
  <si>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</si>
  <si>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</si>
  <si>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</si>
  <si>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</si>
  <si>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</si>
  <si>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</si>
  <si>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</si>
  <si>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</si>
  <si>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</si>
  <si>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</si>
  <si>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</si>
  <si>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</si>
  <si>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</si>
  <si>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</si>
  <si>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</si>
  <si>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</si>
  <si>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</si>
  <si>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</si>
  <si>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</si>
  <si>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</si>
  <si>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</si>
  <si>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</si>
  <si>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</si>
  <si>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</si>
  <si>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</si>
  <si>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</si>
  <si>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</si>
  <si>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</si>
  <si>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</si>
  <si>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</si>
  <si>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</si>
  <si>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</si>
  <si>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</si>
  <si>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</si>
  <si>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</si>
  <si>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</si>
  <si>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</si>
  <si>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</si>
  <si>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</si>
  <si>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</si>
  <si>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</si>
  <si>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</si>
  <si>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</si>
  <si>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</si>
  <si>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</si>
  <si>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</si>
  <si>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</si>
  <si>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</si>
  <si>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</si>
  <si>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</si>
  <si>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</si>
  <si>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</si>
  <si>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</si>
  <si>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</si>
  <si>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</si>
  <si>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</si>
  <si>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</si>
  <si>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</si>
  <si>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</si>
  <si>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</si>
  <si>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</si>
  <si>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</si>
  <si>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</si>
  <si>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</si>
  <si>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</si>
  <si>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</si>
  <si>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</si>
  <si>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</si>
  <si>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</si>
  <si>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</si>
  <si>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</si>
  <si>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</si>
  <si>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</si>
  <si>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</si>
  <si>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</si>
  <si>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</si>
  <si>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</si>
  <si>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</si>
  <si>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</si>
  <si>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</si>
  <si>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</si>
  <si>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</si>
  <si>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</si>
  <si>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</si>
  <si>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</si>
  <si>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</si>
  <si>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</si>
  <si>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</si>
  <si>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</si>
  <si>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</si>
  <si>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</si>
  <si>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</si>
  <si>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</si>
  <si>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</si>
  <si>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</si>
  <si>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</si>
  <si>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</si>
  <si>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</si>
  <si>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</si>
  <si>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</si>
  <si>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</si>
  <si>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</si>
  <si>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</si>
  <si>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</si>
  <si>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</si>
  <si>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</si>
  <si>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</si>
  <si>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</si>
  <si>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</si>
  <si>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</si>
  <si>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</si>
  <si>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</si>
  <si>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</si>
  <si>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</si>
  <si>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</si>
  <si>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</si>
  <si>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</si>
  <si>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</si>
  <si>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</si>
  <si>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</si>
  <si>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</si>
  <si>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</si>
  <si>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</si>
  <si>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</si>
  <si>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</si>
  <si>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</si>
  <si>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</si>
  <si>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</si>
  <si>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</si>
  <si>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</si>
  <si>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</si>
  <si>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</si>
  <si>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</si>
  <si>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</si>
  <si>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</si>
  <si>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</si>
  <si>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</si>
  <si>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</si>
  <si>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</si>
  <si>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</si>
  <si>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</si>
  <si>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</si>
  <si>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</si>
  <si>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</si>
  <si>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</si>
  <si>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</si>
  <si>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</si>
  <si>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</si>
  <si>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</si>
  <si>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</si>
  <si>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</si>
  <si>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</si>
  <si>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</si>
  <si>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</si>
  <si>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</si>
  <si>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</si>
  <si>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</si>
  <si>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</si>
  <si>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</si>
  <si>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</si>
  <si>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</si>
  <si>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</si>
  <si>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</si>
  <si>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</si>
  <si>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</si>
  <si>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</si>
  <si>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</si>
  <si>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</si>
  <si>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</si>
  <si>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</si>
  <si>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</si>
  <si>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</si>
  <si>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</si>
  <si>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</si>
  <si>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</si>
  <si>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</si>
  <si>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</si>
  <si>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</si>
  <si>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</si>
  <si>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</si>
  <si>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</si>
  <si>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</si>
  <si>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</si>
  <si>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</si>
  <si>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</si>
  <si>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</si>
  <si>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</si>
  <si>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</si>
  <si>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</si>
  <si>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</si>
  <si>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</si>
  <si>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</si>
  <si>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</si>
  <si>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</si>
  <si>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</si>
  <si>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</si>
  <si>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</si>
  <si>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</si>
  <si>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</si>
  <si>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</si>
  <si>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</si>
  <si>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</si>
  <si>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</si>
  <si>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</si>
  <si>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</si>
  <si>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</si>
  <si>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</si>
  <si>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</si>
  <si>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</si>
  <si>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</si>
  <si>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</si>
  <si>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</si>
  <si>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ТС временная сеть</t>
  </si>
  <si>
    <t>Прокладка временного участка теплосети Т1, Т2</t>
  </si>
  <si>
    <t>Укладка блоков ФБС 8-5-6т</t>
  </si>
  <si>
    <t xml:space="preserve">шт. </t>
  </si>
  <si>
    <t>Установка крана поворотно-спускного Ф20мм</t>
  </si>
  <si>
    <t>м3/ шт.</t>
  </si>
  <si>
    <t>1,512/ 14</t>
  </si>
  <si>
    <t>Врезка в существующую магистраль</t>
  </si>
  <si>
    <t xml:space="preserve">Блок ФБС 8-5-6т </t>
  </si>
  <si>
    <t>Теплоизоляция  URSA GEO M-11Ф (1,8*1,2*0,05)</t>
  </si>
  <si>
    <t>Теплоизоляция труб URSA GEO M-11Ф (1,8*1,2*0,05)</t>
  </si>
  <si>
    <t>Кран поворотно-спускной Ф20мм</t>
  </si>
  <si>
    <t>Кран поворотно-спускной Ф40мм</t>
  </si>
  <si>
    <t>Резьба стальная Ф20мм</t>
  </si>
  <si>
    <t>Резьба стальная Ф40мм</t>
  </si>
  <si>
    <t>Уголок металлический 50х50х5</t>
  </si>
  <si>
    <t>Швеллер 100х50х3</t>
  </si>
  <si>
    <t>Эмаль ПФ-115</t>
  </si>
  <si>
    <t>Устройство антикоррозийной защиты</t>
  </si>
  <si>
    <t>Трубы стальные Ф159мм</t>
  </si>
  <si>
    <t>Отвод 90 гр. Ф159мм</t>
  </si>
  <si>
    <t>Труба стальная Ф219х6мм</t>
  </si>
  <si>
    <t>Наценка, %</t>
  </si>
  <si>
    <t>Непредвиденные,  %</t>
  </si>
  <si>
    <t>Устройство опор  (h) 3м с изготовлением</t>
  </si>
  <si>
    <t>Укладка трубопроводов стальных из труб Ф159 мм  по блокам ФБС и опорам на высоте 3м, установка отводов стальных Ф159мм, изготовление монтажных узлов</t>
  </si>
  <si>
    <t>Визуальный и измерительный контроль сварных соединений, ультразвуковая дефектоскопия трубопровода Ф159мм</t>
  </si>
  <si>
    <t>стык</t>
  </si>
  <si>
    <t>Установка крана поворотно-спускного Ф40мм</t>
  </si>
  <si>
    <t>Очистка полости трубопровода продувкой воздухом, пневматические испытания трубопровода</t>
  </si>
  <si>
    <t>узел/ м</t>
  </si>
  <si>
    <t>1/ 480</t>
  </si>
  <si>
    <t>Расходные материалы</t>
  </si>
  <si>
    <t>комп.</t>
  </si>
  <si>
    <t>Итого материалов с НДС</t>
  </si>
  <si>
    <t>Наименовение</t>
  </si>
  <si>
    <t>Стоимость работ, руб с НДС 20%</t>
  </si>
  <si>
    <t>Стоимость материалов, руб с НДС 20%</t>
  </si>
  <si>
    <t>Итого, руб с НДС 20%</t>
  </si>
  <si>
    <t>за ед.</t>
  </si>
  <si>
    <t>итого</t>
  </si>
  <si>
    <t>за ед</t>
  </si>
  <si>
    <t>Итого всего с НДС 20%</t>
  </si>
  <si>
    <t>Стоимость материалов за ед. для КП</t>
  </si>
  <si>
    <t>смета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</si>
  <si>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</si>
  <si>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</si>
  <si>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</si>
  <si>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</si>
  <si>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</si>
  <si>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</si>
  <si>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</si>
  <si>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</si>
  <si>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</si>
  <si>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</si>
  <si>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</si>
  <si>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</si>
  <si>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</si>
  <si>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</si>
  <si>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</si>
  <si>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</si>
  <si>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</si>
  <si>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</si>
  <si>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Теплоснабжение. Переустройство трубопровода.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</si>
  <si>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</si>
  <si>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</si>
  <si>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</si>
  <si>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</si>
  <si>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</si>
  <si>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</si>
  <si>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</si>
  <si>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2 квартал 2023г. </t>
  </si>
  <si>
    <t>1 квартал 2023г.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</si>
  <si>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</si>
  <si>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</si>
  <si>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</si>
  <si>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</si>
  <si>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</si>
  <si>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</si>
  <si>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</si>
  <si>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</si>
  <si>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</si>
  <si>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</si>
  <si>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</si>
  <si>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</si>
  <si>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</si>
  <si>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</si>
  <si>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</si>
  <si>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</si>
  <si>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</si>
  <si>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</si>
  <si>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</si>
  <si>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</si>
  <si>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</si>
  <si>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</si>
  <si>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</si>
  <si>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ФЕР07-01-001-02</t>
  </si>
  <si>
    <t>Укладка блоков и плит ленточных фундаментов при глубине котлована до 4 м, масса конструкций: до 1,5 т</t>
  </si>
  <si>
    <t>100 шт</t>
  </si>
  <si>
    <t>Объем=22 / 100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</si>
  <si>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</si>
  <si>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</si>
  <si>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</si>
  <si>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</si>
  <si>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</si>
  <si>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</si>
  <si>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</si>
  <si>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</si>
  <si>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</si>
  <si>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п.7</t>
  </si>
  <si>
    <t>НР Бетонные и железобетонные сборные конструкции и работы в строительстве</t>
  </si>
  <si>
    <t>%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</si>
  <si>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</si>
  <si>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</si>
  <si>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Всего по позиции</t>
  </si>
  <si>
    <t>Цена поставщика</t>
  </si>
  <si>
    <t>Блок ФБС 8-5-6т</t>
  </si>
  <si>
    <t>(Материалы для строительных работ)</t>
  </si>
  <si>
    <t>Цена=3133,75/8,16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</si>
  <si>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</si>
  <si>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</si>
  <si>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</si>
  <si>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</si>
  <si>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</si>
  <si>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</si>
  <si>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Объем=480/1000</t>
  </si>
  <si>
    <t>4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</si>
  <si>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</si>
  <si>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</si>
  <si>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</si>
  <si>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</si>
  <si>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</si>
  <si>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</si>
  <si>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</si>
  <si>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</si>
  <si>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</si>
  <si>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ФЕР13-03-004-26</t>
  </si>
  <si>
    <t>Окраска металлических огрунтованных поверхностей: эмалью ПФ-115</t>
  </si>
  <si>
    <t>100 м2</t>
  </si>
  <si>
    <t>Объем=40,81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</si>
  <si>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</si>
  <si>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</si>
  <si>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</si>
  <si>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</si>
  <si>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</si>
  <si>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</si>
  <si>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</si>
  <si>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</si>
  <si>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</si>
  <si>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</si>
  <si>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</si>
  <si>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</si>
  <si>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Цена=6759,94/1,2/8,16</t>
  </si>
  <si>
    <t>9</t>
  </si>
  <si>
    <t>ФЕР24-01-032-01</t>
  </si>
  <si>
    <t>Установка задвижек или клапанов стальных для горячей воды и пара диаметром: 50 мм/применит. 20 мм.</t>
  </si>
  <si>
    <t>компл</t>
  </si>
  <si>
    <t>ФССЦ-18.1.09.07-0068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</si>
  <si>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20 мм</t>
  </si>
  <si>
    <t>11</t>
  </si>
  <si>
    <t>Установка задвижек или клапанов стальных для горячей воды и пара диаметром: 50 мм/применит. 40 мм.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</si>
  <si>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</si>
  <si>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</si>
  <si>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13</t>
  </si>
  <si>
    <t>ФЕР29-01-253-03</t>
  </si>
  <si>
    <t>Установка гильз из стальных труб диаметром: 200 мм / прим. 219х6,0</t>
  </si>
  <si>
    <t>10 шт</t>
  </si>
  <si>
    <t>Объем=1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</si>
  <si>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</si>
  <si>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</si>
  <si>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</si>
  <si>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</si>
  <si>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14</t>
  </si>
  <si>
    <t>ФССЦ-23.5.02.02-0088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</si>
  <si>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6 мм</t>
  </si>
  <si>
    <t>ФЕРм12-11-005-06</t>
  </si>
  <si>
    <t>Врезка трубопровода номинальным давлением 2,5 МПа в действующие магистрали, диаметр наружный врезаемой трубы: 159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</si>
  <si>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</si>
  <si>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</si>
  <si>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</si>
  <si>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</si>
  <si>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16</t>
  </si>
  <si>
    <t>ФЕР16-07-005-03</t>
  </si>
  <si>
    <t>Гидравлическое испытание трубопроводов систем отопления, водопровода и горячего водоснабжения диаметром: до 200 мм</t>
  </si>
  <si>
    <t>100 м</t>
  </si>
  <si>
    <t>Объем=480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</si>
  <si>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</si>
  <si>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</si>
  <si>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</si>
  <si>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</si>
  <si>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17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</si>
  <si>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</si>
  <si>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</si>
  <si>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</si>
  <si>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</si>
  <si>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</si>
  <si>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</si>
  <si>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18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</si>
  <si>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</si>
  <si>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</si>
  <si>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</si>
  <si>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</si>
  <si>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</si>
  <si>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</si>
  <si>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</si>
  <si>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</si>
  <si>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</si>
  <si>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</si>
  <si>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</si>
  <si>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</si>
  <si>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</si>
  <si>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</si>
  <si>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</si>
  <si>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</si>
  <si>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</si>
  <si>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</si>
  <si>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</si>
  <si>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</si>
  <si>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</si>
  <si>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</si>
  <si>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</si>
  <si>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</si>
  <si>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</si>
  <si>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</si>
  <si>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</si>
  <si>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</si>
  <si>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</si>
  <si>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</si>
  <si>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</si>
  <si>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</si>
  <si>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работа по установке опор+материалы учтены в расценке.</t>
  </si>
  <si>
    <t>без ЗУ и ВЗиС</t>
  </si>
  <si>
    <t>ЛОКАЛЬНЫЙ СМЕТНЫЙ РАСЧЕТ (СМЕТА) № 1</t>
  </si>
  <si>
    <t>В ФЕР сборника 24 раздела 1 на прокладку трубопроводов учтены затраты на продувку, трехкратную промывку и гидравлическое испытание.</t>
  </si>
  <si>
    <t>(313,87)</t>
  </si>
  <si>
    <t>(258,1)</t>
  </si>
  <si>
    <t>(6,93)</t>
  </si>
  <si>
    <t>(3,46)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</si>
  <si>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</si>
  <si>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</si>
  <si>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 xml:space="preserve"> Прокладка временного участка теплосети Т1, Т2</t>
  </si>
  <si>
    <t>сделать по цене поставщика</t>
  </si>
  <si>
    <t>по смете ед</t>
  </si>
  <si>
    <t>разница за ед</t>
  </si>
  <si>
    <t>это не гильзы а опоры высотой 3м, уголки и швеллера это изготовление ферм по которым идут трубы над 3-мя проездами</t>
  </si>
  <si>
    <t>Устройство мертвых опор</t>
  </si>
  <si>
    <t>Устройство скользящих опор</t>
  </si>
  <si>
    <t>Изоляция, защита изоляции минваты</t>
  </si>
  <si>
    <t>Работа на высоте</t>
  </si>
  <si>
    <t>Устройство 3х компенсаторов</t>
  </si>
  <si>
    <t>Задвижки д150</t>
  </si>
  <si>
    <t>Футляры 1+1</t>
  </si>
  <si>
    <t>Устройство стоек, бетонирование стоек</t>
  </si>
  <si>
    <t>Устройство балки из швеллера</t>
  </si>
  <si>
    <t>Не учтено Палыч</t>
  </si>
  <si>
    <t>есть в расценке</t>
  </si>
  <si>
    <t>в местах врезки 4шт</t>
  </si>
  <si>
    <t>Огрунтовка перед покраской</t>
  </si>
  <si>
    <t>изготовление</t>
  </si>
  <si>
    <t>Труба 219 изменится объем, добавится на фундамент (36+1,8х12)=57,6м</t>
  </si>
  <si>
    <t xml:space="preserve">Бетонирование фундаментов под стойки с армированием))), 12шт (0,4х0,4х1,8м), </t>
  </si>
  <si>
    <t>Установка 3х компенсаторов с материалом</t>
  </si>
  <si>
    <t>Огрунтовка, если ее нет в расценках</t>
  </si>
  <si>
    <t>Разработка грунта под опоры, объем фундаментов ниже (или бурение, что дороже), вывоз грунта</t>
  </si>
  <si>
    <t>Работа на высоте (более 3м) если не учтен коэфф.</t>
  </si>
  <si>
    <t>Изготовление МК (стойки, фермы)</t>
  </si>
  <si>
    <t>* материал весь тот-же, добавится 3 компенсатора, бетон в22,5 3,5м3 и труба 219 станет 57,6м</t>
  </si>
  <si>
    <t>не учтено</t>
  </si>
  <si>
    <t>Обратная засыпка-чем, грунтом или песком?</t>
  </si>
  <si>
    <t>арматура-какая, марка-?</t>
  </si>
  <si>
    <t>В 22,5</t>
  </si>
  <si>
    <t>компенсаторы-какие именно,тип?</t>
  </si>
  <si>
    <t>Огрунтовка м/к ГФ-021</t>
  </si>
  <si>
    <t>в расценках учтено, при надземной укадке - при высоте до 8 м.</t>
  </si>
  <si>
    <t>а демонтаж временной ТС тоже нужен будет?</t>
  </si>
  <si>
    <t>Бурение ям глубиной до 2 м бурильно-крановыми машинами: на автомобиле, группа грунтов 2</t>
  </si>
  <si>
    <t>или</t>
  </si>
  <si>
    <t>12 ?</t>
  </si>
  <si>
    <r>
      <t xml:space="preserve">Бетонирование фундаментов под стойки с </t>
    </r>
    <r>
      <rPr>
        <u/>
        <sz val="10"/>
        <rFont val="Times New Roman"/>
        <family val="1"/>
        <charset val="204"/>
      </rPr>
      <t>армированием</t>
    </r>
    <r>
      <rPr>
        <sz val="10"/>
        <rFont val="Times New Roman"/>
        <family val="1"/>
        <charset val="204"/>
      </rPr>
      <t xml:space="preserve"> - а блоки ФБС-это не фундаменты?</t>
    </r>
  </si>
  <si>
    <t xml:space="preserve">что за футляры? </t>
  </si>
  <si>
    <t>Разработка грунта под опоры-механизировано, объем?</t>
  </si>
  <si>
    <t>Доработка грунта под опоры-вручную, объем?</t>
  </si>
  <si>
    <t>Вывоз грунта-объем, на сколько 30 км?</t>
  </si>
  <si>
    <t>Установка сальниковых компенсаторов на стальных трубопроводах диаметром:</t>
  </si>
  <si>
    <t xml:space="preserve">Установка П-образных компенсаторов  </t>
  </si>
  <si>
    <t xml:space="preserve">Установка сильфонных компенсаторов с несъемным кожухом  </t>
  </si>
  <si>
    <t>Установка 3х компенсаторов, каких?диаметр?</t>
  </si>
  <si>
    <t>гтдроизоляция фундаментов битумом-будет?</t>
  </si>
  <si>
    <t>Изготовление МК -что это, переход? Или опоры?</t>
  </si>
  <si>
    <t>опоры сидят в расценке</t>
  </si>
  <si>
    <t>10%</t>
  </si>
  <si>
    <t>1,2х1,2х1,8 - 12шт</t>
  </si>
  <si>
    <t>с разрыхлением, у нас ближайший полигон 41км</t>
  </si>
  <si>
    <t>давай песком</t>
  </si>
  <si>
    <t>12мм</t>
  </si>
  <si>
    <t>варим ферму</t>
  </si>
  <si>
    <t>отменяем</t>
  </si>
  <si>
    <t>да будем</t>
  </si>
  <si>
    <t>нет</t>
  </si>
  <si>
    <t>сверху 40см фунд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</si>
</sst>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_-* #,##0.000_-;\-* #,##0.000_-;_-* &quot;-&quot;??_-;_-@_-"/>
    <numFmt numFmtId="172" formatCode="0.000000"/>
    <numFmt numFmtId="173" formatCode="0.00000"/>
    <numFmt numFmtId="174" formatCode="0.0000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18" fillId="0" borderId="0"/>
  </cellStyleXfs>
  <cellXfs count="47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wrapText="1"/>
    </xf>
    <xf numFmtId="9" fontId="0" fillId="0" borderId="0" xfId="2" applyFont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0" fillId="7" borderId="1" xfId="1" applyNumberFormat="1" applyFont="1" applyFill="1" applyBorder="1" applyAlignment="1">
      <alignment horizontal="center"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3" fontId="12" fillId="8" borderId="1" xfId="0" applyNumberFormat="1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0" borderId="1" xfId="0" applyFont="1" applyBorder="1"/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0" xfId="0" applyFont="1"/>
    <xf numFmtId="0" fontId="11" fillId="7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1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43" fontId="10" fillId="11" borderId="1" xfId="1" applyFont="1" applyFill="1" applyBorder="1" applyAlignment="1">
      <alignment vertical="center"/>
    </xf>
    <xf numFmtId="43" fontId="11" fillId="11" borderId="1" xfId="1" applyFont="1" applyFill="1" applyBorder="1"/>
    <xf numFmtId="43" fontId="10" fillId="11" borderId="1" xfId="1" applyFont="1" applyFill="1" applyBorder="1" applyAlignment="1">
      <alignment horizontal="right" vertical="center"/>
    </xf>
    <xf numFmtId="43" fontId="11" fillId="11" borderId="1" xfId="1" applyFont="1" applyFill="1" applyBorder="1" applyAlignment="1">
      <alignment horizontal="center" vertical="center"/>
    </xf>
    <xf numFmtId="43" fontId="10" fillId="10" borderId="1" xfId="1" applyFont="1" applyFill="1" applyBorder="1" applyAlignment="1">
      <alignment vertical="center"/>
    </xf>
    <xf numFmtId="43" fontId="10" fillId="10" borderId="1" xfId="1" applyFont="1" applyFill="1" applyBorder="1" applyAlignment="1">
      <alignment horizontal="right" vertical="center"/>
    </xf>
    <xf numFmtId="43" fontId="11" fillId="10" borderId="1" xfId="1" applyFont="1" applyFill="1" applyBorder="1" applyAlignment="1">
      <alignment horizontal="center" vertical="center"/>
    </xf>
    <xf numFmtId="43" fontId="11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1" fontId="10" fillId="7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5" fontId="10" fillId="7" borderId="1" xfId="1" applyNumberFormat="1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43" fontId="10" fillId="7" borderId="1" xfId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5" fontId="10" fillId="0" borderId="8" xfId="1" applyNumberFormat="1" applyFont="1" applyBorder="1" applyAlignment="1">
      <alignment horizontal="center" vertical="center"/>
    </xf>
    <xf numFmtId="43" fontId="10" fillId="7" borderId="4" xfId="1" applyFont="1" applyFill="1" applyBorder="1" applyAlignment="1">
      <alignment vertical="center"/>
    </xf>
    <xf numFmtId="10" fontId="0" fillId="0" borderId="0" xfId="0" applyNumberFormat="1"/>
    <xf numFmtId="0" fontId="10" fillId="4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 shrinkToFit="1"/>
    </xf>
    <xf numFmtId="4" fontId="16" fillId="0" borderId="0" xfId="0" applyNumberFormat="1" applyFont="1"/>
    <xf numFmtId="0" fontId="16" fillId="0" borderId="0" xfId="0" applyFont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4" fontId="17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164" fontId="2" fillId="0" borderId="0" xfId="0" applyNumberFormat="1" applyFont="1"/>
    <xf numFmtId="0" fontId="18" fillId="0" borderId="0" xfId="5"/>
    <xf numFmtId="0" fontId="19" fillId="0" borderId="0" xfId="5" applyFont="1" applyAlignment="1">
      <alignment horizontal="right"/>
    </xf>
    <xf numFmtId="49" fontId="19" fillId="0" borderId="0" xfId="5" applyNumberFormat="1" applyFont="1"/>
    <xf numFmtId="49" fontId="19" fillId="0" borderId="0" xfId="5" applyNumberFormat="1" applyFont="1" applyAlignment="1">
      <alignment horizontal="right"/>
    </xf>
    <xf numFmtId="0" fontId="19" fillId="0" borderId="0" xfId="5" applyFont="1"/>
    <xf numFmtId="49" fontId="19" fillId="0" borderId="0" xfId="5" applyNumberFormat="1" applyFont="1" applyAlignment="1">
      <alignment vertical="top"/>
    </xf>
    <xf numFmtId="49" fontId="19" fillId="0" borderId="0" xfId="5" applyNumberFormat="1" applyFont="1" applyAlignment="1">
      <alignment wrapText="1"/>
    </xf>
    <xf numFmtId="0" fontId="19" fillId="0" borderId="0" xfId="5" applyFont="1" applyAlignment="1">
      <alignment wrapText="1"/>
    </xf>
    <xf numFmtId="49" fontId="20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horizontal="left" vertical="top"/>
    </xf>
    <xf numFmtId="49" fontId="19" fillId="0" borderId="0" xfId="5" applyNumberFormat="1" applyFont="1" applyAlignment="1">
      <alignment horizontal="left"/>
    </xf>
    <xf numFmtId="49" fontId="21" fillId="0" borderId="0" xfId="5" applyNumberFormat="1" applyFont="1" applyAlignment="1">
      <alignment horizontal="center" vertical="top"/>
    </xf>
    <xf numFmtId="49" fontId="22" fillId="0" borderId="0" xfId="5" applyNumberFormat="1" applyFont="1" applyAlignment="1">
      <alignment horizontal="center"/>
    </xf>
    <xf numFmtId="49" fontId="23" fillId="0" borderId="11" xfId="5" applyNumberFormat="1" applyFont="1" applyBorder="1" applyAlignment="1">
      <alignment horizontal="center"/>
    </xf>
    <xf numFmtId="49" fontId="23" fillId="0" borderId="0" xfId="5" applyNumberFormat="1" applyFont="1"/>
    <xf numFmtId="49" fontId="21" fillId="0" borderId="0" xfId="5" applyNumberFormat="1" applyFont="1"/>
    <xf numFmtId="49" fontId="23" fillId="0" borderId="0" xfId="5" applyNumberFormat="1" applyFont="1" applyAlignment="1">
      <alignment horizontal="right" vertical="top"/>
    </xf>
    <xf numFmtId="49" fontId="21" fillId="0" borderId="0" xfId="5" applyNumberFormat="1" applyFont="1" applyAlignment="1">
      <alignment horizontal="center"/>
    </xf>
    <xf numFmtId="49" fontId="24" fillId="0" borderId="0" xfId="5" applyNumberFormat="1" applyFont="1" applyAlignment="1">
      <alignment horizontal="left"/>
    </xf>
    <xf numFmtId="49" fontId="19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4" fontId="19" fillId="0" borderId="11" xfId="5" applyNumberFormat="1" applyFont="1" applyBorder="1"/>
    <xf numFmtId="49" fontId="23" fillId="0" borderId="11" xfId="5" applyNumberFormat="1" applyFont="1" applyBorder="1" applyAlignment="1">
      <alignment horizontal="right"/>
    </xf>
    <xf numFmtId="0" fontId="19" fillId="0" borderId="0" xfId="5" applyFont="1" applyAlignment="1">
      <alignment horizontal="left"/>
    </xf>
    <xf numFmtId="0" fontId="19" fillId="0" borderId="0" xfId="5" applyFont="1" applyAlignment="1">
      <alignment vertical="center" wrapText="1"/>
    </xf>
    <xf numFmtId="0" fontId="21" fillId="0" borderId="0" xfId="5" applyFont="1"/>
    <xf numFmtId="4" fontId="19" fillId="0" borderId="0" xfId="5" applyNumberFormat="1" applyFont="1"/>
    <xf numFmtId="49" fontId="23" fillId="0" borderId="0" xfId="5" applyNumberFormat="1" applyFont="1" applyAlignment="1">
      <alignment horizontal="right"/>
    </xf>
    <xf numFmtId="0" fontId="24" fillId="0" borderId="0" xfId="5" applyFont="1"/>
    <xf numFmtId="49" fontId="19" fillId="0" borderId="11" xfId="5" applyNumberFormat="1" applyFont="1" applyBorder="1" applyAlignment="1">
      <alignment horizontal="right"/>
    </xf>
    <xf numFmtId="49" fontId="23" fillId="0" borderId="8" xfId="5" applyNumberFormat="1" applyFont="1" applyBorder="1" applyAlignment="1">
      <alignment horizontal="right"/>
    </xf>
    <xf numFmtId="49" fontId="23" fillId="0" borderId="0" xfId="5" applyNumberFormat="1" applyFont="1" applyAlignment="1">
      <alignment vertical="center"/>
    </xf>
    <xf numFmtId="0" fontId="23" fillId="0" borderId="1" xfId="5" applyFont="1" applyBorder="1" applyAlignment="1">
      <alignment horizontal="center" vertical="center" wrapText="1"/>
    </xf>
    <xf numFmtId="49" fontId="23" fillId="0" borderId="1" xfId="5" applyNumberFormat="1" applyFont="1" applyBorder="1" applyAlignment="1">
      <alignment horizontal="center" vertical="center"/>
    </xf>
    <xf numFmtId="0" fontId="23" fillId="0" borderId="1" xfId="5" applyFont="1" applyBorder="1" applyAlignment="1">
      <alignment horizontal="center" vertical="center"/>
    </xf>
    <xf numFmtId="0" fontId="25" fillId="0" borderId="0" xfId="5" applyFont="1" applyAlignment="1">
      <alignment wrapText="1"/>
    </xf>
    <xf numFmtId="49" fontId="26" fillId="0" borderId="13" xfId="5" applyNumberFormat="1" applyFont="1" applyBorder="1" applyAlignment="1">
      <alignment horizontal="center" vertical="top" wrapText="1"/>
    </xf>
    <xf numFmtId="49" fontId="26" fillId="0" borderId="14" xfId="5" applyNumberFormat="1" applyFont="1" applyBorder="1" applyAlignment="1">
      <alignment horizontal="left" vertical="top" wrapText="1"/>
    </xf>
    <xf numFmtId="49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center" vertical="top" wrapText="1"/>
    </xf>
    <xf numFmtId="1" fontId="26" fillId="0" borderId="14" xfId="5" applyNumberFormat="1" applyFont="1" applyBorder="1" applyAlignment="1">
      <alignment horizontal="center" vertical="top" wrapText="1"/>
    </xf>
    <xf numFmtId="2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right" vertical="top" wrapText="1"/>
    </xf>
    <xf numFmtId="0" fontId="26" fillId="0" borderId="5" xfId="5" applyFont="1" applyBorder="1" applyAlignment="1">
      <alignment horizontal="right" vertical="top" wrapText="1"/>
    </xf>
    <xf numFmtId="0" fontId="26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top" wrapText="1"/>
    </xf>
    <xf numFmtId="49" fontId="23" fillId="0" borderId="0" xfId="5" applyNumberFormat="1" applyFont="1" applyAlignment="1">
      <alignment horizontal="left" vertical="top" wrapText="1"/>
    </xf>
    <xf numFmtId="0" fontId="23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center" wrapText="1"/>
    </xf>
    <xf numFmtId="49" fontId="23" fillId="0" borderId="0" xfId="5" applyNumberFormat="1" applyFont="1" applyAlignment="1">
      <alignment horizontal="right" vertical="top" wrapText="1"/>
    </xf>
    <xf numFmtId="49" fontId="23" fillId="0" borderId="0" xfId="5" applyNumberFormat="1" applyFont="1" applyAlignment="1">
      <alignment horizontal="center" vertical="top" wrapText="1"/>
    </xf>
    <xf numFmtId="0" fontId="23" fillId="0" borderId="0" xfId="5" applyFont="1" applyAlignment="1">
      <alignment horizontal="center" vertical="top" wrapText="1"/>
    </xf>
    <xf numFmtId="2" fontId="23" fillId="0" borderId="0" xfId="5" applyNumberFormat="1" applyFont="1" applyAlignment="1">
      <alignment horizontal="right" vertical="top" wrapText="1"/>
    </xf>
    <xf numFmtId="167" fontId="23" fillId="0" borderId="0" xfId="5" applyNumberFormat="1" applyFont="1" applyAlignment="1">
      <alignment horizontal="center" vertical="top" wrapText="1"/>
    </xf>
    <xf numFmtId="4" fontId="23" fillId="0" borderId="23" xfId="5" applyNumberFormat="1" applyFont="1" applyBorder="1" applyAlignment="1">
      <alignment horizontal="right" vertical="top" wrapText="1"/>
    </xf>
    <xf numFmtId="4" fontId="23" fillId="0" borderId="0" xfId="5" applyNumberFormat="1" applyFont="1" applyAlignment="1">
      <alignment horizontal="right" vertical="top" wrapText="1"/>
    </xf>
    <xf numFmtId="2" fontId="23" fillId="0" borderId="0" xfId="5" applyNumberFormat="1" applyFont="1" applyAlignment="1">
      <alignment horizontal="center" vertical="top" wrapText="1"/>
    </xf>
    <xf numFmtId="49" fontId="23" fillId="0" borderId="10" xfId="5" applyNumberFormat="1" applyFont="1" applyBorder="1" applyAlignment="1">
      <alignment horizontal="right" vertical="top" wrapText="1"/>
    </xf>
    <xf numFmtId="0" fontId="23" fillId="0" borderId="0" xfId="5" applyFont="1" applyAlignment="1">
      <alignment horizontal="right" vertical="top" wrapText="1"/>
    </xf>
    <xf numFmtId="0" fontId="23" fillId="0" borderId="23" xfId="5" applyFont="1" applyBorder="1" applyAlignment="1">
      <alignment horizontal="right" vertical="top" wrapText="1"/>
    </xf>
    <xf numFmtId="169" fontId="23" fillId="0" borderId="0" xfId="5" applyNumberFormat="1" applyFont="1" applyAlignment="1">
      <alignment horizontal="center" vertical="top" wrapText="1"/>
    </xf>
    <xf numFmtId="49" fontId="23" fillId="0" borderId="14" xfId="5" applyNumberFormat="1" applyFont="1" applyBorder="1" applyAlignment="1">
      <alignment horizontal="center" vertical="top" wrapText="1"/>
    </xf>
    <xf numFmtId="0" fontId="23" fillId="0" borderId="14" xfId="5" applyFont="1" applyBorder="1" applyAlignment="1">
      <alignment horizontal="center" vertical="top" wrapText="1"/>
    </xf>
    <xf numFmtId="4" fontId="23" fillId="0" borderId="14" xfId="5" applyNumberFormat="1" applyFont="1" applyBorder="1" applyAlignment="1">
      <alignment horizontal="right" vertical="top" wrapText="1"/>
    </xf>
    <xf numFmtId="2" fontId="23" fillId="0" borderId="14" xfId="5" applyNumberFormat="1" applyFont="1" applyBorder="1" applyAlignment="1">
      <alignment horizontal="right" vertical="top" wrapText="1"/>
    </xf>
    <xf numFmtId="4" fontId="23" fillId="0" borderId="5" xfId="5" applyNumberFormat="1" applyFont="1" applyBorder="1" applyAlignment="1">
      <alignment horizontal="right" vertical="top" wrapText="1"/>
    </xf>
    <xf numFmtId="1" fontId="23" fillId="0" borderId="0" xfId="5" applyNumberFormat="1" applyFont="1" applyAlignment="1">
      <alignment horizontal="center" vertical="top" wrapText="1"/>
    </xf>
    <xf numFmtId="49" fontId="26" fillId="0" borderId="10" xfId="5" applyNumberFormat="1" applyFont="1" applyBorder="1" applyAlignment="1">
      <alignment horizontal="center" vertical="top" wrapText="1"/>
    </xf>
    <xf numFmtId="4" fontId="26" fillId="0" borderId="14" xfId="5" applyNumberFormat="1" applyFont="1" applyBorder="1" applyAlignment="1">
      <alignment horizontal="right" vertical="top" wrapText="1"/>
    </xf>
    <xf numFmtId="4" fontId="26" fillId="0" borderId="5" xfId="5" applyNumberFormat="1" applyFont="1" applyBorder="1" applyAlignment="1">
      <alignment horizontal="right" vertical="top" wrapText="1"/>
    </xf>
    <xf numFmtId="2" fontId="26" fillId="0" borderId="14" xfId="5" applyNumberFormat="1" applyFont="1" applyBorder="1" applyAlignment="1">
      <alignment horizontal="right" vertical="top" wrapText="1"/>
    </xf>
    <xf numFmtId="169" fontId="26" fillId="0" borderId="14" xfId="5" applyNumberFormat="1" applyFont="1" applyBorder="1" applyAlignment="1">
      <alignment horizontal="center" vertical="top" wrapText="1"/>
    </xf>
    <xf numFmtId="49" fontId="23" fillId="0" borderId="10" xfId="5" applyNumberFormat="1" applyFont="1" applyBorder="1" applyAlignment="1">
      <alignment vertical="center" wrapText="1"/>
    </xf>
    <xf numFmtId="2" fontId="23" fillId="0" borderId="23" xfId="5" applyNumberFormat="1" applyFont="1" applyBorder="1" applyAlignment="1">
      <alignment horizontal="right" vertical="top" wrapText="1"/>
    </xf>
    <xf numFmtId="172" fontId="23" fillId="0" borderId="0" xfId="5" applyNumberFormat="1" applyFont="1" applyAlignment="1">
      <alignment horizontal="center" vertical="top" wrapText="1"/>
    </xf>
    <xf numFmtId="2" fontId="23" fillId="0" borderId="5" xfId="5" applyNumberFormat="1" applyFont="1" applyBorder="1" applyAlignment="1">
      <alignment horizontal="right" vertical="top" wrapText="1"/>
    </xf>
    <xf numFmtId="168" fontId="26" fillId="0" borderId="14" xfId="5" applyNumberFormat="1" applyFont="1" applyBorder="1" applyAlignment="1">
      <alignment horizontal="center" vertical="top" wrapText="1"/>
    </xf>
    <xf numFmtId="168" fontId="23" fillId="0" borderId="0" xfId="5" applyNumberFormat="1" applyFont="1" applyAlignment="1">
      <alignment horizontal="center" vertical="top" wrapText="1"/>
    </xf>
    <xf numFmtId="173" fontId="23" fillId="0" borderId="0" xfId="5" applyNumberFormat="1" applyFont="1" applyAlignment="1">
      <alignment horizontal="center" vertical="top" wrapText="1"/>
    </xf>
    <xf numFmtId="167" fontId="26" fillId="0" borderId="14" xfId="5" applyNumberFormat="1" applyFont="1" applyBorder="1" applyAlignment="1">
      <alignment horizontal="center" vertical="top" wrapText="1"/>
    </xf>
    <xf numFmtId="49" fontId="26" fillId="0" borderId="0" xfId="5" applyNumberFormat="1" applyFont="1" applyAlignment="1">
      <alignment horizontal="center" vertical="top" wrapText="1"/>
    </xf>
    <xf numFmtId="0" fontId="26" fillId="0" borderId="0" xfId="5" applyFont="1" applyAlignment="1">
      <alignment horizontal="left" vertical="top" wrapText="1"/>
    </xf>
    <xf numFmtId="0" fontId="26" fillId="0" borderId="0" xfId="5" applyFont="1" applyAlignment="1">
      <alignment horizontal="center" vertical="top" wrapText="1"/>
    </xf>
    <xf numFmtId="0" fontId="26" fillId="0" borderId="0" xfId="5" applyFont="1" applyAlignment="1">
      <alignment horizontal="right" vertical="top" wrapText="1"/>
    </xf>
    <xf numFmtId="49" fontId="23" fillId="0" borderId="0" xfId="5" applyNumberFormat="1" applyFont="1" applyAlignment="1">
      <alignment vertical="top"/>
    </xf>
    <xf numFmtId="0" fontId="23" fillId="0" borderId="0" xfId="5" applyFont="1" applyAlignment="1">
      <alignment vertical="top"/>
    </xf>
    <xf numFmtId="0" fontId="23" fillId="17" borderId="0" xfId="5" applyFont="1" applyFill="1"/>
    <xf numFmtId="49" fontId="23" fillId="0" borderId="13" xfId="5" applyNumberFormat="1" applyFont="1" applyBorder="1"/>
    <xf numFmtId="49" fontId="26" fillId="0" borderId="14" xfId="5" applyNumberFormat="1" applyFont="1" applyBorder="1" applyAlignment="1">
      <alignment horizontal="right" vertical="top" wrapText="1"/>
    </xf>
    <xf numFmtId="0" fontId="26" fillId="0" borderId="14" xfId="5" applyFont="1" applyBorder="1" applyAlignment="1">
      <alignment horizontal="right" vertical="top"/>
    </xf>
    <xf numFmtId="0" fontId="26" fillId="0" borderId="14" xfId="5" applyFont="1" applyBorder="1" applyAlignment="1">
      <alignment horizontal="center" vertical="top"/>
    </xf>
    <xf numFmtId="0" fontId="26" fillId="0" borderId="5" xfId="5" applyFont="1" applyBorder="1" applyAlignment="1">
      <alignment horizontal="right" vertical="top"/>
    </xf>
    <xf numFmtId="49" fontId="23" fillId="0" borderId="10" xfId="5" applyNumberFormat="1" applyFont="1" applyBorder="1"/>
    <xf numFmtId="4" fontId="23" fillId="0" borderId="0" xfId="5" applyNumberFormat="1" applyFont="1" applyAlignment="1">
      <alignment horizontal="right" vertical="top"/>
    </xf>
    <xf numFmtId="0" fontId="23" fillId="0" borderId="0" xfId="5" applyFont="1" applyAlignment="1">
      <alignment horizontal="center" vertical="top"/>
    </xf>
    <xf numFmtId="4" fontId="23" fillId="0" borderId="23" xfId="5" applyNumberFormat="1" applyFont="1" applyBorder="1" applyAlignment="1">
      <alignment horizontal="right" vertical="top"/>
    </xf>
    <xf numFmtId="0" fontId="23" fillId="0" borderId="0" xfId="5" applyFont="1" applyAlignment="1">
      <alignment horizontal="right" vertical="top"/>
    </xf>
    <xf numFmtId="0" fontId="23" fillId="0" borderId="23" xfId="5" applyFont="1" applyBorder="1" applyAlignment="1">
      <alignment horizontal="right" vertical="top"/>
    </xf>
    <xf numFmtId="2" fontId="23" fillId="0" borderId="0" xfId="5" applyNumberFormat="1" applyFont="1" applyAlignment="1">
      <alignment horizontal="right" vertical="top"/>
    </xf>
    <xf numFmtId="49" fontId="26" fillId="0" borderId="0" xfId="5" applyNumberFormat="1" applyFont="1" applyAlignment="1">
      <alignment horizontal="right" vertical="top" wrapText="1"/>
    </xf>
    <xf numFmtId="49" fontId="26" fillId="0" borderId="0" xfId="5" applyNumberFormat="1" applyFont="1" applyAlignment="1">
      <alignment horizontal="left" vertical="top" wrapText="1"/>
    </xf>
    <xf numFmtId="4" fontId="26" fillId="0" borderId="0" xfId="5" applyNumberFormat="1" applyFont="1" applyAlignment="1">
      <alignment horizontal="right" vertical="top"/>
    </xf>
    <xf numFmtId="0" fontId="26" fillId="0" borderId="0" xfId="5" applyFont="1" applyAlignment="1">
      <alignment horizontal="center" vertical="top"/>
    </xf>
    <xf numFmtId="4" fontId="26" fillId="0" borderId="23" xfId="5" applyNumberFormat="1" applyFont="1" applyBorder="1" applyAlignment="1">
      <alignment horizontal="right" vertical="top"/>
    </xf>
    <xf numFmtId="2" fontId="26" fillId="0" borderId="0" xfId="5" applyNumberFormat="1" applyFont="1" applyAlignment="1">
      <alignment horizontal="center" vertical="top"/>
    </xf>
    <xf numFmtId="3" fontId="26" fillId="0" borderId="0" xfId="5" applyNumberFormat="1" applyFont="1" applyAlignment="1">
      <alignment horizontal="right" vertical="top"/>
    </xf>
    <xf numFmtId="49" fontId="23" fillId="0" borderId="14" xfId="5" applyNumberFormat="1" applyFont="1" applyBorder="1"/>
    <xf numFmtId="0" fontId="23" fillId="0" borderId="14" xfId="5" applyFont="1" applyBorder="1"/>
    <xf numFmtId="0" fontId="19" fillId="0" borderId="0" xfId="5" applyFont="1" applyAlignment="1">
      <alignment horizontal="right" vertical="top"/>
    </xf>
    <xf numFmtId="0" fontId="19" fillId="0" borderId="0" xfId="5" applyFont="1" applyAlignment="1">
      <alignment vertical="top"/>
    </xf>
    <xf numFmtId="0" fontId="19" fillId="0" borderId="0" xfId="5" applyFont="1" applyAlignment="1">
      <alignment vertical="top" wrapText="1"/>
    </xf>
    <xf numFmtId="0" fontId="21" fillId="0" borderId="0" xfId="5" applyFont="1" applyAlignment="1">
      <alignment horizontal="center" vertical="center"/>
    </xf>
    <xf numFmtId="0" fontId="26" fillId="0" borderId="0" xfId="5" applyFont="1" applyAlignment="1">
      <alignment vertical="top" wrapText="1"/>
    </xf>
    <xf numFmtId="0" fontId="23" fillId="0" borderId="0" xfId="5" applyFont="1"/>
    <xf numFmtId="0" fontId="27" fillId="7" borderId="18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7" fillId="7" borderId="1" xfId="0" applyFont="1" applyFill="1" applyBorder="1" applyAlignment="1">
      <alignment horizontal="center" vertical="center" wrapText="1"/>
    </xf>
    <xf numFmtId="4" fontId="27" fillId="7" borderId="1" xfId="0" applyNumberFormat="1" applyFont="1" applyFill="1" applyBorder="1" applyAlignment="1">
      <alignment horizontal="center" vertical="center"/>
    </xf>
    <xf numFmtId="4" fontId="27" fillId="7" borderId="19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65" fontId="6" fillId="7" borderId="1" xfId="1" applyNumberFormat="1" applyFont="1" applyFill="1" applyBorder="1" applyAlignment="1">
      <alignment horizontal="center" vertical="center"/>
    </xf>
    <xf numFmtId="43" fontId="6" fillId="7" borderId="1" xfId="1" applyFont="1" applyFill="1" applyBorder="1" applyAlignment="1">
      <alignment vertical="center"/>
    </xf>
    <xf numFmtId="174" fontId="23" fillId="0" borderId="0" xfId="5" applyNumberFormat="1" applyFont="1" applyAlignment="1">
      <alignment horizontal="center" vertical="top" wrapText="1"/>
    </xf>
    <xf numFmtId="0" fontId="0" fillId="4" borderId="0" xfId="0" applyFill="1" applyAlignment="1">
      <alignment horizontal="center"/>
    </xf>
    <xf numFmtId="164" fontId="14" fillId="4" borderId="1" xfId="0" applyNumberFormat="1" applyFont="1" applyFill="1" applyBorder="1" applyAlignment="1">
      <alignment vertical="center"/>
    </xf>
    <xf numFmtId="164" fontId="14" fillId="18" borderId="1" xfId="0" applyNumberFormat="1" applyFont="1" applyFill="1" applyBorder="1" applyAlignment="1">
      <alignment vertical="center"/>
    </xf>
    <xf numFmtId="0" fontId="18" fillId="0" borderId="0" xfId="5" applyAlignment="1">
      <alignment horizontal="center" vertical="center"/>
    </xf>
    <xf numFmtId="49" fontId="19" fillId="0" borderId="0" xfId="5" applyNumberFormat="1" applyFont="1" applyAlignment="1">
      <alignment horizontal="center" vertical="center" wrapText="1"/>
    </xf>
    <xf numFmtId="0" fontId="18" fillId="6" borderId="0" xfId="5" applyFill="1" applyAlignment="1">
      <alignment horizontal="center" vertical="center"/>
    </xf>
    <xf numFmtId="0" fontId="18" fillId="6" borderId="0" xfId="5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18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8" fillId="0" borderId="0" xfId="0" applyFont="1" applyAlignment="1">
      <alignment wrapText="1" shrinkToFit="1"/>
    </xf>
    <xf numFmtId="0" fontId="0" fillId="4" borderId="1" xfId="0" applyFill="1" applyBorder="1" applyAlignment="1">
      <alignment horizontal="center" vertical="center" wrapText="1"/>
    </xf>
    <xf numFmtId="4" fontId="2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" fontId="27" fillId="7" borderId="0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vertical="center" wrapText="1"/>
    </xf>
    <xf numFmtId="49" fontId="27" fillId="7" borderId="1" xfId="0" applyNumberFormat="1" applyFont="1" applyFill="1" applyBorder="1" applyAlignment="1">
      <alignment horizontal="center" vertical="center"/>
    </xf>
    <xf numFmtId="4" fontId="27" fillId="7" borderId="1" xfId="0" applyNumberFormat="1" applyFont="1" applyFill="1" applyBorder="1" applyAlignment="1">
      <alignment horizontal="center" vertical="center" wrapText="1"/>
    </xf>
    <xf numFmtId="0" fontId="30" fillId="7" borderId="18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wrapText="1" shrinkToFit="1"/>
    </xf>
    <xf numFmtId="0" fontId="30" fillId="0" borderId="1" xfId="0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165" fontId="11" fillId="0" borderId="7" xfId="1" applyNumberFormat="1" applyFont="1" applyBorder="1" applyAlignment="1">
      <alignment horizontal="center" vertical="center" wrapText="1"/>
    </xf>
    <xf numFmtId="4" fontId="17" fillId="16" borderId="16" xfId="0" applyNumberFormat="1" applyFont="1" applyFill="1" applyBorder="1" applyAlignment="1">
      <alignment horizontal="center" vertical="center" wrapText="1"/>
    </xf>
    <xf numFmtId="4" fontId="17" fillId="16" borderId="17" xfId="0" applyNumberFormat="1" applyFont="1" applyFill="1" applyBorder="1" applyAlignment="1">
      <alignment horizontal="center" vertical="center" wrapText="1"/>
    </xf>
    <xf numFmtId="4" fontId="17" fillId="16" borderId="1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16" borderId="15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16" xfId="0" applyFont="1" applyFill="1" applyBorder="1" applyAlignment="1">
      <alignment horizontal="center" vertical="center" wrapText="1" shrinkToFit="1"/>
    </xf>
    <xf numFmtId="0" fontId="17" fillId="16" borderId="1" xfId="0" applyFont="1" applyFill="1" applyBorder="1" applyAlignment="1">
      <alignment horizontal="center" vertical="center" wrapText="1" shrinkToFit="1"/>
    </xf>
    <xf numFmtId="0" fontId="17" fillId="16" borderId="16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4" fontId="17" fillId="16" borderId="16" xfId="0" applyNumberFormat="1" applyFont="1" applyFill="1" applyBorder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right"/>
    </xf>
    <xf numFmtId="0" fontId="18" fillId="0" borderId="0" xfId="5" applyAlignment="1">
      <alignment horizontal="left" wrapText="1"/>
    </xf>
    <xf numFmtId="49" fontId="19" fillId="0" borderId="11" xfId="5" applyNumberFormat="1" applyFont="1" applyBorder="1" applyAlignment="1">
      <alignment vertical="top" wrapText="1"/>
    </xf>
    <xf numFmtId="49" fontId="19" fillId="0" borderId="11" xfId="5" applyNumberFormat="1" applyFont="1" applyBorder="1" applyAlignment="1">
      <alignment horizontal="right" vertical="top" wrapText="1"/>
    </xf>
    <xf numFmtId="0" fontId="21" fillId="0" borderId="14" xfId="5" applyFont="1" applyBorder="1" applyAlignment="1">
      <alignment horizontal="center" vertical="top"/>
    </xf>
    <xf numFmtId="0" fontId="23" fillId="0" borderId="0" xfId="5" applyFont="1" applyAlignment="1">
      <alignment horizontal="left" vertical="top" wrapText="1"/>
    </xf>
    <xf numFmtId="49" fontId="23" fillId="0" borderId="0" xfId="5" applyNumberFormat="1" applyFont="1" applyAlignment="1">
      <alignment horizontal="left" vertical="top" wrapText="1"/>
    </xf>
    <xf numFmtId="49" fontId="26" fillId="0" borderId="0" xfId="5" applyNumberFormat="1" applyFont="1" applyAlignment="1">
      <alignment horizontal="left" vertical="top" wrapText="1"/>
    </xf>
    <xf numFmtId="49" fontId="23" fillId="0" borderId="14" xfId="5" applyNumberFormat="1" applyFont="1" applyBorder="1" applyAlignment="1">
      <alignment horizontal="left" vertical="top" wrapText="1"/>
    </xf>
    <xf numFmtId="49" fontId="26" fillId="0" borderId="14" xfId="5" applyNumberFormat="1" applyFont="1" applyBorder="1" applyAlignment="1">
      <alignment horizontal="left" vertical="top" wrapText="1"/>
    </xf>
    <xf numFmtId="0" fontId="23" fillId="0" borderId="23" xfId="5" applyFont="1" applyBorder="1" applyAlignment="1">
      <alignment horizontal="left" vertical="top" wrapText="1"/>
    </xf>
    <xf numFmtId="49" fontId="23" fillId="0" borderId="23" xfId="5" applyNumberFormat="1" applyFont="1" applyBorder="1" applyAlignment="1">
      <alignment horizontal="left" vertical="top" wrapText="1"/>
    </xf>
    <xf numFmtId="0" fontId="23" fillId="0" borderId="1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/>
    </xf>
    <xf numFmtId="49" fontId="25" fillId="0" borderId="3" xfId="5" applyNumberFormat="1" applyFont="1" applyBorder="1" applyAlignment="1">
      <alignment horizontal="left" vertical="center" wrapText="1"/>
    </xf>
    <xf numFmtId="49" fontId="25" fillId="0" borderId="8" xfId="5" applyNumberFormat="1" applyFont="1" applyBorder="1" applyAlignment="1">
      <alignment horizontal="left" vertical="center" wrapText="1"/>
    </xf>
    <xf numFmtId="49" fontId="25" fillId="0" borderId="4" xfId="5" applyNumberFormat="1" applyFont="1" applyBorder="1" applyAlignment="1">
      <alignment horizontal="left" vertical="center" wrapText="1"/>
    </xf>
    <xf numFmtId="0" fontId="19" fillId="0" borderId="8" xfId="5" applyFont="1" applyBorder="1" applyAlignment="1">
      <alignment horizontal="center"/>
    </xf>
    <xf numFmtId="49" fontId="23" fillId="0" borderId="1" xfId="5" applyNumberFormat="1" applyFont="1" applyBorder="1" applyAlignment="1">
      <alignment horizontal="center" vertical="center" wrapText="1"/>
    </xf>
    <xf numFmtId="49" fontId="21" fillId="0" borderId="14" xfId="5" applyNumberFormat="1" applyFont="1" applyBorder="1" applyAlignment="1">
      <alignment horizontal="center" vertical="top"/>
    </xf>
    <xf numFmtId="49" fontId="19" fillId="0" borderId="11" xfId="5" applyNumberFormat="1" applyFont="1" applyBorder="1" applyAlignment="1">
      <alignment horizontal="left" wrapText="1"/>
    </xf>
    <xf numFmtId="49" fontId="21" fillId="0" borderId="14" xfId="5" applyNumberFormat="1" applyFont="1" applyBorder="1" applyAlignment="1">
      <alignment horizontal="center"/>
    </xf>
    <xf numFmtId="49" fontId="19" fillId="0" borderId="11" xfId="5" applyNumberFormat="1" applyFont="1" applyBorder="1" applyAlignment="1">
      <alignment wrapText="1"/>
    </xf>
    <xf numFmtId="4" fontId="19" fillId="0" borderId="8" xfId="5" applyNumberFormat="1" applyFont="1" applyBorder="1" applyAlignment="1">
      <alignment horizontal="right"/>
    </xf>
    <xf numFmtId="49" fontId="22" fillId="0" borderId="0" xfId="5" applyNumberFormat="1" applyFont="1" applyAlignment="1">
      <alignment horizontal="center"/>
    </xf>
    <xf numFmtId="49" fontId="19" fillId="0" borderId="11" xfId="5" applyNumberFormat="1" applyFont="1" applyBorder="1" applyAlignment="1">
      <alignment horizontal="center" wrapText="1"/>
    </xf>
    <xf numFmtId="49" fontId="19" fillId="0" borderId="0" xfId="5" applyNumberFormat="1" applyFont="1" applyAlignment="1">
      <alignment horizontal="left" vertical="top" wrapText="1"/>
    </xf>
    <xf numFmtId="0" fontId="19" fillId="0" borderId="8" xfId="5" applyFont="1" applyBorder="1" applyAlignment="1">
      <alignment horizontal="left" wrapText="1"/>
    </xf>
    <xf numFmtId="49" fontId="19" fillId="0" borderId="0" xfId="5" applyNumberFormat="1" applyFont="1" applyAlignment="1">
      <alignment horizontal="left" vertical="top"/>
    </xf>
    <xf numFmtId="0" fontId="19" fillId="0" borderId="0" xfId="5" applyFont="1" applyAlignment="1">
      <alignment horizontal="left" vertical="top" wrapText="1"/>
    </xf>
    <xf numFmtId="49" fontId="19" fillId="0" borderId="0" xfId="5" applyNumberFormat="1" applyFont="1" applyAlignment="1">
      <alignment horizont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</cellXfs>
  <cellStyles count="6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8D9762D4-AF5F-4392-8C85-7ACD08F44094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143</xdr:row>
      <xdr:rowOff>0</xdr:rowOff>
    </xdr:from>
    <xdr:to>
      <xdr:col>63</xdr:col>
      <xdr:colOff>151494</xdr:colOff>
      <xdr:row>143</xdr:row>
      <xdr:rowOff>876422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6E6856-A153-44BC-AC19-275A66AC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2212" y="34594800"/>
          <a:ext cx="9564435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71" t="s">
        <v>5</v>
      </c>
      <c r="B2" s="372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369">
        <f>H33/2</f>
        <v>7942400</v>
      </c>
      <c r="H33" s="369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370"/>
      <c r="H34" s="370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73" t="s">
        <v>117</v>
      </c>
      <c r="B59" s="373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BEC6-C934-423B-946B-A80F4D33953D}">
  <sheetPr>
    <tabColor rgb="FFFF0000"/>
  </sheetPr>
  <dimension ref="B1:K36"/>
  <sheetViews>
    <sheetView zoomScale="85" zoomScaleNormal="85" workbookViewId="0">
      <selection activeCell="F41" sqref="F41"/>
    </sheetView>
  </sheetViews>
  <sheetFormatPr defaultColWidth="9.33203125" defaultRowHeight="13.2" x14ac:dyDescent="0.25"/>
  <cols>
    <col min="1" max="1" width="9.33203125" style="200"/>
    <col min="2" max="2" width="11" style="200" customWidth="1"/>
    <col min="3" max="3" width="35.88671875" style="201" customWidth="1"/>
    <col min="4" max="4" width="10.6640625" style="200" customWidth="1"/>
    <col min="5" max="5" width="11.6640625" style="200" bestFit="1" customWidth="1"/>
    <col min="6" max="6" width="15.6640625" style="200" customWidth="1"/>
    <col min="7" max="7" width="14.5546875" style="202" customWidth="1"/>
    <col min="8" max="8" width="15.33203125" style="202" customWidth="1"/>
    <col min="9" max="9" width="14" style="202" customWidth="1"/>
    <col min="10" max="10" width="17.6640625" style="203" bestFit="1" customWidth="1"/>
    <col min="11" max="11" width="15.44140625" style="200" customWidth="1"/>
    <col min="12" max="16384" width="9.33203125" style="200"/>
  </cols>
  <sheetData>
    <row r="1" spans="2:11" ht="13.8" thickBot="1" x14ac:dyDescent="0.3"/>
    <row r="2" spans="2:11" ht="32.25" customHeight="1" x14ac:dyDescent="0.25">
      <c r="B2" s="404" t="s">
        <v>187</v>
      </c>
      <c r="C2" s="406" t="s">
        <v>501</v>
      </c>
      <c r="D2" s="408" t="s">
        <v>217</v>
      </c>
      <c r="E2" s="410" t="s">
        <v>189</v>
      </c>
      <c r="F2" s="399" t="s">
        <v>502</v>
      </c>
      <c r="G2" s="399"/>
      <c r="H2" s="399" t="s">
        <v>503</v>
      </c>
      <c r="I2" s="399"/>
      <c r="J2" s="400" t="s">
        <v>504</v>
      </c>
    </row>
    <row r="3" spans="2:11" x14ac:dyDescent="0.25">
      <c r="B3" s="405"/>
      <c r="C3" s="407"/>
      <c r="D3" s="409"/>
      <c r="E3" s="411"/>
      <c r="F3" s="204" t="s">
        <v>505</v>
      </c>
      <c r="G3" s="204" t="s">
        <v>506</v>
      </c>
      <c r="H3" s="204" t="s">
        <v>507</v>
      </c>
      <c r="I3" s="204" t="s">
        <v>506</v>
      </c>
      <c r="J3" s="401"/>
    </row>
    <row r="4" spans="2:11" x14ac:dyDescent="0.25">
      <c r="B4" s="402" t="s">
        <v>466</v>
      </c>
      <c r="C4" s="403"/>
      <c r="D4" s="403"/>
      <c r="E4" s="403"/>
      <c r="F4" s="403"/>
      <c r="G4" s="403"/>
      <c r="H4" s="403"/>
      <c r="I4" s="403"/>
      <c r="J4" s="205">
        <f>SUM(J5:J14)</f>
        <v>4216644.8622570243</v>
      </c>
    </row>
    <row r="5" spans="2:11" x14ac:dyDescent="0.25">
      <c r="B5" s="325">
        <v>1</v>
      </c>
      <c r="C5" s="326" t="s">
        <v>468</v>
      </c>
      <c r="D5" s="327" t="str">
        <f>'СМР врем. ТС (сталь) коммерция'!C5</f>
        <v>шт.</v>
      </c>
      <c r="E5" s="328">
        <f>'КП СМР+Мат'!D5</f>
        <v>22</v>
      </c>
      <c r="F5" s="328">
        <f>'КП СМР+Мат'!E5*1.2</f>
        <v>6939.4802399999999</v>
      </c>
      <c r="G5" s="328">
        <f>E5*F5</f>
        <v>152668.56528000001</v>
      </c>
      <c r="H5" s="328">
        <f>'КП СМР+Мат'!J5</f>
        <v>3760.4949999999999</v>
      </c>
      <c r="I5" s="328">
        <f>E5*H5</f>
        <v>82730.89</v>
      </c>
      <c r="J5" s="329">
        <f t="shared" ref="J5:J14" si="0">G5+I5</f>
        <v>235399.45527999999</v>
      </c>
    </row>
    <row r="6" spans="2:11" x14ac:dyDescent="0.25">
      <c r="B6" s="325">
        <v>2</v>
      </c>
      <c r="C6" s="326" t="s">
        <v>490</v>
      </c>
      <c r="D6" s="327" t="str">
        <f>'СМР врем. ТС (сталь) коммерция'!C6</f>
        <v xml:space="preserve">шт. </v>
      </c>
      <c r="E6" s="328">
        <f>'КП СМР+Мат'!D6</f>
        <v>12</v>
      </c>
      <c r="F6" s="328">
        <f>'КП СМР+Мат'!E6*1.2</f>
        <v>23532.949094399999</v>
      </c>
      <c r="G6" s="328">
        <f t="shared" ref="G6:G13" si="1">E6*F6</f>
        <v>282395.38913279999</v>
      </c>
      <c r="H6" s="328">
        <f>'КП СМР+Мат'!J6</f>
        <v>5096.04</v>
      </c>
      <c r="I6" s="328">
        <f t="shared" ref="I6:I13" si="2">E6*H6</f>
        <v>61152.479999999996</v>
      </c>
      <c r="J6" s="329">
        <f>G6+I6</f>
        <v>343547.86913279997</v>
      </c>
    </row>
    <row r="7" spans="2:11" x14ac:dyDescent="0.25">
      <c r="B7" s="325">
        <v>3</v>
      </c>
      <c r="C7" s="326" t="s">
        <v>484</v>
      </c>
      <c r="D7" s="327" t="str">
        <f>'СМР врем. ТС (сталь) коммерция'!C7</f>
        <v>м2</v>
      </c>
      <c r="E7" s="328">
        <f>'КП СМР+Мат'!D7</f>
        <v>40.81</v>
      </c>
      <c r="F7" s="328">
        <f>'КП СМР+Мат'!E7*1.2</f>
        <v>725.76737279999998</v>
      </c>
      <c r="G7" s="328">
        <f>E7*F7</f>
        <v>29618.566483967999</v>
      </c>
      <c r="H7" s="328">
        <f>'КП СМР+Мат'!J7</f>
        <v>500.22322960058807</v>
      </c>
      <c r="I7" s="328">
        <f t="shared" si="2"/>
        <v>20414.11</v>
      </c>
      <c r="J7" s="329">
        <f t="shared" si="0"/>
        <v>50032.676483967996</v>
      </c>
    </row>
    <row r="8" spans="2:11" ht="52.8" x14ac:dyDescent="0.25">
      <c r="B8" s="325">
        <v>4</v>
      </c>
      <c r="C8" s="326" t="s">
        <v>491</v>
      </c>
      <c r="D8" s="327" t="str">
        <f>'СМР врем. ТС (сталь) коммерция'!C8</f>
        <v>м</v>
      </c>
      <c r="E8" s="328">
        <f>'КП СМР+Мат'!D8</f>
        <v>480</v>
      </c>
      <c r="F8" s="328">
        <f>'КП СМР+Мат'!E8*1.2</f>
        <v>3944.3855328</v>
      </c>
      <c r="G8" s="328">
        <f t="shared" si="1"/>
        <v>1893305.055744</v>
      </c>
      <c r="H8" s="328">
        <f>'КП СМР+Мат'!J8</f>
        <v>2513.6412916666668</v>
      </c>
      <c r="I8" s="328">
        <f t="shared" si="2"/>
        <v>1206547.82</v>
      </c>
      <c r="J8" s="329">
        <f t="shared" si="0"/>
        <v>3099852.8757440001</v>
      </c>
    </row>
    <row r="9" spans="2:11" ht="39.6" x14ac:dyDescent="0.25">
      <c r="B9" s="325">
        <v>5</v>
      </c>
      <c r="C9" s="326" t="s">
        <v>492</v>
      </c>
      <c r="D9" s="327" t="str">
        <f>'СМР врем. ТС (сталь) коммерция'!C9</f>
        <v>стык</v>
      </c>
      <c r="E9" s="328">
        <f>'КП СМР+Мат'!D9</f>
        <v>60</v>
      </c>
      <c r="F9" s="328">
        <f>'КП СМР+Мат'!E9*1.2</f>
        <v>1195.6032</v>
      </c>
      <c r="G9" s="328">
        <f t="shared" si="1"/>
        <v>71736.191999999995</v>
      </c>
      <c r="H9" s="328">
        <f>'КП СМР+Мат'!J9</f>
        <v>0</v>
      </c>
      <c r="I9" s="328">
        <f t="shared" si="2"/>
        <v>0</v>
      </c>
      <c r="J9" s="329">
        <f t="shared" si="0"/>
        <v>71736.191999999995</v>
      </c>
    </row>
    <row r="10" spans="2:11" ht="26.4" x14ac:dyDescent="0.25">
      <c r="B10" s="325">
        <v>6</v>
      </c>
      <c r="C10" s="326" t="s">
        <v>476</v>
      </c>
      <c r="D10" s="327" t="str">
        <f>'СМР врем. ТС (сталь) коммерция'!C10</f>
        <v>м3/ шт.</v>
      </c>
      <c r="E10" s="328" t="str">
        <f>'КП СМР+Мат'!D10</f>
        <v>1,512/ 14</v>
      </c>
      <c r="F10" s="328">
        <f>'КП СМР+Мат'!E10*1.2</f>
        <v>57430.890288000002</v>
      </c>
      <c r="G10" s="328">
        <f>F10*1.512</f>
        <v>86835.50611545601</v>
      </c>
      <c r="H10" s="328">
        <f>'КП СМР+Мат'!J10</f>
        <v>62592.017195767199</v>
      </c>
      <c r="I10" s="328">
        <f>H10*1.512</f>
        <v>94639.13</v>
      </c>
      <c r="J10" s="329">
        <f t="shared" si="0"/>
        <v>181474.636115456</v>
      </c>
    </row>
    <row r="11" spans="2:11" ht="26.4" x14ac:dyDescent="0.25">
      <c r="B11" s="325">
        <v>7</v>
      </c>
      <c r="C11" s="326" t="s">
        <v>470</v>
      </c>
      <c r="D11" s="327" t="str">
        <f>'СМР врем. ТС (сталь) коммерция'!C11</f>
        <v>шт.</v>
      </c>
      <c r="E11" s="328">
        <f>'КП СМР+Мат'!D11</f>
        <v>6</v>
      </c>
      <c r="F11" s="328">
        <f>'КП СМР+Мат'!E11*1.2</f>
        <v>3875.2398143999994</v>
      </c>
      <c r="G11" s="328">
        <f t="shared" si="1"/>
        <v>23251.438886399996</v>
      </c>
      <c r="H11" s="328">
        <f>'КП СМР+Мат'!J11</f>
        <v>671.51666666666665</v>
      </c>
      <c r="I11" s="328">
        <f t="shared" si="2"/>
        <v>4029.1</v>
      </c>
      <c r="J11" s="329">
        <f t="shared" si="0"/>
        <v>27280.538886399994</v>
      </c>
    </row>
    <row r="12" spans="2:11" ht="26.4" x14ac:dyDescent="0.25">
      <c r="B12" s="325">
        <v>8</v>
      </c>
      <c r="C12" s="326" t="s">
        <v>494</v>
      </c>
      <c r="D12" s="327" t="str">
        <f>'СМР врем. ТС (сталь) коммерция'!C12</f>
        <v>шт.</v>
      </c>
      <c r="E12" s="328">
        <f>'КП СМР+Мат'!D12</f>
        <v>4</v>
      </c>
      <c r="F12" s="328">
        <f>'КП СМР+Мат'!E12*1.2</f>
        <v>4592.9821535999999</v>
      </c>
      <c r="G12" s="328">
        <f t="shared" si="1"/>
        <v>18371.9286144</v>
      </c>
      <c r="H12" s="328">
        <f>'КП СМР+Мат'!J12</f>
        <v>8289.4925000000003</v>
      </c>
      <c r="I12" s="328">
        <f t="shared" si="2"/>
        <v>33157.97</v>
      </c>
      <c r="J12" s="329">
        <f t="shared" si="0"/>
        <v>51529.898614400001</v>
      </c>
    </row>
    <row r="13" spans="2:11" x14ac:dyDescent="0.25">
      <c r="B13" s="325">
        <v>9</v>
      </c>
      <c r="C13" s="326" t="s">
        <v>473</v>
      </c>
      <c r="D13" s="327" t="str">
        <f>'СМР врем. ТС (сталь) коммерция'!C13</f>
        <v>шт.</v>
      </c>
      <c r="E13" s="328">
        <f>'КП СМР+Мат'!D13</f>
        <v>2</v>
      </c>
      <c r="F13" s="328">
        <f>'КП СМР+Мат'!E13*1.2</f>
        <v>32607.359999999997</v>
      </c>
      <c r="G13" s="328">
        <f t="shared" si="1"/>
        <v>65214.719999999994</v>
      </c>
      <c r="H13" s="328">
        <f>'КП СМР+Мат'!J13</f>
        <v>0</v>
      </c>
      <c r="I13" s="328">
        <f t="shared" si="2"/>
        <v>0</v>
      </c>
      <c r="J13" s="329">
        <f t="shared" si="0"/>
        <v>65214.719999999994</v>
      </c>
    </row>
    <row r="14" spans="2:11" ht="39.6" x14ac:dyDescent="0.25">
      <c r="B14" s="325">
        <v>10</v>
      </c>
      <c r="C14" s="326" t="s">
        <v>495</v>
      </c>
      <c r="D14" s="327" t="str">
        <f>'СМР врем. ТС (сталь) коммерция'!C14</f>
        <v>узел/ м</v>
      </c>
      <c r="E14" s="328" t="str">
        <f>'КП СМР+Мат'!D14</f>
        <v>1/ 480</v>
      </c>
      <c r="F14" s="328">
        <f>'КП СМР+Мат'!E14*1.2</f>
        <v>90576</v>
      </c>
      <c r="G14" s="328">
        <f>1*F14</f>
        <v>90576</v>
      </c>
      <c r="H14" s="328">
        <f>'КП СМР+Мат'!J14</f>
        <v>0</v>
      </c>
      <c r="I14" s="328">
        <f>1*H14</f>
        <v>0</v>
      </c>
      <c r="J14" s="329">
        <f t="shared" si="0"/>
        <v>90576</v>
      </c>
      <c r="K14" s="203" t="s">
        <v>510</v>
      </c>
    </row>
    <row r="15" spans="2:11" ht="13.8" thickBot="1" x14ac:dyDescent="0.3">
      <c r="B15" s="206"/>
      <c r="C15" s="412" t="s">
        <v>508</v>
      </c>
      <c r="D15" s="412"/>
      <c r="E15" s="412"/>
      <c r="F15" s="412"/>
      <c r="G15" s="412"/>
      <c r="H15" s="412"/>
      <c r="I15" s="412"/>
      <c r="J15" s="207">
        <f>J4</f>
        <v>4216644.8622570243</v>
      </c>
      <c r="K15" s="207">
        <f>'ТС - ЛСР'!N233</f>
        <v>3693470.54</v>
      </c>
    </row>
    <row r="17" spans="2:11" ht="13.8" thickBot="1" x14ac:dyDescent="0.3">
      <c r="C17" s="353" t="s">
        <v>733</v>
      </c>
    </row>
    <row r="18" spans="2:11" ht="32.25" customHeight="1" x14ac:dyDescent="0.25">
      <c r="B18" s="404" t="s">
        <v>187</v>
      </c>
      <c r="C18" s="406" t="s">
        <v>501</v>
      </c>
      <c r="D18" s="408" t="s">
        <v>217</v>
      </c>
      <c r="E18" s="410" t="s">
        <v>189</v>
      </c>
      <c r="F18" s="399"/>
      <c r="G18" s="399"/>
      <c r="H18" s="399"/>
      <c r="I18" s="399"/>
      <c r="J18" s="400"/>
    </row>
    <row r="19" spans="2:11" x14ac:dyDescent="0.25">
      <c r="B19" s="405"/>
      <c r="C19" s="407"/>
      <c r="D19" s="409"/>
      <c r="E19" s="411"/>
      <c r="F19" s="346"/>
      <c r="G19" s="346"/>
      <c r="H19" s="346"/>
      <c r="I19" s="346"/>
      <c r="J19" s="401"/>
    </row>
    <row r="20" spans="2:11" x14ac:dyDescent="0.25">
      <c r="B20" s="402" t="s">
        <v>466</v>
      </c>
      <c r="C20" s="403"/>
      <c r="D20" s="403"/>
      <c r="E20" s="403"/>
      <c r="F20" s="403"/>
      <c r="G20" s="403"/>
      <c r="H20" s="403"/>
      <c r="I20" s="403"/>
      <c r="J20" s="205">
        <f>SUM(J23:J33)</f>
        <v>0</v>
      </c>
    </row>
    <row r="21" spans="2:11" ht="58.5" customHeight="1" x14ac:dyDescent="0.25">
      <c r="B21" s="344"/>
      <c r="C21" s="326" t="s">
        <v>741</v>
      </c>
      <c r="D21" s="357" t="s">
        <v>178</v>
      </c>
      <c r="E21" s="358" t="s">
        <v>743</v>
      </c>
      <c r="F21" s="357">
        <v>12</v>
      </c>
      <c r="G21" s="345"/>
      <c r="H21" s="345"/>
      <c r="I21" s="345"/>
      <c r="J21" s="205"/>
    </row>
    <row r="22" spans="2:11" x14ac:dyDescent="0.25">
      <c r="B22" s="344"/>
      <c r="C22" s="326" t="s">
        <v>742</v>
      </c>
      <c r="D22" s="357"/>
      <c r="E22" s="356"/>
      <c r="F22" s="345"/>
      <c r="G22" s="345"/>
      <c r="H22" s="345"/>
      <c r="I22" s="345"/>
      <c r="J22" s="205"/>
    </row>
    <row r="23" spans="2:11" ht="35.25" customHeight="1" x14ac:dyDescent="0.25">
      <c r="B23" s="325">
        <v>1</v>
      </c>
      <c r="C23" s="326" t="s">
        <v>746</v>
      </c>
      <c r="D23" s="327" t="s">
        <v>181</v>
      </c>
      <c r="E23" s="355">
        <f>1.2*1.2*1.8*12*0.9</f>
        <v>27.993600000000001</v>
      </c>
      <c r="F23" s="328" t="s">
        <v>757</v>
      </c>
      <c r="G23" s="328"/>
      <c r="H23" s="328"/>
      <c r="I23" s="328"/>
      <c r="J23" s="329"/>
    </row>
    <row r="24" spans="2:11" ht="35.25" customHeight="1" x14ac:dyDescent="0.25">
      <c r="B24" s="325">
        <v>1</v>
      </c>
      <c r="C24" s="326" t="s">
        <v>747</v>
      </c>
      <c r="D24" s="327" t="s">
        <v>181</v>
      </c>
      <c r="E24" s="355">
        <f>1.2*1.2*1.8*12*0.1</f>
        <v>3.1104000000000003</v>
      </c>
      <c r="F24" s="361" t="s">
        <v>756</v>
      </c>
      <c r="G24" s="328"/>
      <c r="H24" s="328"/>
      <c r="I24" s="328"/>
      <c r="J24" s="329"/>
    </row>
    <row r="25" spans="2:11" ht="49.2" customHeight="1" x14ac:dyDescent="0.25">
      <c r="B25" s="325">
        <v>2</v>
      </c>
      <c r="C25" s="326" t="s">
        <v>748</v>
      </c>
      <c r="D25" s="327" t="s">
        <v>181</v>
      </c>
      <c r="E25" s="355">
        <f>(E24+E23)*1.6</f>
        <v>49.766400000000004</v>
      </c>
      <c r="F25" s="362" t="s">
        <v>758</v>
      </c>
      <c r="G25" s="328"/>
      <c r="H25" s="328"/>
      <c r="I25" s="328"/>
      <c r="J25" s="329"/>
    </row>
    <row r="26" spans="2:11" ht="27.75" customHeight="1" x14ac:dyDescent="0.25">
      <c r="B26" s="325">
        <v>3</v>
      </c>
      <c r="C26" s="326" t="s">
        <v>734</v>
      </c>
      <c r="D26" s="327" t="s">
        <v>181</v>
      </c>
      <c r="E26" s="355">
        <f>E23+E24-(0.4*0.4*0.8*12)</f>
        <v>29.567999999999998</v>
      </c>
      <c r="F26" s="328" t="s">
        <v>759</v>
      </c>
      <c r="G26" s="328"/>
      <c r="H26" s="328"/>
      <c r="I26" s="328"/>
      <c r="J26" s="329"/>
    </row>
    <row r="27" spans="2:11" ht="42" customHeight="1" x14ac:dyDescent="0.25">
      <c r="B27" s="325">
        <v>4</v>
      </c>
      <c r="C27" s="326" t="s">
        <v>744</v>
      </c>
      <c r="D27" s="327" t="s">
        <v>181</v>
      </c>
      <c r="E27" s="328">
        <f>(0.4*0.4*2.2)*12</f>
        <v>4.2240000000000011</v>
      </c>
      <c r="F27" s="328" t="s">
        <v>765</v>
      </c>
      <c r="G27" s="328"/>
      <c r="H27" s="328"/>
      <c r="I27" s="328"/>
      <c r="J27" s="329"/>
    </row>
    <row r="28" spans="2:11" ht="20.25" customHeight="1" x14ac:dyDescent="0.25">
      <c r="B28" s="325">
        <v>5</v>
      </c>
      <c r="C28" s="326" t="s">
        <v>736</v>
      </c>
      <c r="D28" s="327" t="s">
        <v>181</v>
      </c>
      <c r="E28" s="328">
        <f>E27</f>
        <v>4.2240000000000011</v>
      </c>
      <c r="F28" s="328"/>
      <c r="G28" s="328"/>
      <c r="H28" s="328"/>
      <c r="I28" s="328"/>
      <c r="J28" s="329"/>
    </row>
    <row r="29" spans="2:11" ht="20.25" customHeight="1" x14ac:dyDescent="0.25">
      <c r="B29" s="325">
        <v>6</v>
      </c>
      <c r="C29" s="326" t="s">
        <v>735</v>
      </c>
      <c r="D29" s="327"/>
      <c r="E29" s="328" t="s">
        <v>760</v>
      </c>
      <c r="F29" s="328"/>
      <c r="G29" s="328"/>
      <c r="H29" s="328"/>
      <c r="I29" s="328"/>
      <c r="J29" s="329"/>
    </row>
    <row r="30" spans="2:11" ht="26.25" customHeight="1" x14ac:dyDescent="0.25">
      <c r="B30" s="325">
        <v>7</v>
      </c>
      <c r="C30" s="326" t="s">
        <v>754</v>
      </c>
      <c r="D30" s="327"/>
      <c r="E30" s="328" t="s">
        <v>761</v>
      </c>
      <c r="F30" s="328"/>
      <c r="G30" s="328"/>
      <c r="H30" s="328"/>
      <c r="I30" s="328"/>
      <c r="J30" s="329"/>
      <c r="K30" s="200" t="s">
        <v>755</v>
      </c>
    </row>
    <row r="31" spans="2:11" ht="27.75" customHeight="1" x14ac:dyDescent="0.25">
      <c r="B31" s="363">
        <v>8</v>
      </c>
      <c r="C31" s="360" t="s">
        <v>752</v>
      </c>
      <c r="D31" s="364" t="s">
        <v>178</v>
      </c>
      <c r="E31" s="365">
        <v>3</v>
      </c>
      <c r="F31" s="365" t="s">
        <v>762</v>
      </c>
      <c r="G31" s="328"/>
      <c r="H31" s="328"/>
      <c r="I31" s="328"/>
      <c r="J31" s="329"/>
      <c r="K31" s="200" t="s">
        <v>749</v>
      </c>
    </row>
    <row r="32" spans="2:11" ht="20.25" customHeight="1" x14ac:dyDescent="0.25">
      <c r="B32" s="363">
        <v>9</v>
      </c>
      <c r="C32" s="360" t="s">
        <v>737</v>
      </c>
      <c r="D32" s="364" t="s">
        <v>178</v>
      </c>
      <c r="E32" s="365">
        <v>3</v>
      </c>
      <c r="F32" s="365" t="s">
        <v>762</v>
      </c>
      <c r="G32" s="328"/>
      <c r="H32" s="328"/>
      <c r="I32" s="328"/>
      <c r="J32" s="329"/>
      <c r="K32" s="200" t="s">
        <v>750</v>
      </c>
    </row>
    <row r="33" spans="2:11" ht="20.25" customHeight="1" x14ac:dyDescent="0.25">
      <c r="B33" s="325">
        <v>10</v>
      </c>
      <c r="C33" s="326" t="s">
        <v>738</v>
      </c>
      <c r="D33" s="327" t="s">
        <v>234</v>
      </c>
      <c r="E33" s="328">
        <f>E7</f>
        <v>40.81</v>
      </c>
      <c r="F33" s="328"/>
      <c r="G33" s="328"/>
      <c r="H33" s="328"/>
      <c r="I33" s="328"/>
      <c r="J33" s="329"/>
      <c r="K33" s="200" t="s">
        <v>751</v>
      </c>
    </row>
    <row r="34" spans="2:11" ht="28.5" customHeight="1" x14ac:dyDescent="0.25">
      <c r="B34" s="327"/>
      <c r="C34" s="326" t="s">
        <v>753</v>
      </c>
      <c r="D34" s="327"/>
      <c r="E34" s="328"/>
      <c r="F34" s="365" t="s">
        <v>763</v>
      </c>
      <c r="G34" s="359"/>
      <c r="H34" s="359"/>
      <c r="I34" s="359"/>
      <c r="J34" s="359"/>
    </row>
    <row r="35" spans="2:11" ht="20.25" customHeight="1" x14ac:dyDescent="0.25">
      <c r="B35" s="327"/>
      <c r="C35" s="326" t="s">
        <v>745</v>
      </c>
      <c r="D35" s="327"/>
      <c r="E35" s="328"/>
      <c r="F35" s="365" t="s">
        <v>762</v>
      </c>
      <c r="G35" s="359"/>
      <c r="H35" s="359"/>
      <c r="I35" s="359"/>
      <c r="J35" s="359"/>
      <c r="K35" s="203"/>
    </row>
    <row r="36" spans="2:11" ht="26.4" x14ac:dyDescent="0.25">
      <c r="B36" s="366"/>
      <c r="C36" s="367" t="s">
        <v>740</v>
      </c>
      <c r="D36" s="366"/>
      <c r="E36" s="366"/>
      <c r="F36" s="368" t="s">
        <v>764</v>
      </c>
    </row>
  </sheetData>
  <mergeCells count="17">
    <mergeCell ref="J2:J3"/>
    <mergeCell ref="B4:I4"/>
    <mergeCell ref="C15:I15"/>
    <mergeCell ref="B2:B3"/>
    <mergeCell ref="C2:C3"/>
    <mergeCell ref="D2:D3"/>
    <mergeCell ref="E2:E3"/>
    <mergeCell ref="F2:G2"/>
    <mergeCell ref="H2:I2"/>
    <mergeCell ref="H18:I18"/>
    <mergeCell ref="J18:J19"/>
    <mergeCell ref="B20:I20"/>
    <mergeCell ref="B18:B19"/>
    <mergeCell ref="C18:C19"/>
    <mergeCell ref="D18:D19"/>
    <mergeCell ref="E18:E19"/>
    <mergeCell ref="F18:G18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634C-7432-4B85-82D1-866D44C22232}">
  <sheetPr>
    <tabColor rgb="FFFFFF00"/>
  </sheetPr>
  <dimension ref="E1:J23"/>
  <sheetViews>
    <sheetView zoomScaleNormal="100" workbookViewId="0">
      <selection activeCell="F11" sqref="F11"/>
    </sheetView>
  </sheetViews>
  <sheetFormatPr defaultRowHeight="14.4" x14ac:dyDescent="0.3"/>
  <cols>
    <col min="6" max="6" width="69" customWidth="1"/>
    <col min="7" max="7" width="38" customWidth="1"/>
  </cols>
  <sheetData>
    <row r="1" spans="5:7" x14ac:dyDescent="0.3">
      <c r="F1" s="347" t="s">
        <v>720</v>
      </c>
      <c r="G1" s="347"/>
    </row>
    <row r="2" spans="5:7" x14ac:dyDescent="0.3">
      <c r="E2" s="348">
        <v>1</v>
      </c>
      <c r="F2" s="349" t="s">
        <v>711</v>
      </c>
      <c r="G2" s="349" t="s">
        <v>721</v>
      </c>
    </row>
    <row r="3" spans="5:7" x14ac:dyDescent="0.3">
      <c r="E3" s="348">
        <v>2</v>
      </c>
      <c r="F3" s="349" t="s">
        <v>712</v>
      </c>
      <c r="G3" s="349" t="s">
        <v>721</v>
      </c>
    </row>
    <row r="4" spans="5:7" x14ac:dyDescent="0.3">
      <c r="E4" s="348">
        <v>3</v>
      </c>
      <c r="F4" s="349" t="s">
        <v>718</v>
      </c>
      <c r="G4" s="349" t="s">
        <v>724</v>
      </c>
    </row>
    <row r="5" spans="5:7" x14ac:dyDescent="0.3">
      <c r="E5" s="348">
        <v>4</v>
      </c>
      <c r="F5" s="349" t="s">
        <v>713</v>
      </c>
      <c r="G5" s="349"/>
    </row>
    <row r="6" spans="5:7" x14ac:dyDescent="0.3">
      <c r="E6" s="348">
        <v>5</v>
      </c>
      <c r="F6" s="349" t="s">
        <v>723</v>
      </c>
      <c r="G6" s="350"/>
    </row>
    <row r="7" spans="5:7" x14ac:dyDescent="0.3">
      <c r="E7" s="348">
        <v>6</v>
      </c>
      <c r="F7" s="349" t="s">
        <v>714</v>
      </c>
      <c r="G7" s="349"/>
    </row>
    <row r="8" spans="5:7" x14ac:dyDescent="0.3">
      <c r="E8" s="348">
        <v>7</v>
      </c>
      <c r="F8" s="349" t="s">
        <v>715</v>
      </c>
      <c r="G8" s="349"/>
    </row>
    <row r="9" spans="5:7" x14ac:dyDescent="0.3">
      <c r="E9" s="348">
        <v>8</v>
      </c>
      <c r="F9" s="349" t="s">
        <v>716</v>
      </c>
      <c r="G9" s="349" t="s">
        <v>722</v>
      </c>
    </row>
    <row r="10" spans="5:7" x14ac:dyDescent="0.3">
      <c r="E10" s="348">
        <v>9</v>
      </c>
      <c r="F10" s="349" t="s">
        <v>717</v>
      </c>
      <c r="G10" s="349"/>
    </row>
    <row r="11" spans="5:7" x14ac:dyDescent="0.3">
      <c r="E11" s="348">
        <v>10</v>
      </c>
      <c r="F11" s="349" t="s">
        <v>719</v>
      </c>
      <c r="G11" s="349"/>
    </row>
    <row r="14" spans="5:7" ht="28.8" x14ac:dyDescent="0.3">
      <c r="E14" s="354">
        <v>1</v>
      </c>
      <c r="F14" s="46" t="s">
        <v>729</v>
      </c>
    </row>
    <row r="15" spans="5:7" ht="28.8" x14ac:dyDescent="0.3">
      <c r="E15" s="354">
        <v>2</v>
      </c>
      <c r="F15" s="46" t="s">
        <v>726</v>
      </c>
    </row>
    <row r="16" spans="5:7" x14ac:dyDescent="0.3">
      <c r="E16" s="354">
        <v>3</v>
      </c>
      <c r="F16" s="46" t="s">
        <v>725</v>
      </c>
    </row>
    <row r="17" spans="5:10" x14ac:dyDescent="0.3">
      <c r="E17" s="354">
        <v>4</v>
      </c>
      <c r="F17" s="46" t="s">
        <v>731</v>
      </c>
    </row>
    <row r="18" spans="5:10" x14ac:dyDescent="0.3">
      <c r="E18" s="354">
        <v>5</v>
      </c>
      <c r="F18" s="46" t="s">
        <v>727</v>
      </c>
    </row>
    <row r="19" spans="5:10" x14ac:dyDescent="0.3">
      <c r="E19" s="354">
        <v>6</v>
      </c>
      <c r="F19" s="46" t="s">
        <v>728</v>
      </c>
    </row>
    <row r="20" spans="5:10" x14ac:dyDescent="0.3">
      <c r="E20" s="354">
        <v>7</v>
      </c>
      <c r="F20" s="46" t="s">
        <v>730</v>
      </c>
      <c r="G20" t="s">
        <v>739</v>
      </c>
    </row>
    <row r="21" spans="5:10" ht="28.8" x14ac:dyDescent="0.3">
      <c r="E21" s="351"/>
      <c r="F21" s="352" t="s">
        <v>732</v>
      </c>
    </row>
    <row r="22" spans="5:10" x14ac:dyDescent="0.3">
      <c r="J22">
        <f>12*3</f>
        <v>36</v>
      </c>
    </row>
    <row r="23" spans="5:10" x14ac:dyDescent="0.3">
      <c r="J23">
        <f>1.8*12</f>
        <v>21.6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6993-E457-447D-83A0-35384C8F7D21}">
  <sheetPr>
    <pageSetUpPr fitToPage="1"/>
  </sheetPr>
  <dimension ref="A1:AZ245"/>
  <sheetViews>
    <sheetView topLeftCell="A152" zoomScaleNormal="100" workbookViewId="0">
      <selection activeCell="S50" sqref="S50"/>
    </sheetView>
  </sheetViews>
  <sheetFormatPr defaultColWidth="9.109375" defaultRowHeight="11.25" customHeight="1" outlineLevelRow="1" x14ac:dyDescent="0.2"/>
  <cols>
    <col min="1" max="1" width="9.109375" style="225" customWidth="1"/>
    <col min="2" max="2" width="20.109375" style="324" customWidth="1"/>
    <col min="3" max="3" width="13.44140625" style="324" customWidth="1"/>
    <col min="4" max="4" width="12.88671875" style="324" customWidth="1"/>
    <col min="5" max="5" width="13.33203125" style="324" customWidth="1"/>
    <col min="6" max="6" width="8.5546875" style="324" customWidth="1"/>
    <col min="7" max="7" width="10.5546875" style="324" customWidth="1"/>
    <col min="8" max="8" width="8.44140625" style="324" customWidth="1"/>
    <col min="9" max="9" width="13" style="324" customWidth="1"/>
    <col min="10" max="10" width="12.44140625" style="324" customWidth="1"/>
    <col min="11" max="11" width="8.5546875" style="324" customWidth="1"/>
    <col min="12" max="12" width="12.88671875" style="324" customWidth="1"/>
    <col min="13" max="13" width="7.44140625" style="324" customWidth="1"/>
    <col min="14" max="14" width="13.44140625" style="324" customWidth="1"/>
    <col min="15" max="15" width="14.5546875" style="324" hidden="1" customWidth="1"/>
    <col min="16" max="16" width="78.33203125" style="324" hidden="1" customWidth="1"/>
    <col min="17" max="17" width="73.6640625" style="324" hidden="1" customWidth="1"/>
    <col min="18" max="18" width="9.109375" style="324"/>
    <col min="19" max="19" width="25.6640625" style="343" customWidth="1"/>
    <col min="20" max="21" width="9.109375" style="324"/>
    <col min="22" max="27" width="86.6640625" style="258" hidden="1" customWidth="1"/>
    <col min="28" max="30" width="164.109375" style="258" hidden="1" customWidth="1"/>
    <col min="31" max="31" width="34.6640625" style="258" hidden="1" customWidth="1"/>
    <col min="32" max="32" width="164.109375" style="258" hidden="1" customWidth="1"/>
    <col min="33" max="33" width="39.5546875" style="258" hidden="1" customWidth="1"/>
    <col min="34" max="35" width="134.88671875" style="258" hidden="1" customWidth="1"/>
    <col min="36" max="39" width="39.5546875" style="258" hidden="1" customWidth="1"/>
    <col min="40" max="41" width="134.88671875" style="258" hidden="1" customWidth="1"/>
    <col min="42" max="46" width="101.109375" style="258" hidden="1" customWidth="1"/>
    <col min="47" max="47" width="58.6640625" style="258" hidden="1" customWidth="1"/>
    <col min="48" max="48" width="55.33203125" style="258" hidden="1" customWidth="1"/>
    <col min="49" max="49" width="58.6640625" style="258" hidden="1" customWidth="1"/>
    <col min="50" max="50" width="55.33203125" style="258" hidden="1" customWidth="1"/>
    <col min="51" max="16384" width="9.109375" style="324"/>
  </cols>
  <sheetData>
    <row r="1" spans="1:29" s="210" customFormat="1" ht="14.4" x14ac:dyDescent="0.3">
      <c r="N1" s="211" t="s">
        <v>511</v>
      </c>
      <c r="S1" s="338"/>
    </row>
    <row r="2" spans="1:29" s="210" customFormat="1" ht="11.25" customHeight="1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 t="s">
        <v>512</v>
      </c>
      <c r="S2" s="338"/>
    </row>
    <row r="3" spans="1:29" s="210" customFormat="1" ht="6.75" customHeight="1" x14ac:dyDescent="0.3">
      <c r="A3" s="212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1"/>
      <c r="S3" s="338"/>
    </row>
    <row r="4" spans="1:29" s="210" customFormat="1" ht="2.25" customHeight="1" x14ac:dyDescent="0.3">
      <c r="A4" s="220"/>
      <c r="B4" s="215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S4" s="338"/>
    </row>
    <row r="5" spans="1:29" s="210" customFormat="1" ht="11.25" customHeight="1" x14ac:dyDescent="0.3">
      <c r="A5" s="220" t="s">
        <v>513</v>
      </c>
      <c r="B5" s="215"/>
      <c r="C5" s="212"/>
      <c r="E5" s="212"/>
      <c r="F5" s="212"/>
      <c r="G5" s="432" t="s">
        <v>514</v>
      </c>
      <c r="H5" s="432"/>
      <c r="I5" s="432"/>
      <c r="J5" s="432"/>
      <c r="K5" s="432"/>
      <c r="L5" s="432"/>
      <c r="M5" s="432"/>
      <c r="N5" s="432"/>
      <c r="S5" s="338"/>
    </row>
    <row r="6" spans="1:29" s="210" customFormat="1" ht="56.25" customHeight="1" x14ac:dyDescent="0.3">
      <c r="A6" s="220" t="s">
        <v>515</v>
      </c>
      <c r="B6" s="215"/>
      <c r="C6" s="212"/>
      <c r="E6" s="216"/>
      <c r="F6" s="216"/>
      <c r="G6" s="439" t="s">
        <v>516</v>
      </c>
      <c r="H6" s="439"/>
      <c r="I6" s="439"/>
      <c r="J6" s="439"/>
      <c r="K6" s="439"/>
      <c r="L6" s="439"/>
      <c r="M6" s="439"/>
      <c r="N6" s="439"/>
      <c r="S6" s="338"/>
      <c r="V6" s="217" t="s">
        <v>516</v>
      </c>
    </row>
    <row r="7" spans="1:29" s="210" customFormat="1" ht="45" customHeight="1" x14ac:dyDescent="0.3">
      <c r="A7" s="438" t="s">
        <v>517</v>
      </c>
      <c r="B7" s="438"/>
      <c r="C7" s="438"/>
      <c r="D7" s="438"/>
      <c r="E7" s="438"/>
      <c r="F7" s="438"/>
      <c r="G7" s="439" t="s">
        <v>518</v>
      </c>
      <c r="H7" s="439"/>
      <c r="I7" s="439"/>
      <c r="J7" s="439"/>
      <c r="K7" s="439"/>
      <c r="L7" s="439"/>
      <c r="M7" s="439"/>
      <c r="N7" s="439"/>
      <c r="P7" s="218" t="s">
        <v>517</v>
      </c>
      <c r="Q7" s="218" t="s">
        <v>518</v>
      </c>
      <c r="R7" s="219"/>
      <c r="S7" s="339"/>
      <c r="T7" s="219"/>
      <c r="U7" s="219"/>
      <c r="W7" s="217" t="s">
        <v>518</v>
      </c>
    </row>
    <row r="8" spans="1:29" s="210" customFormat="1" ht="67.5" customHeight="1" x14ac:dyDescent="0.3">
      <c r="A8" s="441" t="s">
        <v>519</v>
      </c>
      <c r="B8" s="441"/>
      <c r="C8" s="441"/>
      <c r="D8" s="441"/>
      <c r="E8" s="441"/>
      <c r="F8" s="441"/>
      <c r="G8" s="439"/>
      <c r="H8" s="439"/>
      <c r="I8" s="439"/>
      <c r="J8" s="439"/>
      <c r="K8" s="439"/>
      <c r="L8" s="439"/>
      <c r="M8" s="439"/>
      <c r="N8" s="439"/>
      <c r="P8" s="218" t="s">
        <v>520</v>
      </c>
      <c r="Q8" s="218"/>
      <c r="R8" s="219"/>
      <c r="S8" s="339"/>
      <c r="T8" s="219"/>
      <c r="U8" s="219"/>
      <c r="X8" s="217" t="s">
        <v>521</v>
      </c>
    </row>
    <row r="9" spans="1:29" s="210" customFormat="1" ht="33.75" customHeight="1" x14ac:dyDescent="0.3">
      <c r="A9" s="438" t="s">
        <v>522</v>
      </c>
      <c r="B9" s="438"/>
      <c r="C9" s="438"/>
      <c r="D9" s="438"/>
      <c r="E9" s="438"/>
      <c r="F9" s="438"/>
      <c r="G9" s="439"/>
      <c r="H9" s="439"/>
      <c r="I9" s="439"/>
      <c r="J9" s="439"/>
      <c r="K9" s="439"/>
      <c r="L9" s="439"/>
      <c r="M9" s="439"/>
      <c r="N9" s="439"/>
      <c r="P9" s="218" t="s">
        <v>522</v>
      </c>
      <c r="Q9" s="218"/>
      <c r="R9" s="219"/>
      <c r="S9" s="339"/>
      <c r="T9" s="219"/>
      <c r="U9" s="219"/>
      <c r="Y9" s="217" t="s">
        <v>521</v>
      </c>
    </row>
    <row r="10" spans="1:29" s="210" customFormat="1" ht="11.25" customHeight="1" x14ac:dyDescent="0.3">
      <c r="A10" s="440" t="s">
        <v>523</v>
      </c>
      <c r="B10" s="440"/>
      <c r="C10" s="440"/>
      <c r="D10" s="440"/>
      <c r="E10" s="440"/>
      <c r="F10" s="440"/>
      <c r="G10" s="439" t="s">
        <v>524</v>
      </c>
      <c r="H10" s="439"/>
      <c r="I10" s="439"/>
      <c r="J10" s="439"/>
      <c r="K10" s="439"/>
      <c r="L10" s="439"/>
      <c r="M10" s="439"/>
      <c r="N10" s="439"/>
      <c r="S10" s="338"/>
      <c r="Z10" s="217" t="s">
        <v>524</v>
      </c>
    </row>
    <row r="11" spans="1:29" s="210" customFormat="1" ht="14.4" x14ac:dyDescent="0.3">
      <c r="A11" s="440" t="s">
        <v>525</v>
      </c>
      <c r="B11" s="440"/>
      <c r="C11" s="440"/>
      <c r="D11" s="440"/>
      <c r="E11" s="440"/>
      <c r="F11" s="440"/>
      <c r="G11" s="439"/>
      <c r="H11" s="439"/>
      <c r="I11" s="439"/>
      <c r="J11" s="439"/>
      <c r="K11" s="439"/>
      <c r="L11" s="439"/>
      <c r="M11" s="439"/>
      <c r="N11" s="439"/>
      <c r="S11" s="338"/>
      <c r="AA11" s="217" t="s">
        <v>521</v>
      </c>
    </row>
    <row r="12" spans="1:29" s="210" customFormat="1" ht="3.75" customHeight="1" x14ac:dyDescent="0.3">
      <c r="A12" s="221"/>
      <c r="B12" s="212"/>
      <c r="C12" s="212"/>
      <c r="D12" s="212"/>
      <c r="E12" s="212"/>
      <c r="F12" s="215"/>
      <c r="G12" s="215"/>
      <c r="H12" s="215"/>
      <c r="I12" s="215"/>
      <c r="J12" s="215"/>
      <c r="K12" s="215"/>
      <c r="L12" s="215"/>
      <c r="M12" s="215"/>
      <c r="N12" s="215"/>
      <c r="S12" s="338"/>
    </row>
    <row r="13" spans="1:29" s="210" customFormat="1" ht="14.4" x14ac:dyDescent="0.3">
      <c r="A13" s="442" t="s">
        <v>526</v>
      </c>
      <c r="B13" s="442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S13" s="338"/>
      <c r="AB13" s="217" t="s">
        <v>526</v>
      </c>
    </row>
    <row r="14" spans="1:29" s="210" customFormat="1" ht="14.4" x14ac:dyDescent="0.3">
      <c r="A14" s="431" t="s">
        <v>527</v>
      </c>
      <c r="B14" s="431"/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S14" s="338"/>
    </row>
    <row r="15" spans="1:29" s="210" customFormat="1" ht="5.25" customHeight="1" x14ac:dyDescent="0.3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S15" s="338"/>
    </row>
    <row r="16" spans="1:29" s="210" customFormat="1" ht="14.4" x14ac:dyDescent="0.3">
      <c r="A16" s="442"/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2"/>
      <c r="S16" s="338"/>
      <c r="AC16" s="217" t="s">
        <v>521</v>
      </c>
    </row>
    <row r="17" spans="1:31" s="210" customFormat="1" ht="14.4" x14ac:dyDescent="0.3">
      <c r="A17" s="431" t="s">
        <v>528</v>
      </c>
      <c r="B17" s="431"/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1"/>
      <c r="S17" s="338"/>
    </row>
    <row r="18" spans="1:31" s="210" customFormat="1" ht="21" customHeight="1" x14ac:dyDescent="0.3">
      <c r="A18" s="436" t="s">
        <v>698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S18" s="338"/>
    </row>
    <row r="19" spans="1:31" s="210" customFormat="1" ht="3.75" customHeight="1" x14ac:dyDescent="0.3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S19" s="338"/>
    </row>
    <row r="20" spans="1:31" s="210" customFormat="1" ht="14.4" x14ac:dyDescent="0.3">
      <c r="A20" s="437" t="s">
        <v>706</v>
      </c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S20" s="338"/>
      <c r="AD20" s="217" t="s">
        <v>529</v>
      </c>
    </row>
    <row r="21" spans="1:31" s="210" customFormat="1" ht="12" customHeight="1" x14ac:dyDescent="0.3">
      <c r="A21" s="431" t="s">
        <v>530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S21" s="338"/>
    </row>
    <row r="22" spans="1:31" s="210" customFormat="1" ht="12" customHeight="1" x14ac:dyDescent="0.3">
      <c r="A22" s="212" t="s">
        <v>531</v>
      </c>
      <c r="B22" s="224" t="s">
        <v>532</v>
      </c>
      <c r="C22" s="225" t="s">
        <v>533</v>
      </c>
      <c r="D22" s="225"/>
      <c r="E22" s="225"/>
      <c r="F22" s="216"/>
      <c r="G22" s="216"/>
      <c r="H22" s="216"/>
      <c r="I22" s="216"/>
      <c r="J22" s="216"/>
      <c r="K22" s="216"/>
      <c r="L22" s="216"/>
      <c r="M22" s="216"/>
      <c r="N22" s="216"/>
      <c r="S22" s="338"/>
    </row>
    <row r="23" spans="1:31" s="210" customFormat="1" ht="12" customHeight="1" x14ac:dyDescent="0.3">
      <c r="A23" s="212" t="s">
        <v>534</v>
      </c>
      <c r="B23" s="432"/>
      <c r="C23" s="432"/>
      <c r="D23" s="432"/>
      <c r="E23" s="432"/>
      <c r="F23" s="432"/>
      <c r="G23" s="216"/>
      <c r="H23" s="216"/>
      <c r="I23" s="216"/>
      <c r="J23" s="216"/>
      <c r="K23" s="216"/>
      <c r="L23" s="216"/>
      <c r="M23" s="216"/>
      <c r="N23" s="216"/>
      <c r="S23" s="338"/>
    </row>
    <row r="24" spans="1:31" s="210" customFormat="1" ht="14.4" x14ac:dyDescent="0.3">
      <c r="A24" s="212"/>
      <c r="B24" s="433" t="s">
        <v>535</v>
      </c>
      <c r="C24" s="433"/>
      <c r="D24" s="433"/>
      <c r="E24" s="433"/>
      <c r="F24" s="433"/>
      <c r="G24" s="226"/>
      <c r="H24" s="226"/>
      <c r="I24" s="226"/>
      <c r="J24" s="226"/>
      <c r="K24" s="226"/>
      <c r="L24" s="226"/>
      <c r="M24" s="227"/>
      <c r="N24" s="226"/>
      <c r="S24" s="338"/>
    </row>
    <row r="25" spans="1:31" s="210" customFormat="1" ht="5.25" customHeight="1" x14ac:dyDescent="0.3">
      <c r="A25" s="212"/>
      <c r="B25" s="212"/>
      <c r="C25" s="212"/>
      <c r="D25" s="228"/>
      <c r="E25" s="228"/>
      <c r="F25" s="228"/>
      <c r="G25" s="228"/>
      <c r="H25" s="228"/>
      <c r="I25" s="228"/>
      <c r="J25" s="228"/>
      <c r="K25" s="228"/>
      <c r="L25" s="228"/>
      <c r="M25" s="226"/>
      <c r="N25" s="226"/>
      <c r="S25" s="338"/>
    </row>
    <row r="26" spans="1:31" s="210" customFormat="1" ht="14.4" x14ac:dyDescent="0.3">
      <c r="A26" s="229" t="s">
        <v>536</v>
      </c>
      <c r="B26" s="212"/>
      <c r="C26" s="212"/>
      <c r="D26" s="434" t="s">
        <v>537</v>
      </c>
      <c r="E26" s="434"/>
      <c r="F26" s="434"/>
      <c r="G26" s="230"/>
      <c r="H26" s="230"/>
      <c r="I26" s="230"/>
      <c r="J26" s="230"/>
      <c r="K26" s="230"/>
      <c r="L26" s="230"/>
      <c r="M26" s="230"/>
      <c r="N26" s="230"/>
      <c r="S26" s="338"/>
      <c r="AE26" s="217" t="s">
        <v>538</v>
      </c>
    </row>
    <row r="27" spans="1:31" s="210" customFormat="1" ht="7.5" customHeight="1" x14ac:dyDescent="0.3">
      <c r="A27" s="212"/>
      <c r="B27" s="214"/>
      <c r="C27" s="214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S27" s="338"/>
    </row>
    <row r="28" spans="1:31" s="210" customFormat="1" ht="12" customHeight="1" x14ac:dyDescent="0.3">
      <c r="A28" s="229" t="s">
        <v>539</v>
      </c>
      <c r="B28" s="214"/>
      <c r="C28" s="232">
        <v>3693.47</v>
      </c>
      <c r="D28" s="233" t="s">
        <v>700</v>
      </c>
      <c r="E28" s="234" t="s">
        <v>540</v>
      </c>
      <c r="G28" s="214"/>
      <c r="H28" s="214"/>
      <c r="I28" s="214"/>
      <c r="J28" s="214"/>
      <c r="K28" s="214"/>
      <c r="L28" s="235"/>
      <c r="M28" s="235"/>
      <c r="N28" s="214"/>
      <c r="S28" s="338"/>
    </row>
    <row r="29" spans="1:31" s="210" customFormat="1" ht="11.25" customHeight="1" x14ac:dyDescent="0.3">
      <c r="A29" s="212"/>
      <c r="B29" s="236" t="s">
        <v>541</v>
      </c>
      <c r="C29" s="237"/>
      <c r="D29" s="238"/>
      <c r="E29" s="234"/>
      <c r="G29" s="214"/>
      <c r="S29" s="338"/>
    </row>
    <row r="30" spans="1:31" s="210" customFormat="1" ht="12" customHeight="1" x14ac:dyDescent="0.3">
      <c r="A30" s="212"/>
      <c r="B30" s="239" t="s">
        <v>542</v>
      </c>
      <c r="C30" s="232">
        <v>2947.31</v>
      </c>
      <c r="D30" s="233" t="s">
        <v>701</v>
      </c>
      <c r="E30" s="234" t="s">
        <v>540</v>
      </c>
      <c r="G30" s="214" t="s">
        <v>543</v>
      </c>
      <c r="I30" s="214"/>
      <c r="J30" s="214"/>
      <c r="K30" s="214"/>
      <c r="L30" s="232">
        <v>289.79000000000002</v>
      </c>
      <c r="M30" s="240" t="s">
        <v>702</v>
      </c>
      <c r="N30" s="234" t="s">
        <v>540</v>
      </c>
      <c r="S30" s="338"/>
    </row>
    <row r="31" spans="1:31" s="210" customFormat="1" ht="12" customHeight="1" x14ac:dyDescent="0.3">
      <c r="A31" s="212"/>
      <c r="B31" s="239" t="s">
        <v>544</v>
      </c>
      <c r="C31" s="232">
        <v>130.58000000000001</v>
      </c>
      <c r="D31" s="241" t="s">
        <v>703</v>
      </c>
      <c r="E31" s="234" t="s">
        <v>540</v>
      </c>
      <c r="G31" s="214" t="s">
        <v>545</v>
      </c>
      <c r="I31" s="214"/>
      <c r="J31" s="214"/>
      <c r="K31" s="214"/>
      <c r="L31" s="435">
        <v>679.66</v>
      </c>
      <c r="M31" s="435"/>
      <c r="N31" s="234" t="s">
        <v>546</v>
      </c>
      <c r="S31" s="338"/>
    </row>
    <row r="32" spans="1:31" s="210" customFormat="1" ht="12" customHeight="1" x14ac:dyDescent="0.3">
      <c r="A32" s="212"/>
      <c r="B32" s="239" t="s">
        <v>547</v>
      </c>
      <c r="C32" s="232">
        <v>0</v>
      </c>
      <c r="D32" s="241" t="s">
        <v>548</v>
      </c>
      <c r="E32" s="234" t="s">
        <v>540</v>
      </c>
      <c r="G32" s="214" t="s">
        <v>549</v>
      </c>
      <c r="I32" s="214"/>
      <c r="J32" s="214"/>
      <c r="K32" s="214"/>
      <c r="L32" s="435">
        <v>96.77</v>
      </c>
      <c r="M32" s="435"/>
      <c r="N32" s="234" t="s">
        <v>546</v>
      </c>
      <c r="S32" s="338"/>
    </row>
    <row r="33" spans="1:38" s="210" customFormat="1" ht="12" customHeight="1" x14ac:dyDescent="0.3">
      <c r="A33" s="212"/>
      <c r="B33" s="239" t="s">
        <v>550</v>
      </c>
      <c r="C33" s="232">
        <v>0</v>
      </c>
      <c r="D33" s="233" t="s">
        <v>548</v>
      </c>
      <c r="E33" s="234" t="s">
        <v>540</v>
      </c>
      <c r="G33" s="214"/>
      <c r="H33" s="214"/>
      <c r="I33" s="214"/>
      <c r="J33" s="214"/>
      <c r="K33" s="214"/>
      <c r="L33" s="429" t="s">
        <v>551</v>
      </c>
      <c r="M33" s="429"/>
      <c r="N33" s="214"/>
      <c r="S33" s="338"/>
    </row>
    <row r="34" spans="1:38" s="210" customFormat="1" ht="7.5" customHeight="1" x14ac:dyDescent="0.3">
      <c r="A34" s="242"/>
      <c r="S34" s="338"/>
    </row>
    <row r="35" spans="1:38" s="210" customFormat="1" ht="23.25" customHeight="1" x14ac:dyDescent="0.3">
      <c r="A35" s="430" t="s">
        <v>213</v>
      </c>
      <c r="B35" s="424" t="s">
        <v>552</v>
      </c>
      <c r="C35" s="424" t="s">
        <v>214</v>
      </c>
      <c r="D35" s="424"/>
      <c r="E35" s="424"/>
      <c r="F35" s="424" t="s">
        <v>553</v>
      </c>
      <c r="G35" s="424" t="s">
        <v>20</v>
      </c>
      <c r="H35" s="424"/>
      <c r="I35" s="424"/>
      <c r="J35" s="424" t="s">
        <v>554</v>
      </c>
      <c r="K35" s="424"/>
      <c r="L35" s="424"/>
      <c r="M35" s="424" t="s">
        <v>555</v>
      </c>
      <c r="N35" s="424" t="s">
        <v>556</v>
      </c>
      <c r="S35" s="338"/>
    </row>
    <row r="36" spans="1:38" s="210" customFormat="1" ht="28.5" customHeight="1" x14ac:dyDescent="0.3">
      <c r="A36" s="430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S36" s="338"/>
    </row>
    <row r="37" spans="1:38" s="210" customFormat="1" ht="20.399999999999999" x14ac:dyDescent="0.3">
      <c r="A37" s="430"/>
      <c r="B37" s="424"/>
      <c r="C37" s="424"/>
      <c r="D37" s="424"/>
      <c r="E37" s="424"/>
      <c r="F37" s="424"/>
      <c r="G37" s="243" t="s">
        <v>557</v>
      </c>
      <c r="H37" s="243" t="s">
        <v>558</v>
      </c>
      <c r="I37" s="243" t="s">
        <v>559</v>
      </c>
      <c r="J37" s="243" t="s">
        <v>557</v>
      </c>
      <c r="K37" s="243" t="s">
        <v>558</v>
      </c>
      <c r="L37" s="243" t="s">
        <v>560</v>
      </c>
      <c r="M37" s="424"/>
      <c r="N37" s="424"/>
      <c r="S37" s="338"/>
    </row>
    <row r="38" spans="1:38" s="210" customFormat="1" ht="14.4" x14ac:dyDescent="0.3">
      <c r="A38" s="244">
        <v>1</v>
      </c>
      <c r="B38" s="245">
        <v>2</v>
      </c>
      <c r="C38" s="425">
        <v>3</v>
      </c>
      <c r="D38" s="425"/>
      <c r="E38" s="425"/>
      <c r="F38" s="245">
        <v>4</v>
      </c>
      <c r="G38" s="245">
        <v>5</v>
      </c>
      <c r="H38" s="245">
        <v>6</v>
      </c>
      <c r="I38" s="245">
        <v>7</v>
      </c>
      <c r="J38" s="245">
        <v>8</v>
      </c>
      <c r="K38" s="245">
        <v>9</v>
      </c>
      <c r="L38" s="245">
        <v>10</v>
      </c>
      <c r="M38" s="245">
        <v>11</v>
      </c>
      <c r="N38" s="245">
        <v>12</v>
      </c>
      <c r="S38" s="338"/>
    </row>
    <row r="39" spans="1:38" s="210" customFormat="1" ht="14.4" x14ac:dyDescent="0.3">
      <c r="A39" s="426" t="s">
        <v>561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S39" s="338"/>
      <c r="AF39" s="246" t="s">
        <v>561</v>
      </c>
    </row>
    <row r="40" spans="1:38" s="210" customFormat="1" ht="31.8" x14ac:dyDescent="0.3">
      <c r="A40" s="247" t="s">
        <v>301</v>
      </c>
      <c r="B40" s="248" t="s">
        <v>562</v>
      </c>
      <c r="C40" s="421" t="s">
        <v>563</v>
      </c>
      <c r="D40" s="421"/>
      <c r="E40" s="421"/>
      <c r="F40" s="249" t="s">
        <v>564</v>
      </c>
      <c r="G40" s="250">
        <v>0.22</v>
      </c>
      <c r="H40" s="251">
        <v>1</v>
      </c>
      <c r="I40" s="252">
        <v>0.22</v>
      </c>
      <c r="J40" s="253"/>
      <c r="K40" s="250"/>
      <c r="L40" s="253"/>
      <c r="M40" s="250"/>
      <c r="N40" s="254"/>
      <c r="S40" s="338"/>
      <c r="AF40" s="246"/>
      <c r="AG40" s="255" t="s">
        <v>563</v>
      </c>
    </row>
    <row r="41" spans="1:38" s="210" customFormat="1" ht="14.4" x14ac:dyDescent="0.3">
      <c r="A41" s="256"/>
      <c r="B41" s="257"/>
      <c r="C41" s="418" t="s">
        <v>565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23"/>
      <c r="S41" s="338"/>
      <c r="AF41" s="246"/>
      <c r="AG41" s="255"/>
      <c r="AH41" s="258" t="s">
        <v>565</v>
      </c>
    </row>
    <row r="42" spans="1:38" s="210" customFormat="1" ht="52.2" x14ac:dyDescent="0.3">
      <c r="A42" s="283"/>
      <c r="B42" s="260" t="s">
        <v>704</v>
      </c>
      <c r="C42" s="417" t="s">
        <v>705</v>
      </c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22"/>
      <c r="S42" s="338"/>
      <c r="AF42" s="246"/>
      <c r="AG42" s="255"/>
      <c r="AI42" s="258" t="s">
        <v>705</v>
      </c>
    </row>
    <row r="43" spans="1:38" s="210" customFormat="1" ht="14.4" x14ac:dyDescent="0.3">
      <c r="A43" s="259"/>
      <c r="B43" s="260" t="s">
        <v>301</v>
      </c>
      <c r="C43" s="418" t="s">
        <v>566</v>
      </c>
      <c r="D43" s="418"/>
      <c r="E43" s="418"/>
      <c r="F43" s="261"/>
      <c r="G43" s="262"/>
      <c r="H43" s="262"/>
      <c r="I43" s="262"/>
      <c r="J43" s="263">
        <v>730.95</v>
      </c>
      <c r="K43" s="267">
        <v>1.1499999999999999</v>
      </c>
      <c r="L43" s="263">
        <v>184.93</v>
      </c>
      <c r="M43" s="264">
        <v>41.8</v>
      </c>
      <c r="N43" s="265">
        <v>7730.07</v>
      </c>
      <c r="S43" s="338"/>
      <c r="AF43" s="246"/>
      <c r="AG43" s="255"/>
      <c r="AJ43" s="258" t="s">
        <v>566</v>
      </c>
    </row>
    <row r="44" spans="1:38" s="210" customFormat="1" ht="14.4" x14ac:dyDescent="0.3">
      <c r="A44" s="259"/>
      <c r="B44" s="260" t="s">
        <v>304</v>
      </c>
      <c r="C44" s="418" t="s">
        <v>567</v>
      </c>
      <c r="D44" s="418"/>
      <c r="E44" s="418"/>
      <c r="F44" s="261"/>
      <c r="G44" s="262"/>
      <c r="H44" s="262"/>
      <c r="I44" s="262"/>
      <c r="J44" s="266">
        <v>3309.83</v>
      </c>
      <c r="K44" s="267">
        <v>1.1499999999999999</v>
      </c>
      <c r="L44" s="263">
        <v>837.39</v>
      </c>
      <c r="M44" s="267">
        <v>13.59</v>
      </c>
      <c r="N44" s="265">
        <v>11380.13</v>
      </c>
      <c r="S44" s="338"/>
      <c r="AF44" s="246"/>
      <c r="AG44" s="255"/>
      <c r="AJ44" s="258" t="s">
        <v>567</v>
      </c>
    </row>
    <row r="45" spans="1:38" s="210" customFormat="1" ht="14.4" x14ac:dyDescent="0.3">
      <c r="A45" s="259"/>
      <c r="B45" s="260" t="s">
        <v>568</v>
      </c>
      <c r="C45" s="418" t="s">
        <v>569</v>
      </c>
      <c r="D45" s="418"/>
      <c r="E45" s="418"/>
      <c r="F45" s="261"/>
      <c r="G45" s="262"/>
      <c r="H45" s="262"/>
      <c r="I45" s="262"/>
      <c r="J45" s="263">
        <v>446.48</v>
      </c>
      <c r="K45" s="267">
        <v>1.1499999999999999</v>
      </c>
      <c r="L45" s="263">
        <v>112.96</v>
      </c>
      <c r="M45" s="264">
        <v>41.8</v>
      </c>
      <c r="N45" s="265">
        <v>4721.7299999999996</v>
      </c>
      <c r="S45" s="338"/>
      <c r="AF45" s="246"/>
      <c r="AG45" s="255"/>
      <c r="AJ45" s="258" t="s">
        <v>569</v>
      </c>
    </row>
    <row r="46" spans="1:38" s="210" customFormat="1" ht="14.4" x14ac:dyDescent="0.3">
      <c r="A46" s="268"/>
      <c r="B46" s="260"/>
      <c r="C46" s="418" t="s">
        <v>570</v>
      </c>
      <c r="D46" s="418"/>
      <c r="E46" s="418"/>
      <c r="F46" s="261" t="s">
        <v>571</v>
      </c>
      <c r="G46" s="264">
        <v>82.5</v>
      </c>
      <c r="H46" s="267">
        <v>1.1499999999999999</v>
      </c>
      <c r="I46" s="271">
        <v>20.872499999999999</v>
      </c>
      <c r="J46" s="269"/>
      <c r="K46" s="262"/>
      <c r="L46" s="269"/>
      <c r="M46" s="262"/>
      <c r="N46" s="270"/>
      <c r="S46" s="338"/>
      <c r="AF46" s="246"/>
      <c r="AG46" s="255"/>
      <c r="AK46" s="258" t="s">
        <v>570</v>
      </c>
    </row>
    <row r="47" spans="1:38" s="210" customFormat="1" ht="14.4" x14ac:dyDescent="0.3">
      <c r="A47" s="268"/>
      <c r="B47" s="260"/>
      <c r="C47" s="418" t="s">
        <v>572</v>
      </c>
      <c r="D47" s="418"/>
      <c r="E47" s="418"/>
      <c r="F47" s="261" t="s">
        <v>571</v>
      </c>
      <c r="G47" s="267">
        <v>34.17</v>
      </c>
      <c r="H47" s="267">
        <v>1.1499999999999999</v>
      </c>
      <c r="I47" s="289">
        <v>8.6450099999999992</v>
      </c>
      <c r="J47" s="269"/>
      <c r="K47" s="262"/>
      <c r="L47" s="269"/>
      <c r="M47" s="262"/>
      <c r="N47" s="270"/>
      <c r="S47" s="338"/>
      <c r="AF47" s="246"/>
      <c r="AG47" s="255"/>
      <c r="AK47" s="258" t="s">
        <v>572</v>
      </c>
    </row>
    <row r="48" spans="1:38" s="210" customFormat="1" ht="14.4" x14ac:dyDescent="0.3">
      <c r="A48" s="259"/>
      <c r="B48" s="260"/>
      <c r="C48" s="420" t="s">
        <v>573</v>
      </c>
      <c r="D48" s="420"/>
      <c r="E48" s="420"/>
      <c r="F48" s="272"/>
      <c r="G48" s="273"/>
      <c r="H48" s="273"/>
      <c r="I48" s="273"/>
      <c r="J48" s="274">
        <v>4040.78</v>
      </c>
      <c r="K48" s="273"/>
      <c r="L48" s="274">
        <v>1022.32</v>
      </c>
      <c r="M48" s="273"/>
      <c r="N48" s="276">
        <v>19110.2</v>
      </c>
      <c r="S48" s="338"/>
      <c r="AF48" s="246"/>
      <c r="AG48" s="255"/>
      <c r="AL48" s="258" t="s">
        <v>573</v>
      </c>
    </row>
    <row r="49" spans="1:52" s="210" customFormat="1" ht="14.4" x14ac:dyDescent="0.3">
      <c r="A49" s="268"/>
      <c r="B49" s="260"/>
      <c r="C49" s="418" t="s">
        <v>574</v>
      </c>
      <c r="D49" s="418"/>
      <c r="E49" s="418"/>
      <c r="F49" s="261"/>
      <c r="G49" s="262"/>
      <c r="H49" s="262"/>
      <c r="I49" s="262"/>
      <c r="J49" s="269"/>
      <c r="K49" s="262"/>
      <c r="L49" s="263">
        <v>297.89</v>
      </c>
      <c r="M49" s="262"/>
      <c r="N49" s="265">
        <v>12451.8</v>
      </c>
      <c r="S49" s="338"/>
      <c r="AF49" s="246"/>
      <c r="AG49" s="255"/>
      <c r="AK49" s="258" t="s">
        <v>574</v>
      </c>
    </row>
    <row r="50" spans="1:52" s="210" customFormat="1" ht="21.6" x14ac:dyDescent="0.3">
      <c r="A50" s="268"/>
      <c r="B50" s="260" t="s">
        <v>575</v>
      </c>
      <c r="C50" s="418" t="s">
        <v>576</v>
      </c>
      <c r="D50" s="418"/>
      <c r="E50" s="418"/>
      <c r="F50" s="261" t="s">
        <v>577</v>
      </c>
      <c r="G50" s="277">
        <v>110</v>
      </c>
      <c r="H50" s="262"/>
      <c r="I50" s="277">
        <v>110</v>
      </c>
      <c r="J50" s="269"/>
      <c r="K50" s="262"/>
      <c r="L50" s="263">
        <v>327.68</v>
      </c>
      <c r="M50" s="262"/>
      <c r="N50" s="265">
        <v>13696.98</v>
      </c>
      <c r="S50" s="338"/>
      <c r="AF50" s="246"/>
      <c r="AG50" s="255"/>
      <c r="AK50" s="258" t="s">
        <v>576</v>
      </c>
    </row>
    <row r="51" spans="1:52" s="210" customFormat="1" ht="40.799999999999997" x14ac:dyDescent="0.3">
      <c r="A51" s="268"/>
      <c r="B51" s="260" t="s">
        <v>578</v>
      </c>
      <c r="C51" s="418" t="s">
        <v>579</v>
      </c>
      <c r="D51" s="418"/>
      <c r="E51" s="418"/>
      <c r="F51" s="261" t="s">
        <v>577</v>
      </c>
      <c r="G51" s="277">
        <v>73</v>
      </c>
      <c r="H51" s="267">
        <v>0.85</v>
      </c>
      <c r="I51" s="267">
        <v>62.05</v>
      </c>
      <c r="J51" s="269"/>
      <c r="K51" s="262"/>
      <c r="L51" s="263">
        <v>184.84</v>
      </c>
      <c r="M51" s="262"/>
      <c r="N51" s="265">
        <v>7726.34</v>
      </c>
      <c r="S51" s="338"/>
      <c r="AF51" s="246"/>
      <c r="AG51" s="255"/>
      <c r="AK51" s="258" t="s">
        <v>579</v>
      </c>
    </row>
    <row r="52" spans="1:52" s="210" customFormat="1" ht="14.4" x14ac:dyDescent="0.3">
      <c r="A52" s="278"/>
      <c r="B52" s="311"/>
      <c r="C52" s="421" t="s">
        <v>580</v>
      </c>
      <c r="D52" s="421"/>
      <c r="E52" s="421"/>
      <c r="F52" s="249"/>
      <c r="G52" s="250"/>
      <c r="H52" s="250"/>
      <c r="I52" s="250"/>
      <c r="J52" s="253"/>
      <c r="K52" s="250"/>
      <c r="L52" s="279">
        <v>1534.84</v>
      </c>
      <c r="M52" s="273"/>
      <c r="N52" s="280">
        <v>40533.519999999997</v>
      </c>
      <c r="S52" s="338"/>
      <c r="AF52" s="246"/>
      <c r="AG52" s="255"/>
      <c r="AM52" s="255" t="s">
        <v>580</v>
      </c>
    </row>
    <row r="53" spans="1:52" s="210" customFormat="1" ht="14.4" x14ac:dyDescent="0.3">
      <c r="A53" s="247" t="s">
        <v>304</v>
      </c>
      <c r="B53" s="248" t="s">
        <v>581</v>
      </c>
      <c r="C53" s="421" t="s">
        <v>582</v>
      </c>
      <c r="D53" s="421"/>
      <c r="E53" s="421"/>
      <c r="F53" s="249" t="s">
        <v>178</v>
      </c>
      <c r="G53" s="250">
        <v>22</v>
      </c>
      <c r="H53" s="251">
        <v>1</v>
      </c>
      <c r="I53" s="251">
        <v>22</v>
      </c>
      <c r="J53" s="281">
        <v>384.04</v>
      </c>
      <c r="K53" s="282">
        <v>1.0506</v>
      </c>
      <c r="L53" s="279">
        <v>8876.39</v>
      </c>
      <c r="M53" s="252">
        <v>8.92</v>
      </c>
      <c r="N53" s="280">
        <v>79177.399999999994</v>
      </c>
      <c r="S53" s="338"/>
      <c r="AF53" s="246"/>
      <c r="AG53" s="255" t="s">
        <v>582</v>
      </c>
      <c r="AM53" s="255"/>
    </row>
    <row r="54" spans="1:52" s="210" customFormat="1" ht="14.4" x14ac:dyDescent="0.3">
      <c r="A54" s="278"/>
      <c r="B54" s="311"/>
      <c r="C54" s="418" t="s">
        <v>583</v>
      </c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23"/>
      <c r="S54" s="338"/>
      <c r="AF54" s="246"/>
      <c r="AG54" s="255"/>
      <c r="AM54" s="255"/>
      <c r="AN54" s="258" t="s">
        <v>583</v>
      </c>
    </row>
    <row r="55" spans="1:52" s="210" customFormat="1" ht="14.4" x14ac:dyDescent="0.3">
      <c r="A55" s="256"/>
      <c r="B55" s="257"/>
      <c r="C55" s="418" t="s">
        <v>584</v>
      </c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23"/>
      <c r="S55" s="338"/>
      <c r="AF55" s="246"/>
      <c r="AG55" s="255"/>
      <c r="AM55" s="255"/>
      <c r="AO55" s="258" t="s">
        <v>584</v>
      </c>
    </row>
    <row r="56" spans="1:52" s="210" customFormat="1" ht="20.399999999999999" x14ac:dyDescent="0.3">
      <c r="A56" s="283"/>
      <c r="B56" s="260" t="s">
        <v>585</v>
      </c>
      <c r="C56" s="417" t="s">
        <v>586</v>
      </c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22"/>
      <c r="S56" s="338"/>
      <c r="AF56" s="246"/>
      <c r="AG56" s="255"/>
      <c r="AI56" s="258" t="s">
        <v>586</v>
      </c>
      <c r="AM56" s="255"/>
    </row>
    <row r="57" spans="1:52" s="210" customFormat="1" ht="14.4" x14ac:dyDescent="0.3">
      <c r="A57" s="283"/>
      <c r="B57" s="260"/>
      <c r="C57" s="417" t="s">
        <v>587</v>
      </c>
      <c r="D57" s="417"/>
      <c r="E57" s="417"/>
      <c r="F57" s="417"/>
      <c r="G57" s="417"/>
      <c r="H57" s="417"/>
      <c r="I57" s="417"/>
      <c r="J57" s="417"/>
      <c r="K57" s="417"/>
      <c r="L57" s="417"/>
      <c r="M57" s="417"/>
      <c r="N57" s="422"/>
      <c r="S57" s="338"/>
      <c r="AF57" s="246"/>
      <c r="AG57" s="255"/>
      <c r="AI57" s="258" t="s">
        <v>587</v>
      </c>
      <c r="AM57" s="255"/>
    </row>
    <row r="58" spans="1:52" s="210" customFormat="1" ht="14.4" x14ac:dyDescent="0.3">
      <c r="A58" s="278"/>
      <c r="B58" s="311"/>
      <c r="C58" s="421" t="s">
        <v>580</v>
      </c>
      <c r="D58" s="421"/>
      <c r="E58" s="421"/>
      <c r="F58" s="249"/>
      <c r="G58" s="250"/>
      <c r="H58" s="250"/>
      <c r="I58" s="250"/>
      <c r="J58" s="253"/>
      <c r="K58" s="250"/>
      <c r="L58" s="279">
        <v>8876.39</v>
      </c>
      <c r="M58" s="273"/>
      <c r="N58" s="280">
        <v>79177.399999999994</v>
      </c>
      <c r="S58" s="338"/>
      <c r="AF58" s="246"/>
      <c r="AG58" s="255"/>
      <c r="AM58" s="255" t="s">
        <v>580</v>
      </c>
    </row>
    <row r="59" spans="1:52" s="210" customFormat="1" ht="42" x14ac:dyDescent="0.3">
      <c r="A59" s="247" t="s">
        <v>568</v>
      </c>
      <c r="B59" s="248" t="s">
        <v>588</v>
      </c>
      <c r="C59" s="421" t="s">
        <v>589</v>
      </c>
      <c r="D59" s="421"/>
      <c r="E59" s="421"/>
      <c r="F59" s="249" t="s">
        <v>590</v>
      </c>
      <c r="G59" s="250">
        <v>0.48</v>
      </c>
      <c r="H59" s="251">
        <v>1</v>
      </c>
      <c r="I59" s="252">
        <v>0.48</v>
      </c>
      <c r="J59" s="253"/>
      <c r="K59" s="250"/>
      <c r="L59" s="253"/>
      <c r="M59" s="250"/>
      <c r="N59" s="254"/>
      <c r="R59" s="210" t="s">
        <v>696</v>
      </c>
      <c r="S59" s="338"/>
      <c r="AF59" s="246"/>
      <c r="AG59" s="255" t="s">
        <v>589</v>
      </c>
      <c r="AL59" s="255"/>
    </row>
    <row r="60" spans="1:52" s="210" customFormat="1" ht="14.4" x14ac:dyDescent="0.3">
      <c r="A60" s="256"/>
      <c r="B60" s="257"/>
      <c r="C60" s="418" t="s">
        <v>591</v>
      </c>
      <c r="D60" s="418"/>
      <c r="E60" s="418"/>
      <c r="F60" s="418"/>
      <c r="G60" s="418"/>
      <c r="H60" s="418"/>
      <c r="I60" s="418"/>
      <c r="J60" s="418"/>
      <c r="K60" s="418"/>
      <c r="L60" s="418"/>
      <c r="M60" s="418"/>
      <c r="N60" s="423"/>
      <c r="R60" s="413" t="s">
        <v>699</v>
      </c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413"/>
      <c r="AD60" s="413"/>
      <c r="AE60" s="413"/>
      <c r="AF60" s="413"/>
      <c r="AG60" s="413"/>
      <c r="AH60" s="413"/>
      <c r="AI60" s="413"/>
      <c r="AJ60" s="413"/>
      <c r="AK60" s="413"/>
      <c r="AL60" s="413"/>
      <c r="AM60" s="413"/>
      <c r="AN60" s="413"/>
      <c r="AO60" s="413"/>
      <c r="AP60" s="413"/>
      <c r="AQ60" s="413"/>
      <c r="AR60" s="413"/>
      <c r="AS60" s="413"/>
      <c r="AT60" s="413"/>
      <c r="AU60" s="413"/>
      <c r="AV60" s="413"/>
      <c r="AW60" s="413"/>
      <c r="AX60" s="413"/>
      <c r="AY60" s="413"/>
      <c r="AZ60" s="413"/>
    </row>
    <row r="61" spans="1:52" s="210" customFormat="1" ht="20.399999999999999" x14ac:dyDescent="0.3">
      <c r="A61" s="283"/>
      <c r="B61" s="260" t="s">
        <v>704</v>
      </c>
      <c r="C61" s="417" t="s">
        <v>705</v>
      </c>
      <c r="D61" s="417"/>
      <c r="E61" s="417"/>
      <c r="F61" s="417"/>
      <c r="G61" s="417"/>
      <c r="H61" s="417"/>
      <c r="I61" s="417"/>
      <c r="J61" s="417"/>
      <c r="K61" s="417"/>
      <c r="L61" s="417"/>
      <c r="M61" s="417"/>
      <c r="N61" s="422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</row>
    <row r="62" spans="1:52" s="210" customFormat="1" ht="14.4" x14ac:dyDescent="0.3">
      <c r="A62" s="259"/>
      <c r="B62" s="260" t="s">
        <v>301</v>
      </c>
      <c r="C62" s="418" t="s">
        <v>566</v>
      </c>
      <c r="D62" s="418"/>
      <c r="E62" s="418"/>
      <c r="F62" s="261"/>
      <c r="G62" s="262"/>
      <c r="H62" s="262"/>
      <c r="I62" s="262"/>
      <c r="J62" s="266">
        <v>8507.94</v>
      </c>
      <c r="K62" s="267">
        <v>1.1499999999999999</v>
      </c>
      <c r="L62" s="266">
        <v>4696.38</v>
      </c>
      <c r="M62" s="264">
        <v>41.8</v>
      </c>
      <c r="N62" s="265">
        <v>196308.68</v>
      </c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413"/>
      <c r="AD62" s="413"/>
      <c r="AE62" s="413"/>
      <c r="AF62" s="413"/>
      <c r="AG62" s="413"/>
      <c r="AH62" s="413"/>
      <c r="AI62" s="413"/>
      <c r="AJ62" s="413"/>
      <c r="AK62" s="413"/>
      <c r="AL62" s="413"/>
      <c r="AM62" s="413"/>
      <c r="AN62" s="413"/>
      <c r="AO62" s="413"/>
      <c r="AP62" s="413"/>
      <c r="AQ62" s="413"/>
      <c r="AR62" s="413"/>
      <c r="AS62" s="413"/>
      <c r="AT62" s="413"/>
      <c r="AU62" s="413"/>
      <c r="AV62" s="413"/>
      <c r="AW62" s="413"/>
      <c r="AX62" s="413"/>
      <c r="AY62" s="413"/>
      <c r="AZ62" s="413"/>
    </row>
    <row r="63" spans="1:52" s="210" customFormat="1" ht="14.4" x14ac:dyDescent="0.3">
      <c r="A63" s="259"/>
      <c r="B63" s="260" t="s">
        <v>304</v>
      </c>
      <c r="C63" s="418" t="s">
        <v>567</v>
      </c>
      <c r="D63" s="418"/>
      <c r="E63" s="418"/>
      <c r="F63" s="261"/>
      <c r="G63" s="262"/>
      <c r="H63" s="262"/>
      <c r="I63" s="262"/>
      <c r="J63" s="266">
        <v>18710.8</v>
      </c>
      <c r="K63" s="267">
        <v>1.1499999999999999</v>
      </c>
      <c r="L63" s="266">
        <v>10328.36</v>
      </c>
      <c r="M63" s="267">
        <v>13.59</v>
      </c>
      <c r="N63" s="265">
        <v>140362.41</v>
      </c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</row>
    <row r="64" spans="1:52" s="210" customFormat="1" ht="14.4" x14ac:dyDescent="0.3">
      <c r="A64" s="259"/>
      <c r="B64" s="260" t="s">
        <v>568</v>
      </c>
      <c r="C64" s="418" t="s">
        <v>569</v>
      </c>
      <c r="D64" s="418"/>
      <c r="E64" s="418"/>
      <c r="F64" s="261"/>
      <c r="G64" s="262"/>
      <c r="H64" s="262"/>
      <c r="I64" s="262"/>
      <c r="J64" s="266">
        <v>1848.3</v>
      </c>
      <c r="K64" s="267">
        <v>1.1499999999999999</v>
      </c>
      <c r="L64" s="266">
        <v>1020.26</v>
      </c>
      <c r="M64" s="264">
        <v>41.8</v>
      </c>
      <c r="N64" s="265">
        <v>42646.87</v>
      </c>
      <c r="S64" s="338"/>
      <c r="AF64" s="246"/>
      <c r="AG64" s="255"/>
      <c r="AJ64" s="258" t="s">
        <v>569</v>
      </c>
      <c r="AM64" s="255"/>
    </row>
    <row r="65" spans="1:40" s="210" customFormat="1" ht="14.4" x14ac:dyDescent="0.3">
      <c r="A65" s="259"/>
      <c r="B65" s="260" t="s">
        <v>592</v>
      </c>
      <c r="C65" s="418" t="s">
        <v>593</v>
      </c>
      <c r="D65" s="418"/>
      <c r="E65" s="418"/>
      <c r="F65" s="261"/>
      <c r="G65" s="262"/>
      <c r="H65" s="262"/>
      <c r="I65" s="262"/>
      <c r="J65" s="266">
        <v>21932.11</v>
      </c>
      <c r="K65" s="262"/>
      <c r="L65" s="266">
        <v>10527.41</v>
      </c>
      <c r="M65" s="267">
        <v>8.92</v>
      </c>
      <c r="N65" s="265">
        <v>93904.5</v>
      </c>
      <c r="S65" s="338"/>
      <c r="AF65" s="246"/>
      <c r="AG65" s="255"/>
      <c r="AJ65" s="258" t="s">
        <v>593</v>
      </c>
      <c r="AM65" s="255"/>
    </row>
    <row r="66" spans="1:40" s="210" customFormat="1" ht="14.4" x14ac:dyDescent="0.3">
      <c r="A66" s="268"/>
      <c r="B66" s="260"/>
      <c r="C66" s="418" t="s">
        <v>570</v>
      </c>
      <c r="D66" s="418"/>
      <c r="E66" s="418"/>
      <c r="F66" s="261" t="s">
        <v>571</v>
      </c>
      <c r="G66" s="267">
        <v>845.72</v>
      </c>
      <c r="H66" s="267">
        <v>1.1499999999999999</v>
      </c>
      <c r="I66" s="289">
        <v>466.83744000000002</v>
      </c>
      <c r="J66" s="269"/>
      <c r="K66" s="262"/>
      <c r="L66" s="269"/>
      <c r="M66" s="262"/>
      <c r="N66" s="270"/>
      <c r="S66" s="338"/>
      <c r="AF66" s="246"/>
      <c r="AG66" s="255"/>
      <c r="AK66" s="258" t="s">
        <v>570</v>
      </c>
      <c r="AM66" s="255"/>
    </row>
    <row r="67" spans="1:40" s="210" customFormat="1" ht="14.4" x14ac:dyDescent="0.3">
      <c r="A67" s="268"/>
      <c r="B67" s="260"/>
      <c r="C67" s="418" t="s">
        <v>572</v>
      </c>
      <c r="D67" s="418"/>
      <c r="E67" s="418"/>
      <c r="F67" s="261" t="s">
        <v>571</v>
      </c>
      <c r="G67" s="267">
        <v>150.28</v>
      </c>
      <c r="H67" s="267">
        <v>1.1499999999999999</v>
      </c>
      <c r="I67" s="289">
        <v>82.954560000000001</v>
      </c>
      <c r="J67" s="269"/>
      <c r="K67" s="262"/>
      <c r="L67" s="269"/>
      <c r="M67" s="262"/>
      <c r="N67" s="270"/>
      <c r="S67" s="338"/>
      <c r="AF67" s="246"/>
      <c r="AG67" s="255"/>
      <c r="AK67" s="258" t="s">
        <v>572</v>
      </c>
      <c r="AM67" s="255"/>
    </row>
    <row r="68" spans="1:40" s="210" customFormat="1" ht="14.4" x14ac:dyDescent="0.3">
      <c r="A68" s="259"/>
      <c r="B68" s="260"/>
      <c r="C68" s="420" t="s">
        <v>573</v>
      </c>
      <c r="D68" s="420"/>
      <c r="E68" s="420"/>
      <c r="F68" s="272"/>
      <c r="G68" s="273"/>
      <c r="H68" s="273"/>
      <c r="I68" s="273"/>
      <c r="J68" s="274">
        <v>49150.85</v>
      </c>
      <c r="K68" s="273"/>
      <c r="L68" s="274">
        <v>25552.15</v>
      </c>
      <c r="M68" s="273"/>
      <c r="N68" s="276">
        <v>430575.59</v>
      </c>
      <c r="S68" s="338"/>
      <c r="AF68" s="246"/>
      <c r="AG68" s="255"/>
      <c r="AL68" s="258" t="s">
        <v>573</v>
      </c>
      <c r="AM68" s="255"/>
    </row>
    <row r="69" spans="1:40" s="210" customFormat="1" ht="14.4" x14ac:dyDescent="0.3">
      <c r="A69" s="268"/>
      <c r="B69" s="260"/>
      <c r="C69" s="418" t="s">
        <v>574</v>
      </c>
      <c r="D69" s="418"/>
      <c r="E69" s="418"/>
      <c r="F69" s="261"/>
      <c r="G69" s="262"/>
      <c r="H69" s="262"/>
      <c r="I69" s="262"/>
      <c r="J69" s="269"/>
      <c r="K69" s="262"/>
      <c r="L69" s="266">
        <v>5716.64</v>
      </c>
      <c r="M69" s="262"/>
      <c r="N69" s="265">
        <v>238955.55</v>
      </c>
      <c r="S69" s="338"/>
      <c r="AF69" s="246"/>
      <c r="AG69" s="255"/>
      <c r="AK69" s="258" t="s">
        <v>574</v>
      </c>
      <c r="AM69" s="255"/>
    </row>
    <row r="70" spans="1:40" s="210" customFormat="1" ht="21.6" x14ac:dyDescent="0.3">
      <c r="A70" s="268"/>
      <c r="B70" s="260" t="s">
        <v>594</v>
      </c>
      <c r="C70" s="418" t="s">
        <v>595</v>
      </c>
      <c r="D70" s="418"/>
      <c r="E70" s="418"/>
      <c r="F70" s="261" t="s">
        <v>577</v>
      </c>
      <c r="G70" s="277">
        <v>117</v>
      </c>
      <c r="H70" s="262"/>
      <c r="I70" s="277">
        <v>117</v>
      </c>
      <c r="J70" s="269"/>
      <c r="K70" s="262"/>
      <c r="L70" s="266">
        <v>6688.47</v>
      </c>
      <c r="M70" s="262"/>
      <c r="N70" s="265">
        <v>279577.99</v>
      </c>
      <c r="S70" s="338"/>
      <c r="AF70" s="246"/>
      <c r="AG70" s="255"/>
      <c r="AK70" s="258" t="s">
        <v>595</v>
      </c>
      <c r="AM70" s="255"/>
    </row>
    <row r="71" spans="1:40" s="210" customFormat="1" ht="40.799999999999997" x14ac:dyDescent="0.3">
      <c r="A71" s="268"/>
      <c r="B71" s="260" t="s">
        <v>596</v>
      </c>
      <c r="C71" s="418" t="s">
        <v>597</v>
      </c>
      <c r="D71" s="418"/>
      <c r="E71" s="418"/>
      <c r="F71" s="261" t="s">
        <v>577</v>
      </c>
      <c r="G71" s="277">
        <v>74</v>
      </c>
      <c r="H71" s="267">
        <v>0.85</v>
      </c>
      <c r="I71" s="264">
        <v>62.9</v>
      </c>
      <c r="J71" s="269"/>
      <c r="K71" s="262"/>
      <c r="L71" s="266">
        <v>3595.77</v>
      </c>
      <c r="M71" s="262"/>
      <c r="N71" s="265">
        <v>150303.04000000001</v>
      </c>
      <c r="S71" s="338"/>
      <c r="AF71" s="246"/>
      <c r="AG71" s="255"/>
      <c r="AK71" s="258" t="s">
        <v>597</v>
      </c>
      <c r="AM71" s="255"/>
    </row>
    <row r="72" spans="1:40" s="210" customFormat="1" ht="14.4" x14ac:dyDescent="0.3">
      <c r="A72" s="278"/>
      <c r="B72" s="311"/>
      <c r="C72" s="421" t="s">
        <v>580</v>
      </c>
      <c r="D72" s="421"/>
      <c r="E72" s="421"/>
      <c r="F72" s="249"/>
      <c r="G72" s="250"/>
      <c r="H72" s="250"/>
      <c r="I72" s="250"/>
      <c r="J72" s="253"/>
      <c r="K72" s="250"/>
      <c r="L72" s="279">
        <v>35836.39</v>
      </c>
      <c r="M72" s="273"/>
      <c r="N72" s="280">
        <v>860456.62</v>
      </c>
      <c r="S72" s="338"/>
      <c r="AF72" s="246"/>
      <c r="AG72" s="255"/>
      <c r="AM72" s="255" t="s">
        <v>580</v>
      </c>
    </row>
    <row r="73" spans="1:40" s="210" customFormat="1" ht="62.4" x14ac:dyDescent="0.3">
      <c r="A73" s="247" t="s">
        <v>592</v>
      </c>
      <c r="B73" s="248" t="s">
        <v>598</v>
      </c>
      <c r="C73" s="421" t="s">
        <v>599</v>
      </c>
      <c r="D73" s="421"/>
      <c r="E73" s="421"/>
      <c r="F73" s="249" t="s">
        <v>182</v>
      </c>
      <c r="G73" s="250">
        <v>480</v>
      </c>
      <c r="H73" s="251">
        <v>1</v>
      </c>
      <c r="I73" s="251">
        <v>480</v>
      </c>
      <c r="J73" s="281">
        <v>373.66</v>
      </c>
      <c r="K73" s="250"/>
      <c r="L73" s="279">
        <v>179356.79999999999</v>
      </c>
      <c r="M73" s="252">
        <v>8.92</v>
      </c>
      <c r="N73" s="280">
        <v>1599862.66</v>
      </c>
      <c r="S73" s="338"/>
      <c r="AF73" s="246"/>
      <c r="AG73" s="255" t="s">
        <v>599</v>
      </c>
      <c r="AM73" s="255"/>
    </row>
    <row r="74" spans="1:40" s="210" customFormat="1" ht="14.4" x14ac:dyDescent="0.3">
      <c r="A74" s="278"/>
      <c r="B74" s="311"/>
      <c r="C74" s="418" t="s">
        <v>583</v>
      </c>
      <c r="D74" s="418"/>
      <c r="E74" s="418"/>
      <c r="F74" s="418"/>
      <c r="G74" s="418"/>
      <c r="H74" s="418"/>
      <c r="I74" s="418"/>
      <c r="J74" s="418"/>
      <c r="K74" s="418"/>
      <c r="L74" s="418"/>
      <c r="M74" s="418"/>
      <c r="N74" s="423"/>
      <c r="S74" s="338"/>
      <c r="AF74" s="246"/>
      <c r="AG74" s="255"/>
      <c r="AM74" s="255"/>
      <c r="AN74" s="258" t="s">
        <v>583</v>
      </c>
    </row>
    <row r="75" spans="1:40" s="210" customFormat="1" ht="14.4" x14ac:dyDescent="0.3">
      <c r="A75" s="278"/>
      <c r="B75" s="311"/>
      <c r="C75" s="421" t="s">
        <v>580</v>
      </c>
      <c r="D75" s="421"/>
      <c r="E75" s="421"/>
      <c r="F75" s="249"/>
      <c r="G75" s="250"/>
      <c r="H75" s="250"/>
      <c r="I75" s="250"/>
      <c r="J75" s="253"/>
      <c r="K75" s="250"/>
      <c r="L75" s="279">
        <v>179356.79999999999</v>
      </c>
      <c r="M75" s="273"/>
      <c r="N75" s="280">
        <v>1599862.66</v>
      </c>
      <c r="S75" s="338"/>
      <c r="AF75" s="246"/>
      <c r="AG75" s="255"/>
      <c r="AM75" s="255" t="s">
        <v>580</v>
      </c>
    </row>
    <row r="76" spans="1:40" s="210" customFormat="1" ht="42" x14ac:dyDescent="0.3">
      <c r="A76" s="247" t="s">
        <v>313</v>
      </c>
      <c r="B76" s="248" t="s">
        <v>600</v>
      </c>
      <c r="C76" s="421" t="s">
        <v>601</v>
      </c>
      <c r="D76" s="421"/>
      <c r="E76" s="421"/>
      <c r="F76" s="249" t="s">
        <v>178</v>
      </c>
      <c r="G76" s="250">
        <v>32</v>
      </c>
      <c r="H76" s="251">
        <v>1</v>
      </c>
      <c r="I76" s="251">
        <v>32</v>
      </c>
      <c r="J76" s="281">
        <v>205</v>
      </c>
      <c r="K76" s="250"/>
      <c r="L76" s="279">
        <v>6560</v>
      </c>
      <c r="M76" s="252">
        <v>8.92</v>
      </c>
      <c r="N76" s="280">
        <v>58515.199999999997</v>
      </c>
      <c r="S76" s="338">
        <f>N76/G76*1.2</f>
        <v>2194.3199999999997</v>
      </c>
      <c r="AF76" s="246"/>
      <c r="AG76" s="255" t="s">
        <v>601</v>
      </c>
      <c r="AM76" s="255"/>
    </row>
    <row r="77" spans="1:40" s="210" customFormat="1" ht="14.4" x14ac:dyDescent="0.3">
      <c r="A77" s="278"/>
      <c r="B77" s="311"/>
      <c r="C77" s="418" t="s">
        <v>583</v>
      </c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23"/>
      <c r="S77" s="338"/>
      <c r="AF77" s="246"/>
      <c r="AG77" s="255"/>
      <c r="AM77" s="255"/>
      <c r="AN77" s="258" t="s">
        <v>583</v>
      </c>
    </row>
    <row r="78" spans="1:40" s="210" customFormat="1" ht="14.4" x14ac:dyDescent="0.3">
      <c r="A78" s="278"/>
      <c r="B78" s="311"/>
      <c r="C78" s="421" t="s">
        <v>580</v>
      </c>
      <c r="D78" s="421"/>
      <c r="E78" s="421"/>
      <c r="F78" s="249"/>
      <c r="G78" s="250"/>
      <c r="H78" s="250"/>
      <c r="I78" s="250"/>
      <c r="J78" s="253"/>
      <c r="K78" s="250"/>
      <c r="L78" s="279">
        <v>6560</v>
      </c>
      <c r="M78" s="273"/>
      <c r="N78" s="280">
        <v>58515.199999999997</v>
      </c>
      <c r="S78" s="338"/>
      <c r="AF78" s="246"/>
      <c r="AG78" s="255"/>
      <c r="AM78" s="255" t="s">
        <v>580</v>
      </c>
    </row>
    <row r="79" spans="1:40" s="210" customFormat="1" ht="21.6" x14ac:dyDescent="0.3">
      <c r="A79" s="247" t="s">
        <v>320</v>
      </c>
      <c r="B79" s="248" t="s">
        <v>602</v>
      </c>
      <c r="C79" s="421" t="s">
        <v>603</v>
      </c>
      <c r="D79" s="421"/>
      <c r="E79" s="421"/>
      <c r="F79" s="249" t="s">
        <v>604</v>
      </c>
      <c r="G79" s="250">
        <v>0.40810000000000002</v>
      </c>
      <c r="H79" s="251">
        <v>1</v>
      </c>
      <c r="I79" s="282">
        <v>0.40810000000000002</v>
      </c>
      <c r="J79" s="253"/>
      <c r="K79" s="250"/>
      <c r="L79" s="253"/>
      <c r="M79" s="250"/>
      <c r="N79" s="254"/>
      <c r="S79" s="338"/>
      <c r="AF79" s="246"/>
      <c r="AG79" s="255" t="s">
        <v>603</v>
      </c>
      <c r="AM79" s="255"/>
    </row>
    <row r="80" spans="1:40" s="210" customFormat="1" ht="14.4" x14ac:dyDescent="0.3">
      <c r="A80" s="256"/>
      <c r="B80" s="257"/>
      <c r="C80" s="418" t="s">
        <v>605</v>
      </c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23"/>
      <c r="S80" s="338"/>
      <c r="AF80" s="246"/>
      <c r="AG80" s="255"/>
      <c r="AH80" s="258" t="s">
        <v>605</v>
      </c>
      <c r="AM80" s="255"/>
    </row>
    <row r="81" spans="1:39" s="210" customFormat="1" ht="52.2" x14ac:dyDescent="0.3">
      <c r="A81" s="283"/>
      <c r="B81" s="260" t="s">
        <v>704</v>
      </c>
      <c r="C81" s="417" t="s">
        <v>705</v>
      </c>
      <c r="D81" s="417"/>
      <c r="E81" s="417"/>
      <c r="F81" s="417"/>
      <c r="G81" s="417"/>
      <c r="H81" s="417"/>
      <c r="I81" s="417"/>
      <c r="J81" s="417"/>
      <c r="K81" s="417"/>
      <c r="L81" s="417"/>
      <c r="M81" s="417"/>
      <c r="N81" s="422"/>
      <c r="S81" s="338"/>
      <c r="AF81" s="246"/>
      <c r="AG81" s="255"/>
      <c r="AI81" s="258" t="s">
        <v>705</v>
      </c>
      <c r="AM81" s="255"/>
    </row>
    <row r="82" spans="1:39" s="210" customFormat="1" ht="14.4" x14ac:dyDescent="0.3">
      <c r="A82" s="259"/>
      <c r="B82" s="260" t="s">
        <v>301</v>
      </c>
      <c r="C82" s="418" t="s">
        <v>566</v>
      </c>
      <c r="D82" s="418"/>
      <c r="E82" s="418"/>
      <c r="F82" s="261"/>
      <c r="G82" s="262"/>
      <c r="H82" s="262"/>
      <c r="I82" s="262"/>
      <c r="J82" s="263">
        <v>19.32</v>
      </c>
      <c r="K82" s="267">
        <v>1.1499999999999999</v>
      </c>
      <c r="L82" s="263">
        <v>9.07</v>
      </c>
      <c r="M82" s="264">
        <v>41.8</v>
      </c>
      <c r="N82" s="284">
        <v>379.13</v>
      </c>
      <c r="S82" s="338"/>
      <c r="AF82" s="246"/>
      <c r="AG82" s="255"/>
      <c r="AJ82" s="258" t="s">
        <v>566</v>
      </c>
      <c r="AM82" s="255"/>
    </row>
    <row r="83" spans="1:39" s="210" customFormat="1" ht="14.4" x14ac:dyDescent="0.3">
      <c r="A83" s="259"/>
      <c r="B83" s="260" t="s">
        <v>304</v>
      </c>
      <c r="C83" s="418" t="s">
        <v>567</v>
      </c>
      <c r="D83" s="418"/>
      <c r="E83" s="418"/>
      <c r="F83" s="261"/>
      <c r="G83" s="262"/>
      <c r="H83" s="262"/>
      <c r="I83" s="262"/>
      <c r="J83" s="263">
        <v>6.01</v>
      </c>
      <c r="K83" s="267">
        <v>1.1499999999999999</v>
      </c>
      <c r="L83" s="263">
        <v>2.82</v>
      </c>
      <c r="M83" s="267">
        <v>13.59</v>
      </c>
      <c r="N83" s="284">
        <v>38.32</v>
      </c>
      <c r="S83" s="338"/>
      <c r="AF83" s="246"/>
      <c r="AG83" s="255"/>
      <c r="AJ83" s="258" t="s">
        <v>567</v>
      </c>
      <c r="AM83" s="255"/>
    </row>
    <row r="84" spans="1:39" s="210" customFormat="1" ht="14.4" x14ac:dyDescent="0.3">
      <c r="A84" s="259"/>
      <c r="B84" s="260" t="s">
        <v>568</v>
      </c>
      <c r="C84" s="418" t="s">
        <v>569</v>
      </c>
      <c r="D84" s="418"/>
      <c r="E84" s="418"/>
      <c r="F84" s="261"/>
      <c r="G84" s="262"/>
      <c r="H84" s="262"/>
      <c r="I84" s="262"/>
      <c r="J84" s="263">
        <v>0.22</v>
      </c>
      <c r="K84" s="267">
        <v>1.1499999999999999</v>
      </c>
      <c r="L84" s="263">
        <v>0.1</v>
      </c>
      <c r="M84" s="264">
        <v>41.8</v>
      </c>
      <c r="N84" s="284">
        <v>4.18</v>
      </c>
      <c r="S84" s="338"/>
      <c r="AF84" s="246"/>
      <c r="AG84" s="255"/>
      <c r="AJ84" s="258" t="s">
        <v>569</v>
      </c>
      <c r="AM84" s="255"/>
    </row>
    <row r="85" spans="1:39" s="210" customFormat="1" ht="14.4" x14ac:dyDescent="0.3">
      <c r="A85" s="259"/>
      <c r="B85" s="260" t="s">
        <v>592</v>
      </c>
      <c r="C85" s="418" t="s">
        <v>593</v>
      </c>
      <c r="D85" s="418"/>
      <c r="E85" s="418"/>
      <c r="F85" s="261"/>
      <c r="G85" s="262"/>
      <c r="H85" s="262"/>
      <c r="I85" s="262"/>
      <c r="J85" s="263">
        <v>138.16</v>
      </c>
      <c r="K85" s="262"/>
      <c r="L85" s="263">
        <v>56.38</v>
      </c>
      <c r="M85" s="267">
        <v>8.92</v>
      </c>
      <c r="N85" s="284">
        <v>502.91</v>
      </c>
      <c r="S85" s="338"/>
      <c r="AF85" s="246"/>
      <c r="AG85" s="255"/>
      <c r="AJ85" s="258" t="s">
        <v>593</v>
      </c>
      <c r="AM85" s="255"/>
    </row>
    <row r="86" spans="1:39" s="210" customFormat="1" ht="14.4" x14ac:dyDescent="0.3">
      <c r="A86" s="268"/>
      <c r="B86" s="260"/>
      <c r="C86" s="418" t="s">
        <v>570</v>
      </c>
      <c r="D86" s="418"/>
      <c r="E86" s="418"/>
      <c r="F86" s="261" t="s">
        <v>571</v>
      </c>
      <c r="G86" s="267">
        <v>2.13</v>
      </c>
      <c r="H86" s="267">
        <v>1.1499999999999999</v>
      </c>
      <c r="I86" s="285">
        <v>0.999641</v>
      </c>
      <c r="J86" s="269"/>
      <c r="K86" s="262"/>
      <c r="L86" s="269"/>
      <c r="M86" s="262"/>
      <c r="N86" s="270"/>
      <c r="S86" s="338"/>
      <c r="AF86" s="246"/>
      <c r="AG86" s="255"/>
      <c r="AK86" s="258" t="s">
        <v>570</v>
      </c>
      <c r="AM86" s="255"/>
    </row>
    <row r="87" spans="1:39" s="210" customFormat="1" ht="14.4" x14ac:dyDescent="0.3">
      <c r="A87" s="268"/>
      <c r="B87" s="260"/>
      <c r="C87" s="418" t="s">
        <v>572</v>
      </c>
      <c r="D87" s="418"/>
      <c r="E87" s="418"/>
      <c r="F87" s="261" t="s">
        <v>571</v>
      </c>
      <c r="G87" s="267">
        <v>0.02</v>
      </c>
      <c r="H87" s="267">
        <v>1.1499999999999999</v>
      </c>
      <c r="I87" s="334">
        <v>9.3863000000000002E-3</v>
      </c>
      <c r="J87" s="269"/>
      <c r="K87" s="262"/>
      <c r="L87" s="269"/>
      <c r="M87" s="262"/>
      <c r="N87" s="270"/>
      <c r="S87" s="338"/>
      <c r="AF87" s="246"/>
      <c r="AG87" s="255"/>
      <c r="AK87" s="258" t="s">
        <v>572</v>
      </c>
      <c r="AM87" s="255"/>
    </row>
    <row r="88" spans="1:39" s="210" customFormat="1" ht="14.4" x14ac:dyDescent="0.3">
      <c r="A88" s="259"/>
      <c r="B88" s="260"/>
      <c r="C88" s="420" t="s">
        <v>573</v>
      </c>
      <c r="D88" s="420"/>
      <c r="E88" s="420"/>
      <c r="F88" s="272"/>
      <c r="G88" s="273"/>
      <c r="H88" s="273"/>
      <c r="I88" s="273"/>
      <c r="J88" s="275">
        <v>163.49</v>
      </c>
      <c r="K88" s="273"/>
      <c r="L88" s="275">
        <v>68.27</v>
      </c>
      <c r="M88" s="273"/>
      <c r="N88" s="286">
        <v>920.36</v>
      </c>
      <c r="S88" s="338"/>
      <c r="AF88" s="246"/>
      <c r="AG88" s="255"/>
      <c r="AL88" s="258" t="s">
        <v>573</v>
      </c>
      <c r="AM88" s="255"/>
    </row>
    <row r="89" spans="1:39" s="210" customFormat="1" ht="14.4" x14ac:dyDescent="0.3">
      <c r="A89" s="268"/>
      <c r="B89" s="260"/>
      <c r="C89" s="418" t="s">
        <v>574</v>
      </c>
      <c r="D89" s="418"/>
      <c r="E89" s="418"/>
      <c r="F89" s="261"/>
      <c r="G89" s="262"/>
      <c r="H89" s="262"/>
      <c r="I89" s="262"/>
      <c r="J89" s="269"/>
      <c r="K89" s="262"/>
      <c r="L89" s="263">
        <v>9.17</v>
      </c>
      <c r="M89" s="262"/>
      <c r="N89" s="284">
        <v>383.31</v>
      </c>
      <c r="S89" s="338"/>
      <c r="AF89" s="246"/>
      <c r="AG89" s="255"/>
      <c r="AK89" s="258" t="s">
        <v>574</v>
      </c>
      <c r="AM89" s="255"/>
    </row>
    <row r="90" spans="1:39" s="210" customFormat="1" ht="21.6" x14ac:dyDescent="0.3">
      <c r="A90" s="268"/>
      <c r="B90" s="260" t="s">
        <v>606</v>
      </c>
      <c r="C90" s="418" t="s">
        <v>607</v>
      </c>
      <c r="D90" s="418"/>
      <c r="E90" s="418"/>
      <c r="F90" s="261" t="s">
        <v>577</v>
      </c>
      <c r="G90" s="277">
        <v>94</v>
      </c>
      <c r="H90" s="262"/>
      <c r="I90" s="277">
        <v>94</v>
      </c>
      <c r="J90" s="269"/>
      <c r="K90" s="262"/>
      <c r="L90" s="263">
        <v>8.6199999999999992</v>
      </c>
      <c r="M90" s="262"/>
      <c r="N90" s="284">
        <v>360.31</v>
      </c>
      <c r="S90" s="338"/>
      <c r="AF90" s="246"/>
      <c r="AG90" s="255"/>
      <c r="AK90" s="258" t="s">
        <v>607</v>
      </c>
      <c r="AM90" s="255"/>
    </row>
    <row r="91" spans="1:39" s="210" customFormat="1" ht="40.799999999999997" x14ac:dyDescent="0.3">
      <c r="A91" s="268"/>
      <c r="B91" s="260" t="s">
        <v>608</v>
      </c>
      <c r="C91" s="418" t="s">
        <v>609</v>
      </c>
      <c r="D91" s="418"/>
      <c r="E91" s="418"/>
      <c r="F91" s="261" t="s">
        <v>577</v>
      </c>
      <c r="G91" s="277">
        <v>51</v>
      </c>
      <c r="H91" s="267">
        <v>0.85</v>
      </c>
      <c r="I91" s="267">
        <v>43.35</v>
      </c>
      <c r="J91" s="269"/>
      <c r="K91" s="262"/>
      <c r="L91" s="263">
        <v>3.98</v>
      </c>
      <c r="M91" s="262"/>
      <c r="N91" s="284">
        <v>166.16</v>
      </c>
      <c r="S91" s="338"/>
      <c r="AF91" s="246"/>
      <c r="AG91" s="255"/>
      <c r="AK91" s="258" t="s">
        <v>609</v>
      </c>
      <c r="AM91" s="255"/>
    </row>
    <row r="92" spans="1:39" s="210" customFormat="1" ht="14.4" x14ac:dyDescent="0.3">
      <c r="A92" s="278"/>
      <c r="B92" s="311"/>
      <c r="C92" s="421" t="s">
        <v>580</v>
      </c>
      <c r="D92" s="421"/>
      <c r="E92" s="421"/>
      <c r="F92" s="249"/>
      <c r="G92" s="250"/>
      <c r="H92" s="250"/>
      <c r="I92" s="250"/>
      <c r="J92" s="253"/>
      <c r="K92" s="250"/>
      <c r="L92" s="281">
        <v>80.87</v>
      </c>
      <c r="M92" s="273"/>
      <c r="N92" s="280">
        <v>1446.83</v>
      </c>
      <c r="S92" s="338"/>
      <c r="AF92" s="246"/>
      <c r="AG92" s="255"/>
      <c r="AM92" s="255" t="s">
        <v>580</v>
      </c>
    </row>
    <row r="93" spans="1:39" s="210" customFormat="1" ht="31.8" x14ac:dyDescent="0.3">
      <c r="A93" s="247" t="s">
        <v>610</v>
      </c>
      <c r="B93" s="248" t="s">
        <v>611</v>
      </c>
      <c r="C93" s="421" t="s">
        <v>612</v>
      </c>
      <c r="D93" s="421"/>
      <c r="E93" s="421"/>
      <c r="F93" s="249" t="s">
        <v>181</v>
      </c>
      <c r="G93" s="250">
        <v>1.512</v>
      </c>
      <c r="H93" s="251">
        <v>1</v>
      </c>
      <c r="I93" s="287">
        <v>1.512</v>
      </c>
      <c r="J93" s="253"/>
      <c r="K93" s="250"/>
      <c r="L93" s="253"/>
      <c r="M93" s="250"/>
      <c r="N93" s="254"/>
      <c r="S93" s="338"/>
      <c r="AF93" s="246"/>
      <c r="AG93" s="255" t="s">
        <v>612</v>
      </c>
      <c r="AM93" s="255"/>
    </row>
    <row r="94" spans="1:39" s="210" customFormat="1" ht="52.2" x14ac:dyDescent="0.3">
      <c r="A94" s="283"/>
      <c r="B94" s="260" t="s">
        <v>704</v>
      </c>
      <c r="C94" s="417" t="s">
        <v>705</v>
      </c>
      <c r="D94" s="417"/>
      <c r="E94" s="417"/>
      <c r="F94" s="417"/>
      <c r="G94" s="417"/>
      <c r="H94" s="417"/>
      <c r="I94" s="417"/>
      <c r="J94" s="417"/>
      <c r="K94" s="417"/>
      <c r="L94" s="417"/>
      <c r="M94" s="417"/>
      <c r="N94" s="422"/>
      <c r="S94" s="338"/>
      <c r="AF94" s="246"/>
      <c r="AG94" s="255"/>
      <c r="AI94" s="258" t="s">
        <v>705</v>
      </c>
      <c r="AM94" s="255"/>
    </row>
    <row r="95" spans="1:39" s="210" customFormat="1" ht="14.4" x14ac:dyDescent="0.3">
      <c r="A95" s="259"/>
      <c r="B95" s="260" t="s">
        <v>301</v>
      </c>
      <c r="C95" s="418" t="s">
        <v>566</v>
      </c>
      <c r="D95" s="418"/>
      <c r="E95" s="418"/>
      <c r="F95" s="261"/>
      <c r="G95" s="262"/>
      <c r="H95" s="262"/>
      <c r="I95" s="262"/>
      <c r="J95" s="263">
        <v>136.63999999999999</v>
      </c>
      <c r="K95" s="267">
        <v>1.1499999999999999</v>
      </c>
      <c r="L95" s="263">
        <v>237.59</v>
      </c>
      <c r="M95" s="264">
        <v>41.8</v>
      </c>
      <c r="N95" s="265">
        <v>9931.26</v>
      </c>
      <c r="S95" s="338"/>
      <c r="AF95" s="246"/>
      <c r="AG95" s="255"/>
      <c r="AJ95" s="258" t="s">
        <v>566</v>
      </c>
      <c r="AM95" s="255"/>
    </row>
    <row r="96" spans="1:39" s="210" customFormat="1" ht="14.4" x14ac:dyDescent="0.3">
      <c r="A96" s="259"/>
      <c r="B96" s="260" t="s">
        <v>304</v>
      </c>
      <c r="C96" s="418" t="s">
        <v>567</v>
      </c>
      <c r="D96" s="418"/>
      <c r="E96" s="418"/>
      <c r="F96" s="261"/>
      <c r="G96" s="262"/>
      <c r="H96" s="262"/>
      <c r="I96" s="262"/>
      <c r="J96" s="263">
        <v>40.130000000000003</v>
      </c>
      <c r="K96" s="267">
        <v>1.1499999999999999</v>
      </c>
      <c r="L96" s="263">
        <v>69.78</v>
      </c>
      <c r="M96" s="267">
        <v>13.59</v>
      </c>
      <c r="N96" s="284">
        <v>948.31</v>
      </c>
      <c r="S96" s="338"/>
      <c r="AF96" s="246"/>
      <c r="AG96" s="255"/>
      <c r="AJ96" s="258" t="s">
        <v>567</v>
      </c>
      <c r="AM96" s="255"/>
    </row>
    <row r="97" spans="1:41" s="210" customFormat="1" ht="14.4" x14ac:dyDescent="0.3">
      <c r="A97" s="259"/>
      <c r="B97" s="260" t="s">
        <v>568</v>
      </c>
      <c r="C97" s="418" t="s">
        <v>569</v>
      </c>
      <c r="D97" s="418"/>
      <c r="E97" s="418"/>
      <c r="F97" s="261"/>
      <c r="G97" s="262"/>
      <c r="H97" s="262"/>
      <c r="I97" s="262"/>
      <c r="J97" s="263">
        <v>6.84</v>
      </c>
      <c r="K97" s="267">
        <v>1.1499999999999999</v>
      </c>
      <c r="L97" s="263">
        <v>11.89</v>
      </c>
      <c r="M97" s="264">
        <v>41.8</v>
      </c>
      <c r="N97" s="284">
        <v>497</v>
      </c>
      <c r="S97" s="338"/>
      <c r="AF97" s="246"/>
      <c r="AG97" s="255"/>
      <c r="AJ97" s="258" t="s">
        <v>569</v>
      </c>
      <c r="AM97" s="255"/>
    </row>
    <row r="98" spans="1:41" s="210" customFormat="1" ht="14.4" x14ac:dyDescent="0.3">
      <c r="A98" s="259"/>
      <c r="B98" s="260" t="s">
        <v>592</v>
      </c>
      <c r="C98" s="418" t="s">
        <v>593</v>
      </c>
      <c r="D98" s="418"/>
      <c r="E98" s="418"/>
      <c r="F98" s="261"/>
      <c r="G98" s="262"/>
      <c r="H98" s="262"/>
      <c r="I98" s="262"/>
      <c r="J98" s="263">
        <v>298.82</v>
      </c>
      <c r="K98" s="262"/>
      <c r="L98" s="263">
        <v>451.82</v>
      </c>
      <c r="M98" s="267">
        <v>8.92</v>
      </c>
      <c r="N98" s="265">
        <v>4030.23</v>
      </c>
      <c r="S98" s="338"/>
      <c r="AF98" s="246"/>
      <c r="AG98" s="255"/>
      <c r="AJ98" s="258" t="s">
        <v>593</v>
      </c>
      <c r="AM98" s="255"/>
    </row>
    <row r="99" spans="1:41" s="210" customFormat="1" ht="14.4" x14ac:dyDescent="0.3">
      <c r="A99" s="268"/>
      <c r="B99" s="260"/>
      <c r="C99" s="418" t="s">
        <v>570</v>
      </c>
      <c r="D99" s="418"/>
      <c r="E99" s="418"/>
      <c r="F99" s="261" t="s">
        <v>571</v>
      </c>
      <c r="G99" s="277">
        <v>14</v>
      </c>
      <c r="H99" s="267">
        <v>1.1499999999999999</v>
      </c>
      <c r="I99" s="271">
        <v>24.3432</v>
      </c>
      <c r="J99" s="269"/>
      <c r="K99" s="262"/>
      <c r="L99" s="269"/>
      <c r="M99" s="262"/>
      <c r="N99" s="270"/>
      <c r="S99" s="338"/>
      <c r="AF99" s="246"/>
      <c r="AG99" s="255"/>
      <c r="AK99" s="258" t="s">
        <v>570</v>
      </c>
      <c r="AM99" s="255"/>
    </row>
    <row r="100" spans="1:41" s="210" customFormat="1" ht="14.4" x14ac:dyDescent="0.3">
      <c r="A100" s="268"/>
      <c r="B100" s="260"/>
      <c r="C100" s="418" t="s">
        <v>572</v>
      </c>
      <c r="D100" s="418"/>
      <c r="E100" s="418"/>
      <c r="F100" s="261" t="s">
        <v>571</v>
      </c>
      <c r="G100" s="267">
        <v>0.59</v>
      </c>
      <c r="H100" s="267">
        <v>1.1499999999999999</v>
      </c>
      <c r="I100" s="285">
        <v>1.025892</v>
      </c>
      <c r="J100" s="269"/>
      <c r="K100" s="262"/>
      <c r="L100" s="269"/>
      <c r="M100" s="262"/>
      <c r="N100" s="270"/>
      <c r="S100" s="338"/>
      <c r="AF100" s="246"/>
      <c r="AG100" s="255"/>
      <c r="AK100" s="258" t="s">
        <v>572</v>
      </c>
      <c r="AM100" s="255"/>
    </row>
    <row r="101" spans="1:41" s="210" customFormat="1" ht="14.4" x14ac:dyDescent="0.3">
      <c r="A101" s="259"/>
      <c r="B101" s="260"/>
      <c r="C101" s="420" t="s">
        <v>573</v>
      </c>
      <c r="D101" s="420"/>
      <c r="E101" s="420"/>
      <c r="F101" s="272"/>
      <c r="G101" s="273"/>
      <c r="H101" s="273"/>
      <c r="I101" s="273"/>
      <c r="J101" s="275">
        <v>475.59</v>
      </c>
      <c r="K101" s="273"/>
      <c r="L101" s="275">
        <v>759.19</v>
      </c>
      <c r="M101" s="273"/>
      <c r="N101" s="276">
        <v>14909.8</v>
      </c>
      <c r="S101" s="338"/>
      <c r="AF101" s="246"/>
      <c r="AG101" s="255"/>
      <c r="AL101" s="258" t="s">
        <v>573</v>
      </c>
      <c r="AM101" s="255"/>
    </row>
    <row r="102" spans="1:41" s="210" customFormat="1" ht="14.4" x14ac:dyDescent="0.3">
      <c r="A102" s="268"/>
      <c r="B102" s="260"/>
      <c r="C102" s="418" t="s">
        <v>574</v>
      </c>
      <c r="D102" s="418"/>
      <c r="E102" s="418"/>
      <c r="F102" s="261"/>
      <c r="G102" s="262"/>
      <c r="H102" s="262"/>
      <c r="I102" s="262"/>
      <c r="J102" s="269"/>
      <c r="K102" s="262"/>
      <c r="L102" s="263">
        <v>249.48</v>
      </c>
      <c r="M102" s="262"/>
      <c r="N102" s="265">
        <v>10428.26</v>
      </c>
      <c r="S102" s="338"/>
      <c r="AF102" s="246"/>
      <c r="AG102" s="255"/>
      <c r="AK102" s="258" t="s">
        <v>574</v>
      </c>
      <c r="AM102" s="255"/>
    </row>
    <row r="103" spans="1:41" s="210" customFormat="1" ht="14.4" x14ac:dyDescent="0.3">
      <c r="A103" s="268"/>
      <c r="B103" s="260" t="s">
        <v>613</v>
      </c>
      <c r="C103" s="418" t="s">
        <v>614</v>
      </c>
      <c r="D103" s="418"/>
      <c r="E103" s="418"/>
      <c r="F103" s="261" t="s">
        <v>577</v>
      </c>
      <c r="G103" s="277">
        <v>97</v>
      </c>
      <c r="H103" s="262"/>
      <c r="I103" s="277">
        <v>97</v>
      </c>
      <c r="J103" s="269"/>
      <c r="K103" s="262"/>
      <c r="L103" s="263">
        <v>242</v>
      </c>
      <c r="M103" s="262"/>
      <c r="N103" s="265">
        <v>10115.41</v>
      </c>
      <c r="S103" s="338"/>
      <c r="AF103" s="246"/>
      <c r="AG103" s="255"/>
      <c r="AK103" s="258" t="s">
        <v>614</v>
      </c>
      <c r="AM103" s="255"/>
    </row>
    <row r="104" spans="1:41" s="210" customFormat="1" ht="20.399999999999999" x14ac:dyDescent="0.3">
      <c r="A104" s="268"/>
      <c r="B104" s="260" t="s">
        <v>615</v>
      </c>
      <c r="C104" s="418" t="s">
        <v>616</v>
      </c>
      <c r="D104" s="418"/>
      <c r="E104" s="418"/>
      <c r="F104" s="261" t="s">
        <v>577</v>
      </c>
      <c r="G104" s="277">
        <v>55</v>
      </c>
      <c r="H104" s="267">
        <v>0.85</v>
      </c>
      <c r="I104" s="267">
        <v>46.75</v>
      </c>
      <c r="J104" s="269"/>
      <c r="K104" s="262"/>
      <c r="L104" s="263">
        <v>116.63</v>
      </c>
      <c r="M104" s="262"/>
      <c r="N104" s="265">
        <v>4875.21</v>
      </c>
      <c r="S104" s="338"/>
      <c r="AF104" s="246"/>
      <c r="AG104" s="255"/>
      <c r="AK104" s="258" t="s">
        <v>616</v>
      </c>
      <c r="AM104" s="255"/>
    </row>
    <row r="105" spans="1:41" s="210" customFormat="1" ht="14.4" x14ac:dyDescent="0.3">
      <c r="A105" s="278"/>
      <c r="B105" s="311"/>
      <c r="C105" s="421" t="s">
        <v>580</v>
      </c>
      <c r="D105" s="421"/>
      <c r="E105" s="421"/>
      <c r="F105" s="249"/>
      <c r="G105" s="250"/>
      <c r="H105" s="250"/>
      <c r="I105" s="250"/>
      <c r="J105" s="253"/>
      <c r="K105" s="250"/>
      <c r="L105" s="279">
        <v>1117.82</v>
      </c>
      <c r="M105" s="273"/>
      <c r="N105" s="280">
        <v>29900.42</v>
      </c>
      <c r="S105" s="338"/>
      <c r="AF105" s="246"/>
      <c r="AG105" s="255"/>
      <c r="AM105" s="255" t="s">
        <v>580</v>
      </c>
    </row>
    <row r="106" spans="1:41" s="210" customFormat="1" ht="14.4" x14ac:dyDescent="0.3">
      <c r="A106" s="247" t="s">
        <v>617</v>
      </c>
      <c r="B106" s="248" t="s">
        <v>581</v>
      </c>
      <c r="C106" s="421" t="s">
        <v>475</v>
      </c>
      <c r="D106" s="421"/>
      <c r="E106" s="421"/>
      <c r="F106" s="249" t="s">
        <v>178</v>
      </c>
      <c r="G106" s="250">
        <v>14</v>
      </c>
      <c r="H106" s="251">
        <v>1</v>
      </c>
      <c r="I106" s="251">
        <v>14</v>
      </c>
      <c r="J106" s="281">
        <v>690.35</v>
      </c>
      <c r="K106" s="282">
        <v>1.0506</v>
      </c>
      <c r="L106" s="279">
        <v>10153.94</v>
      </c>
      <c r="M106" s="252">
        <v>8.92</v>
      </c>
      <c r="N106" s="280">
        <v>90573.14</v>
      </c>
      <c r="S106" s="338"/>
      <c r="AF106" s="246"/>
      <c r="AG106" s="255" t="s">
        <v>475</v>
      </c>
      <c r="AM106" s="255"/>
    </row>
    <row r="107" spans="1:41" s="210" customFormat="1" ht="14.4" x14ac:dyDescent="0.3">
      <c r="A107" s="278"/>
      <c r="B107" s="311"/>
      <c r="C107" s="418" t="s">
        <v>583</v>
      </c>
      <c r="D107" s="418"/>
      <c r="E107" s="418"/>
      <c r="F107" s="418"/>
      <c r="G107" s="418"/>
      <c r="H107" s="418"/>
      <c r="I107" s="418"/>
      <c r="J107" s="418"/>
      <c r="K107" s="418"/>
      <c r="L107" s="418"/>
      <c r="M107" s="418"/>
      <c r="N107" s="423"/>
      <c r="S107" s="338"/>
      <c r="AF107" s="246"/>
      <c r="AG107" s="255"/>
      <c r="AM107" s="255"/>
      <c r="AN107" s="258" t="s">
        <v>583</v>
      </c>
    </row>
    <row r="108" spans="1:41" s="210" customFormat="1" ht="14.4" x14ac:dyDescent="0.3">
      <c r="A108" s="256"/>
      <c r="B108" s="257"/>
      <c r="C108" s="418" t="s">
        <v>618</v>
      </c>
      <c r="D108" s="418"/>
      <c r="E108" s="418"/>
      <c r="F108" s="418"/>
      <c r="G108" s="418"/>
      <c r="H108" s="418"/>
      <c r="I108" s="418"/>
      <c r="J108" s="418"/>
      <c r="K108" s="418"/>
      <c r="L108" s="418"/>
      <c r="M108" s="418"/>
      <c r="N108" s="423"/>
      <c r="S108" s="338"/>
      <c r="AF108" s="246"/>
      <c r="AG108" s="255"/>
      <c r="AM108" s="255"/>
      <c r="AO108" s="258" t="s">
        <v>618</v>
      </c>
    </row>
    <row r="109" spans="1:41" s="210" customFormat="1" ht="20.399999999999999" x14ac:dyDescent="0.3">
      <c r="A109" s="283"/>
      <c r="B109" s="260" t="s">
        <v>585</v>
      </c>
      <c r="C109" s="417" t="s">
        <v>586</v>
      </c>
      <c r="D109" s="417"/>
      <c r="E109" s="417"/>
      <c r="F109" s="417"/>
      <c r="G109" s="417"/>
      <c r="H109" s="417"/>
      <c r="I109" s="417"/>
      <c r="J109" s="417"/>
      <c r="K109" s="417"/>
      <c r="L109" s="417"/>
      <c r="M109" s="417"/>
      <c r="N109" s="422"/>
      <c r="S109" s="338"/>
      <c r="AF109" s="246"/>
      <c r="AG109" s="255"/>
      <c r="AI109" s="258" t="s">
        <v>586</v>
      </c>
      <c r="AM109" s="255"/>
    </row>
    <row r="110" spans="1:41" s="210" customFormat="1" ht="14.4" x14ac:dyDescent="0.3">
      <c r="A110" s="283"/>
      <c r="B110" s="260"/>
      <c r="C110" s="417" t="s">
        <v>587</v>
      </c>
      <c r="D110" s="417"/>
      <c r="E110" s="417"/>
      <c r="F110" s="417"/>
      <c r="G110" s="417"/>
      <c r="H110" s="417"/>
      <c r="I110" s="417"/>
      <c r="J110" s="417"/>
      <c r="K110" s="417"/>
      <c r="L110" s="417"/>
      <c r="M110" s="417"/>
      <c r="N110" s="422"/>
      <c r="S110" s="338"/>
      <c r="AF110" s="246"/>
      <c r="AG110" s="255"/>
      <c r="AI110" s="258" t="s">
        <v>587</v>
      </c>
      <c r="AM110" s="255"/>
    </row>
    <row r="111" spans="1:41" s="210" customFormat="1" ht="14.4" x14ac:dyDescent="0.3">
      <c r="A111" s="278"/>
      <c r="B111" s="311"/>
      <c r="C111" s="421" t="s">
        <v>580</v>
      </c>
      <c r="D111" s="421"/>
      <c r="E111" s="421"/>
      <c r="F111" s="249"/>
      <c r="G111" s="250"/>
      <c r="H111" s="250"/>
      <c r="I111" s="250"/>
      <c r="J111" s="253"/>
      <c r="K111" s="250"/>
      <c r="L111" s="279">
        <v>10153.94</v>
      </c>
      <c r="M111" s="273"/>
      <c r="N111" s="280">
        <v>90573.14</v>
      </c>
      <c r="S111" s="338"/>
      <c r="AF111" s="246"/>
      <c r="AG111" s="255"/>
      <c r="AM111" s="255" t="s">
        <v>580</v>
      </c>
    </row>
    <row r="112" spans="1:41" s="210" customFormat="1" ht="31.8" x14ac:dyDescent="0.3">
      <c r="A112" s="247" t="s">
        <v>619</v>
      </c>
      <c r="B112" s="248" t="s">
        <v>620</v>
      </c>
      <c r="C112" s="421" t="s">
        <v>621</v>
      </c>
      <c r="D112" s="421"/>
      <c r="E112" s="421"/>
      <c r="F112" s="249" t="s">
        <v>622</v>
      </c>
      <c r="G112" s="250">
        <v>6</v>
      </c>
      <c r="H112" s="251">
        <v>1</v>
      </c>
      <c r="I112" s="251">
        <v>6</v>
      </c>
      <c r="J112" s="253"/>
      <c r="K112" s="250"/>
      <c r="L112" s="253"/>
      <c r="M112" s="250"/>
      <c r="N112" s="254"/>
      <c r="S112" s="338"/>
      <c r="AF112" s="246"/>
      <c r="AG112" s="255" t="s">
        <v>621</v>
      </c>
      <c r="AM112" s="255"/>
    </row>
    <row r="113" spans="1:40" s="210" customFormat="1" ht="52.2" x14ac:dyDescent="0.3">
      <c r="A113" s="283"/>
      <c r="B113" s="260" t="s">
        <v>704</v>
      </c>
      <c r="C113" s="417" t="s">
        <v>705</v>
      </c>
      <c r="D113" s="417"/>
      <c r="E113" s="417"/>
      <c r="F113" s="417"/>
      <c r="G113" s="417"/>
      <c r="H113" s="417"/>
      <c r="I113" s="417"/>
      <c r="J113" s="417"/>
      <c r="K113" s="417"/>
      <c r="L113" s="417"/>
      <c r="M113" s="417"/>
      <c r="N113" s="422"/>
      <c r="S113" s="338"/>
      <c r="AF113" s="246"/>
      <c r="AG113" s="255"/>
      <c r="AI113" s="258" t="s">
        <v>705</v>
      </c>
      <c r="AM113" s="255"/>
    </row>
    <row r="114" spans="1:40" s="210" customFormat="1" ht="14.4" x14ac:dyDescent="0.3">
      <c r="A114" s="259"/>
      <c r="B114" s="260" t="s">
        <v>301</v>
      </c>
      <c r="C114" s="418" t="s">
        <v>566</v>
      </c>
      <c r="D114" s="418"/>
      <c r="E114" s="418"/>
      <c r="F114" s="261"/>
      <c r="G114" s="262"/>
      <c r="H114" s="262"/>
      <c r="I114" s="262"/>
      <c r="J114" s="263">
        <v>17.16</v>
      </c>
      <c r="K114" s="267">
        <v>1.1499999999999999</v>
      </c>
      <c r="L114" s="263">
        <v>118.4</v>
      </c>
      <c r="M114" s="264">
        <v>41.8</v>
      </c>
      <c r="N114" s="265">
        <v>4949.12</v>
      </c>
      <c r="S114" s="338"/>
      <c r="AF114" s="246"/>
      <c r="AG114" s="255"/>
      <c r="AJ114" s="258" t="s">
        <v>566</v>
      </c>
      <c r="AM114" s="255"/>
    </row>
    <row r="115" spans="1:40" s="210" customFormat="1" ht="14.4" x14ac:dyDescent="0.3">
      <c r="A115" s="259"/>
      <c r="B115" s="260" t="s">
        <v>304</v>
      </c>
      <c r="C115" s="418" t="s">
        <v>567</v>
      </c>
      <c r="D115" s="418"/>
      <c r="E115" s="418"/>
      <c r="F115" s="261"/>
      <c r="G115" s="262"/>
      <c r="H115" s="262"/>
      <c r="I115" s="262"/>
      <c r="J115" s="263">
        <v>58.45</v>
      </c>
      <c r="K115" s="267">
        <v>1.1499999999999999</v>
      </c>
      <c r="L115" s="263">
        <v>403.31</v>
      </c>
      <c r="M115" s="267">
        <v>13.59</v>
      </c>
      <c r="N115" s="265">
        <v>5480.98</v>
      </c>
      <c r="S115" s="338"/>
      <c r="AF115" s="246"/>
      <c r="AG115" s="255"/>
      <c r="AJ115" s="258" t="s">
        <v>567</v>
      </c>
      <c r="AM115" s="255"/>
    </row>
    <row r="116" spans="1:40" s="210" customFormat="1" ht="14.4" x14ac:dyDescent="0.3">
      <c r="A116" s="259"/>
      <c r="B116" s="260" t="s">
        <v>568</v>
      </c>
      <c r="C116" s="418" t="s">
        <v>569</v>
      </c>
      <c r="D116" s="418"/>
      <c r="E116" s="418"/>
      <c r="F116" s="261"/>
      <c r="G116" s="262"/>
      <c r="H116" s="262"/>
      <c r="I116" s="262"/>
      <c r="J116" s="263">
        <v>5.12</v>
      </c>
      <c r="K116" s="267">
        <v>1.1499999999999999</v>
      </c>
      <c r="L116" s="263">
        <v>35.33</v>
      </c>
      <c r="M116" s="264">
        <v>41.8</v>
      </c>
      <c r="N116" s="265">
        <v>1476.79</v>
      </c>
      <c r="S116" s="338"/>
      <c r="AF116" s="246"/>
      <c r="AG116" s="255"/>
      <c r="AJ116" s="258" t="s">
        <v>569</v>
      </c>
      <c r="AM116" s="255"/>
    </row>
    <row r="117" spans="1:40" s="210" customFormat="1" ht="14.4" x14ac:dyDescent="0.3">
      <c r="A117" s="259"/>
      <c r="B117" s="260" t="s">
        <v>592</v>
      </c>
      <c r="C117" s="418" t="s">
        <v>593</v>
      </c>
      <c r="D117" s="418"/>
      <c r="E117" s="418"/>
      <c r="F117" s="261"/>
      <c r="G117" s="262"/>
      <c r="H117" s="262"/>
      <c r="I117" s="262"/>
      <c r="J117" s="263">
        <v>2.74</v>
      </c>
      <c r="K117" s="262"/>
      <c r="L117" s="263">
        <v>16.440000000000001</v>
      </c>
      <c r="M117" s="267">
        <v>8.92</v>
      </c>
      <c r="N117" s="284">
        <v>146.63999999999999</v>
      </c>
      <c r="S117" s="338"/>
      <c r="AF117" s="246"/>
      <c r="AG117" s="255"/>
      <c r="AJ117" s="258" t="s">
        <v>593</v>
      </c>
      <c r="AM117" s="255"/>
    </row>
    <row r="118" spans="1:40" s="210" customFormat="1" ht="14.4" x14ac:dyDescent="0.3">
      <c r="A118" s="268"/>
      <c r="B118" s="260"/>
      <c r="C118" s="418" t="s">
        <v>570</v>
      </c>
      <c r="D118" s="418"/>
      <c r="E118" s="418"/>
      <c r="F118" s="261" t="s">
        <v>571</v>
      </c>
      <c r="G118" s="267">
        <v>1.73</v>
      </c>
      <c r="H118" s="267">
        <v>1.1499999999999999</v>
      </c>
      <c r="I118" s="288">
        <v>11.936999999999999</v>
      </c>
      <c r="J118" s="269"/>
      <c r="K118" s="262"/>
      <c r="L118" s="269"/>
      <c r="M118" s="262"/>
      <c r="N118" s="270"/>
      <c r="S118" s="338"/>
      <c r="AF118" s="246"/>
      <c r="AG118" s="255"/>
      <c r="AK118" s="258" t="s">
        <v>570</v>
      </c>
      <c r="AM118" s="255"/>
    </row>
    <row r="119" spans="1:40" s="210" customFormat="1" ht="14.4" x14ac:dyDescent="0.3">
      <c r="A119" s="268"/>
      <c r="B119" s="260"/>
      <c r="C119" s="418" t="s">
        <v>572</v>
      </c>
      <c r="D119" s="418"/>
      <c r="E119" s="418"/>
      <c r="F119" s="261" t="s">
        <v>571</v>
      </c>
      <c r="G119" s="267">
        <v>0.36</v>
      </c>
      <c r="H119" s="267">
        <v>1.1499999999999999</v>
      </c>
      <c r="I119" s="288">
        <v>2.484</v>
      </c>
      <c r="J119" s="269"/>
      <c r="K119" s="262"/>
      <c r="L119" s="269"/>
      <c r="M119" s="262"/>
      <c r="N119" s="270"/>
      <c r="S119" s="338"/>
      <c r="AF119" s="246"/>
      <c r="AG119" s="255"/>
      <c r="AK119" s="258" t="s">
        <v>572</v>
      </c>
      <c r="AM119" s="255"/>
    </row>
    <row r="120" spans="1:40" s="210" customFormat="1" ht="14.4" x14ac:dyDescent="0.3">
      <c r="A120" s="259"/>
      <c r="B120" s="260"/>
      <c r="C120" s="420" t="s">
        <v>573</v>
      </c>
      <c r="D120" s="420"/>
      <c r="E120" s="420"/>
      <c r="F120" s="272"/>
      <c r="G120" s="273"/>
      <c r="H120" s="273"/>
      <c r="I120" s="273"/>
      <c r="J120" s="275">
        <v>78.349999999999994</v>
      </c>
      <c r="K120" s="273"/>
      <c r="L120" s="275">
        <v>538.15</v>
      </c>
      <c r="M120" s="273"/>
      <c r="N120" s="276">
        <v>10576.74</v>
      </c>
      <c r="S120" s="338"/>
      <c r="AF120" s="246"/>
      <c r="AG120" s="255"/>
      <c r="AL120" s="258" t="s">
        <v>573</v>
      </c>
      <c r="AM120" s="255"/>
    </row>
    <row r="121" spans="1:40" s="210" customFormat="1" ht="14.4" x14ac:dyDescent="0.3">
      <c r="A121" s="268"/>
      <c r="B121" s="260"/>
      <c r="C121" s="418" t="s">
        <v>574</v>
      </c>
      <c r="D121" s="418"/>
      <c r="E121" s="418"/>
      <c r="F121" s="261"/>
      <c r="G121" s="262"/>
      <c r="H121" s="262"/>
      <c r="I121" s="262"/>
      <c r="J121" s="269"/>
      <c r="K121" s="262"/>
      <c r="L121" s="263">
        <v>153.72999999999999</v>
      </c>
      <c r="M121" s="262"/>
      <c r="N121" s="265">
        <v>6425.91</v>
      </c>
      <c r="S121" s="338"/>
      <c r="AF121" s="246"/>
      <c r="AG121" s="255"/>
      <c r="AK121" s="258" t="s">
        <v>574</v>
      </c>
      <c r="AM121" s="255"/>
    </row>
    <row r="122" spans="1:40" s="210" customFormat="1" ht="21.6" x14ac:dyDescent="0.3">
      <c r="A122" s="268"/>
      <c r="B122" s="260" t="s">
        <v>594</v>
      </c>
      <c r="C122" s="418" t="s">
        <v>595</v>
      </c>
      <c r="D122" s="418"/>
      <c r="E122" s="418"/>
      <c r="F122" s="261" t="s">
        <v>577</v>
      </c>
      <c r="G122" s="277">
        <v>117</v>
      </c>
      <c r="H122" s="262"/>
      <c r="I122" s="277">
        <v>117</v>
      </c>
      <c r="J122" s="269"/>
      <c r="K122" s="262"/>
      <c r="L122" s="263">
        <v>179.86</v>
      </c>
      <c r="M122" s="262"/>
      <c r="N122" s="265">
        <v>7518.31</v>
      </c>
      <c r="S122" s="338"/>
      <c r="AF122" s="246"/>
      <c r="AG122" s="255"/>
      <c r="AK122" s="258" t="s">
        <v>595</v>
      </c>
      <c r="AM122" s="255"/>
    </row>
    <row r="123" spans="1:40" s="210" customFormat="1" ht="40.799999999999997" x14ac:dyDescent="0.3">
      <c r="A123" s="268"/>
      <c r="B123" s="260" t="s">
        <v>596</v>
      </c>
      <c r="C123" s="418" t="s">
        <v>597</v>
      </c>
      <c r="D123" s="418"/>
      <c r="E123" s="418"/>
      <c r="F123" s="261" t="s">
        <v>577</v>
      </c>
      <c r="G123" s="277">
        <v>74</v>
      </c>
      <c r="H123" s="267">
        <v>0.85</v>
      </c>
      <c r="I123" s="264">
        <v>62.9</v>
      </c>
      <c r="J123" s="269"/>
      <c r="K123" s="262"/>
      <c r="L123" s="263">
        <v>96.7</v>
      </c>
      <c r="M123" s="262"/>
      <c r="N123" s="265">
        <v>4041.9</v>
      </c>
      <c r="S123" s="338"/>
      <c r="AF123" s="246"/>
      <c r="AG123" s="255"/>
      <c r="AK123" s="258" t="s">
        <v>597</v>
      </c>
      <c r="AM123" s="255"/>
    </row>
    <row r="124" spans="1:40" s="210" customFormat="1" ht="14.4" x14ac:dyDescent="0.3">
      <c r="A124" s="278"/>
      <c r="B124" s="311"/>
      <c r="C124" s="421" t="s">
        <v>580</v>
      </c>
      <c r="D124" s="421"/>
      <c r="E124" s="421"/>
      <c r="F124" s="249"/>
      <c r="G124" s="250"/>
      <c r="H124" s="250"/>
      <c r="I124" s="250"/>
      <c r="J124" s="253"/>
      <c r="K124" s="250"/>
      <c r="L124" s="281">
        <v>814.71</v>
      </c>
      <c r="M124" s="273"/>
      <c r="N124" s="280">
        <v>22136.95</v>
      </c>
      <c r="S124" s="338"/>
      <c r="AF124" s="246"/>
      <c r="AG124" s="255"/>
      <c r="AM124" s="255" t="s">
        <v>580</v>
      </c>
    </row>
    <row r="125" spans="1:40" s="210" customFormat="1" ht="42" x14ac:dyDescent="0.3">
      <c r="A125" s="247" t="s">
        <v>252</v>
      </c>
      <c r="B125" s="248" t="s">
        <v>623</v>
      </c>
      <c r="C125" s="421" t="s">
        <v>624</v>
      </c>
      <c r="D125" s="421"/>
      <c r="E125" s="421"/>
      <c r="F125" s="249" t="s">
        <v>178</v>
      </c>
      <c r="G125" s="250">
        <v>6</v>
      </c>
      <c r="H125" s="251">
        <v>1</v>
      </c>
      <c r="I125" s="251">
        <v>6</v>
      </c>
      <c r="J125" s="281">
        <v>315.48</v>
      </c>
      <c r="K125" s="250"/>
      <c r="L125" s="279">
        <v>1892.88</v>
      </c>
      <c r="M125" s="252">
        <v>8.92</v>
      </c>
      <c r="N125" s="280">
        <v>16884.490000000002</v>
      </c>
      <c r="S125" s="338"/>
      <c r="AF125" s="246"/>
      <c r="AG125" s="255" t="s">
        <v>624</v>
      </c>
      <c r="AM125" s="255"/>
    </row>
    <row r="126" spans="1:40" s="210" customFormat="1" ht="14.4" x14ac:dyDescent="0.3">
      <c r="A126" s="278"/>
      <c r="B126" s="311"/>
      <c r="C126" s="418" t="s">
        <v>583</v>
      </c>
      <c r="D126" s="418"/>
      <c r="E126" s="418"/>
      <c r="F126" s="418"/>
      <c r="G126" s="418"/>
      <c r="H126" s="418"/>
      <c r="I126" s="418"/>
      <c r="J126" s="418"/>
      <c r="K126" s="418"/>
      <c r="L126" s="418"/>
      <c r="M126" s="418"/>
      <c r="N126" s="423"/>
      <c r="S126" s="338"/>
      <c r="AF126" s="246"/>
      <c r="AG126" s="255"/>
      <c r="AM126" s="255"/>
      <c r="AN126" s="258" t="s">
        <v>583</v>
      </c>
    </row>
    <row r="127" spans="1:40" s="210" customFormat="1" ht="14.4" x14ac:dyDescent="0.3">
      <c r="A127" s="278"/>
      <c r="B127" s="311"/>
      <c r="C127" s="421" t="s">
        <v>580</v>
      </c>
      <c r="D127" s="421"/>
      <c r="E127" s="421"/>
      <c r="F127" s="249"/>
      <c r="G127" s="250"/>
      <c r="H127" s="250"/>
      <c r="I127" s="250"/>
      <c r="J127" s="253"/>
      <c r="K127" s="250"/>
      <c r="L127" s="279">
        <v>1892.88</v>
      </c>
      <c r="M127" s="273"/>
      <c r="N127" s="280">
        <v>16884.490000000002</v>
      </c>
      <c r="S127" s="338"/>
      <c r="AF127" s="246"/>
      <c r="AG127" s="255"/>
      <c r="AM127" s="255" t="s">
        <v>580</v>
      </c>
    </row>
    <row r="128" spans="1:40" s="210" customFormat="1" ht="31.8" x14ac:dyDescent="0.3">
      <c r="A128" s="247" t="s">
        <v>625</v>
      </c>
      <c r="B128" s="248" t="s">
        <v>620</v>
      </c>
      <c r="C128" s="421" t="s">
        <v>626</v>
      </c>
      <c r="D128" s="421"/>
      <c r="E128" s="421"/>
      <c r="F128" s="249" t="s">
        <v>622</v>
      </c>
      <c r="G128" s="250">
        <v>4</v>
      </c>
      <c r="H128" s="251">
        <v>1</v>
      </c>
      <c r="I128" s="251">
        <v>4</v>
      </c>
      <c r="J128" s="253"/>
      <c r="K128" s="250"/>
      <c r="L128" s="253"/>
      <c r="M128" s="250"/>
      <c r="N128" s="254"/>
      <c r="S128" s="338"/>
      <c r="AF128" s="246"/>
      <c r="AG128" s="255" t="s">
        <v>626</v>
      </c>
      <c r="AM128" s="255"/>
    </row>
    <row r="129" spans="1:40" s="210" customFormat="1" ht="52.2" x14ac:dyDescent="0.3">
      <c r="A129" s="283"/>
      <c r="B129" s="260" t="s">
        <v>704</v>
      </c>
      <c r="C129" s="417" t="s">
        <v>705</v>
      </c>
      <c r="D129" s="417"/>
      <c r="E129" s="417"/>
      <c r="F129" s="417"/>
      <c r="G129" s="417"/>
      <c r="H129" s="417"/>
      <c r="I129" s="417"/>
      <c r="J129" s="417"/>
      <c r="K129" s="417"/>
      <c r="L129" s="417"/>
      <c r="M129" s="417"/>
      <c r="N129" s="422"/>
      <c r="S129" s="338"/>
      <c r="AF129" s="246"/>
      <c r="AG129" s="255"/>
      <c r="AI129" s="258" t="s">
        <v>705</v>
      </c>
      <c r="AM129" s="255"/>
    </row>
    <row r="130" spans="1:40" s="210" customFormat="1" ht="14.4" x14ac:dyDescent="0.3">
      <c r="A130" s="259"/>
      <c r="B130" s="260" t="s">
        <v>301</v>
      </c>
      <c r="C130" s="418" t="s">
        <v>566</v>
      </c>
      <c r="D130" s="418"/>
      <c r="E130" s="418"/>
      <c r="F130" s="261"/>
      <c r="G130" s="262"/>
      <c r="H130" s="262"/>
      <c r="I130" s="262"/>
      <c r="J130" s="263">
        <v>17.16</v>
      </c>
      <c r="K130" s="267">
        <v>1.1499999999999999</v>
      </c>
      <c r="L130" s="263">
        <v>78.94</v>
      </c>
      <c r="M130" s="264">
        <v>41.8</v>
      </c>
      <c r="N130" s="265">
        <v>3299.69</v>
      </c>
      <c r="S130" s="338"/>
      <c r="AF130" s="246"/>
      <c r="AG130" s="255"/>
      <c r="AJ130" s="258" t="s">
        <v>566</v>
      </c>
      <c r="AM130" s="255"/>
    </row>
    <row r="131" spans="1:40" s="210" customFormat="1" ht="14.4" x14ac:dyDescent="0.3">
      <c r="A131" s="259"/>
      <c r="B131" s="260" t="s">
        <v>304</v>
      </c>
      <c r="C131" s="418" t="s">
        <v>567</v>
      </c>
      <c r="D131" s="418"/>
      <c r="E131" s="418"/>
      <c r="F131" s="261"/>
      <c r="G131" s="262"/>
      <c r="H131" s="262"/>
      <c r="I131" s="262"/>
      <c r="J131" s="263">
        <v>58.45</v>
      </c>
      <c r="K131" s="267">
        <v>1.1499999999999999</v>
      </c>
      <c r="L131" s="263">
        <v>268.87</v>
      </c>
      <c r="M131" s="267">
        <v>13.59</v>
      </c>
      <c r="N131" s="265">
        <v>3653.94</v>
      </c>
      <c r="S131" s="338"/>
      <c r="AF131" s="246"/>
      <c r="AG131" s="255"/>
      <c r="AJ131" s="258" t="s">
        <v>567</v>
      </c>
      <c r="AM131" s="255"/>
    </row>
    <row r="132" spans="1:40" s="210" customFormat="1" ht="14.4" x14ac:dyDescent="0.3">
      <c r="A132" s="259"/>
      <c r="B132" s="260" t="s">
        <v>568</v>
      </c>
      <c r="C132" s="418" t="s">
        <v>569</v>
      </c>
      <c r="D132" s="418"/>
      <c r="E132" s="418"/>
      <c r="F132" s="261"/>
      <c r="G132" s="262"/>
      <c r="H132" s="262"/>
      <c r="I132" s="262"/>
      <c r="J132" s="263">
        <v>5.12</v>
      </c>
      <c r="K132" s="267">
        <v>1.1499999999999999</v>
      </c>
      <c r="L132" s="263">
        <v>23.55</v>
      </c>
      <c r="M132" s="264">
        <v>41.8</v>
      </c>
      <c r="N132" s="284">
        <v>984.39</v>
      </c>
      <c r="S132" s="338"/>
      <c r="AF132" s="246"/>
      <c r="AG132" s="255"/>
      <c r="AJ132" s="258" t="s">
        <v>569</v>
      </c>
      <c r="AM132" s="255"/>
    </row>
    <row r="133" spans="1:40" s="210" customFormat="1" ht="14.4" x14ac:dyDescent="0.3">
      <c r="A133" s="259"/>
      <c r="B133" s="260" t="s">
        <v>592</v>
      </c>
      <c r="C133" s="418" t="s">
        <v>593</v>
      </c>
      <c r="D133" s="418"/>
      <c r="E133" s="418"/>
      <c r="F133" s="261"/>
      <c r="G133" s="262"/>
      <c r="H133" s="262"/>
      <c r="I133" s="262"/>
      <c r="J133" s="263">
        <v>2.74</v>
      </c>
      <c r="K133" s="262"/>
      <c r="L133" s="263">
        <v>10.96</v>
      </c>
      <c r="M133" s="267">
        <v>8.92</v>
      </c>
      <c r="N133" s="284">
        <v>97.76</v>
      </c>
      <c r="S133" s="338"/>
      <c r="AF133" s="246"/>
      <c r="AG133" s="255"/>
      <c r="AJ133" s="258" t="s">
        <v>593</v>
      </c>
      <c r="AM133" s="255"/>
    </row>
    <row r="134" spans="1:40" s="210" customFormat="1" ht="14.4" x14ac:dyDescent="0.3">
      <c r="A134" s="268"/>
      <c r="B134" s="260"/>
      <c r="C134" s="418" t="s">
        <v>570</v>
      </c>
      <c r="D134" s="418"/>
      <c r="E134" s="418"/>
      <c r="F134" s="261" t="s">
        <v>571</v>
      </c>
      <c r="G134" s="267">
        <v>1.73</v>
      </c>
      <c r="H134" s="267">
        <v>1.1499999999999999</v>
      </c>
      <c r="I134" s="288">
        <v>7.9580000000000002</v>
      </c>
      <c r="J134" s="269"/>
      <c r="K134" s="262"/>
      <c r="L134" s="269"/>
      <c r="M134" s="262"/>
      <c r="N134" s="270"/>
      <c r="S134" s="338"/>
      <c r="AF134" s="246"/>
      <c r="AG134" s="255"/>
      <c r="AK134" s="258" t="s">
        <v>570</v>
      </c>
      <c r="AM134" s="255"/>
    </row>
    <row r="135" spans="1:40" s="210" customFormat="1" ht="14.4" x14ac:dyDescent="0.3">
      <c r="A135" s="268"/>
      <c r="B135" s="260"/>
      <c r="C135" s="418" t="s">
        <v>572</v>
      </c>
      <c r="D135" s="418"/>
      <c r="E135" s="418"/>
      <c r="F135" s="261" t="s">
        <v>571</v>
      </c>
      <c r="G135" s="267">
        <v>0.36</v>
      </c>
      <c r="H135" s="267">
        <v>1.1499999999999999</v>
      </c>
      <c r="I135" s="288">
        <v>1.6559999999999999</v>
      </c>
      <c r="J135" s="269"/>
      <c r="K135" s="262"/>
      <c r="L135" s="269"/>
      <c r="M135" s="262"/>
      <c r="N135" s="270"/>
      <c r="S135" s="338"/>
      <c r="AF135" s="246"/>
      <c r="AG135" s="255"/>
      <c r="AK135" s="258" t="s">
        <v>572</v>
      </c>
      <c r="AM135" s="255"/>
    </row>
    <row r="136" spans="1:40" s="210" customFormat="1" ht="14.4" x14ac:dyDescent="0.3">
      <c r="A136" s="259"/>
      <c r="B136" s="260"/>
      <c r="C136" s="420" t="s">
        <v>573</v>
      </c>
      <c r="D136" s="420"/>
      <c r="E136" s="420"/>
      <c r="F136" s="272"/>
      <c r="G136" s="273"/>
      <c r="H136" s="273"/>
      <c r="I136" s="273"/>
      <c r="J136" s="275">
        <v>78.349999999999994</v>
      </c>
      <c r="K136" s="273"/>
      <c r="L136" s="275">
        <v>358.77</v>
      </c>
      <c r="M136" s="273"/>
      <c r="N136" s="276">
        <v>7051.39</v>
      </c>
      <c r="S136" s="338"/>
      <c r="AF136" s="246"/>
      <c r="AG136" s="255"/>
      <c r="AL136" s="258" t="s">
        <v>573</v>
      </c>
      <c r="AM136" s="255"/>
    </row>
    <row r="137" spans="1:40" s="210" customFormat="1" ht="14.4" x14ac:dyDescent="0.3">
      <c r="A137" s="268"/>
      <c r="B137" s="260"/>
      <c r="C137" s="418" t="s">
        <v>574</v>
      </c>
      <c r="D137" s="418"/>
      <c r="E137" s="418"/>
      <c r="F137" s="261"/>
      <c r="G137" s="262"/>
      <c r="H137" s="262"/>
      <c r="I137" s="262"/>
      <c r="J137" s="269"/>
      <c r="K137" s="262"/>
      <c r="L137" s="263">
        <v>102.49</v>
      </c>
      <c r="M137" s="262"/>
      <c r="N137" s="265">
        <v>4284.08</v>
      </c>
      <c r="S137" s="338"/>
      <c r="AF137" s="246"/>
      <c r="AG137" s="255"/>
      <c r="AK137" s="258" t="s">
        <v>574</v>
      </c>
      <c r="AM137" s="255"/>
    </row>
    <row r="138" spans="1:40" s="210" customFormat="1" ht="21.6" x14ac:dyDescent="0.3">
      <c r="A138" s="268"/>
      <c r="B138" s="260" t="s">
        <v>594</v>
      </c>
      <c r="C138" s="418" t="s">
        <v>595</v>
      </c>
      <c r="D138" s="418"/>
      <c r="E138" s="418"/>
      <c r="F138" s="261" t="s">
        <v>577</v>
      </c>
      <c r="G138" s="277">
        <v>117</v>
      </c>
      <c r="H138" s="262"/>
      <c r="I138" s="277">
        <v>117</v>
      </c>
      <c r="J138" s="269"/>
      <c r="K138" s="262"/>
      <c r="L138" s="263">
        <v>119.91</v>
      </c>
      <c r="M138" s="262"/>
      <c r="N138" s="265">
        <v>5012.37</v>
      </c>
      <c r="S138" s="338"/>
      <c r="AF138" s="246"/>
      <c r="AG138" s="255"/>
      <c r="AK138" s="258" t="s">
        <v>595</v>
      </c>
      <c r="AM138" s="255"/>
    </row>
    <row r="139" spans="1:40" s="210" customFormat="1" ht="40.799999999999997" x14ac:dyDescent="0.3">
      <c r="A139" s="268"/>
      <c r="B139" s="260" t="s">
        <v>596</v>
      </c>
      <c r="C139" s="418" t="s">
        <v>597</v>
      </c>
      <c r="D139" s="418"/>
      <c r="E139" s="418"/>
      <c r="F139" s="261" t="s">
        <v>577</v>
      </c>
      <c r="G139" s="277">
        <v>74</v>
      </c>
      <c r="H139" s="267">
        <v>0.85</v>
      </c>
      <c r="I139" s="264">
        <v>62.9</v>
      </c>
      <c r="J139" s="269"/>
      <c r="K139" s="262"/>
      <c r="L139" s="263">
        <v>64.47</v>
      </c>
      <c r="M139" s="262"/>
      <c r="N139" s="265">
        <v>2694.69</v>
      </c>
      <c r="S139" s="338"/>
      <c r="AF139" s="246"/>
      <c r="AG139" s="255"/>
      <c r="AK139" s="258" t="s">
        <v>597</v>
      </c>
      <c r="AM139" s="255"/>
    </row>
    <row r="140" spans="1:40" s="210" customFormat="1" ht="14.4" x14ac:dyDescent="0.3">
      <c r="A140" s="278"/>
      <c r="B140" s="311"/>
      <c r="C140" s="421" t="s">
        <v>580</v>
      </c>
      <c r="D140" s="421"/>
      <c r="E140" s="421"/>
      <c r="F140" s="249"/>
      <c r="G140" s="250"/>
      <c r="H140" s="250"/>
      <c r="I140" s="250"/>
      <c r="J140" s="253"/>
      <c r="K140" s="250"/>
      <c r="L140" s="281">
        <v>543.15</v>
      </c>
      <c r="M140" s="273"/>
      <c r="N140" s="280">
        <v>14758.45</v>
      </c>
      <c r="S140" s="338"/>
      <c r="AF140" s="246"/>
      <c r="AG140" s="255"/>
      <c r="AM140" s="255" t="s">
        <v>580</v>
      </c>
    </row>
    <row r="141" spans="1:40" s="210" customFormat="1" ht="42" x14ac:dyDescent="0.3">
      <c r="A141" s="247" t="s">
        <v>335</v>
      </c>
      <c r="B141" s="248" t="s">
        <v>627</v>
      </c>
      <c r="C141" s="421" t="s">
        <v>628</v>
      </c>
      <c r="D141" s="421"/>
      <c r="E141" s="421"/>
      <c r="F141" s="249" t="s">
        <v>178</v>
      </c>
      <c r="G141" s="250">
        <v>4</v>
      </c>
      <c r="H141" s="251">
        <v>1</v>
      </c>
      <c r="I141" s="251">
        <v>4</v>
      </c>
      <c r="J141" s="281">
        <v>507.69</v>
      </c>
      <c r="K141" s="250"/>
      <c r="L141" s="279">
        <v>2030.76</v>
      </c>
      <c r="M141" s="252">
        <v>8.92</v>
      </c>
      <c r="N141" s="280">
        <v>18114.38</v>
      </c>
      <c r="S141" s="340" t="s">
        <v>707</v>
      </c>
      <c r="AF141" s="246"/>
      <c r="AG141" s="255" t="s">
        <v>628</v>
      </c>
      <c r="AM141" s="255"/>
    </row>
    <row r="142" spans="1:40" s="210" customFormat="1" ht="14.4" x14ac:dyDescent="0.3">
      <c r="A142" s="278"/>
      <c r="B142" s="311"/>
      <c r="C142" s="418" t="s">
        <v>583</v>
      </c>
      <c r="D142" s="418"/>
      <c r="E142" s="418"/>
      <c r="F142" s="418"/>
      <c r="G142" s="418"/>
      <c r="H142" s="418"/>
      <c r="I142" s="418"/>
      <c r="J142" s="418"/>
      <c r="K142" s="418"/>
      <c r="L142" s="418"/>
      <c r="M142" s="418"/>
      <c r="N142" s="423"/>
      <c r="S142" s="338"/>
      <c r="AF142" s="246"/>
      <c r="AG142" s="255"/>
      <c r="AM142" s="255"/>
      <c r="AN142" s="258" t="s">
        <v>583</v>
      </c>
    </row>
    <row r="143" spans="1:40" s="210" customFormat="1" ht="14.4" x14ac:dyDescent="0.3">
      <c r="A143" s="278"/>
      <c r="B143" s="311"/>
      <c r="C143" s="421" t="s">
        <v>580</v>
      </c>
      <c r="D143" s="421"/>
      <c r="E143" s="421"/>
      <c r="F143" s="249"/>
      <c r="G143" s="250"/>
      <c r="H143" s="250"/>
      <c r="I143" s="250"/>
      <c r="J143" s="253"/>
      <c r="K143" s="250"/>
      <c r="L143" s="279">
        <v>2030.76</v>
      </c>
      <c r="M143" s="273"/>
      <c r="N143" s="280">
        <v>18114.38</v>
      </c>
      <c r="S143" s="338"/>
      <c r="AF143" s="246"/>
      <c r="AG143" s="255"/>
      <c r="AM143" s="255" t="s">
        <v>580</v>
      </c>
    </row>
    <row r="144" spans="1:40" s="210" customFormat="1" ht="72" x14ac:dyDescent="0.3">
      <c r="A144" s="247" t="s">
        <v>629</v>
      </c>
      <c r="B144" s="248" t="s">
        <v>630</v>
      </c>
      <c r="C144" s="421" t="s">
        <v>631</v>
      </c>
      <c r="D144" s="421"/>
      <c r="E144" s="421"/>
      <c r="F144" s="249" t="s">
        <v>632</v>
      </c>
      <c r="G144" s="250">
        <v>0.1</v>
      </c>
      <c r="H144" s="251">
        <v>1</v>
      </c>
      <c r="I144" s="290">
        <v>0.1</v>
      </c>
      <c r="J144" s="253"/>
      <c r="K144" s="250"/>
      <c r="L144" s="253"/>
      <c r="M144" s="250"/>
      <c r="N144" s="254"/>
      <c r="S144" s="341" t="s">
        <v>710</v>
      </c>
      <c r="AF144" s="246"/>
      <c r="AG144" s="255" t="s">
        <v>631</v>
      </c>
      <c r="AM144" s="255"/>
    </row>
    <row r="145" spans="1:40" s="210" customFormat="1" ht="14.4" x14ac:dyDescent="0.3">
      <c r="A145" s="256"/>
      <c r="B145" s="257"/>
      <c r="C145" s="418" t="s">
        <v>633</v>
      </c>
      <c r="D145" s="418"/>
      <c r="E145" s="418"/>
      <c r="F145" s="418"/>
      <c r="G145" s="418"/>
      <c r="H145" s="418"/>
      <c r="I145" s="418"/>
      <c r="J145" s="418"/>
      <c r="K145" s="418"/>
      <c r="L145" s="418"/>
      <c r="M145" s="418"/>
      <c r="N145" s="423"/>
      <c r="S145" s="338"/>
      <c r="AF145" s="246"/>
      <c r="AG145" s="255"/>
      <c r="AH145" s="258" t="s">
        <v>633</v>
      </c>
      <c r="AM145" s="255"/>
    </row>
    <row r="146" spans="1:40" s="210" customFormat="1" ht="52.2" x14ac:dyDescent="0.3">
      <c r="A146" s="283"/>
      <c r="B146" s="260" t="s">
        <v>704</v>
      </c>
      <c r="C146" s="417" t="s">
        <v>705</v>
      </c>
      <c r="D146" s="417"/>
      <c r="E146" s="417"/>
      <c r="F146" s="417"/>
      <c r="G146" s="417"/>
      <c r="H146" s="417"/>
      <c r="I146" s="417"/>
      <c r="J146" s="417"/>
      <c r="K146" s="417"/>
      <c r="L146" s="417"/>
      <c r="M146" s="417"/>
      <c r="N146" s="422"/>
      <c r="S146" s="338"/>
      <c r="AF146" s="246"/>
      <c r="AG146" s="255"/>
      <c r="AI146" s="258" t="s">
        <v>705</v>
      </c>
      <c r="AM146" s="255"/>
    </row>
    <row r="147" spans="1:40" s="210" customFormat="1" ht="14.4" x14ac:dyDescent="0.3">
      <c r="A147" s="259"/>
      <c r="B147" s="260" t="s">
        <v>301</v>
      </c>
      <c r="C147" s="418" t="s">
        <v>566</v>
      </c>
      <c r="D147" s="418"/>
      <c r="E147" s="418"/>
      <c r="F147" s="261"/>
      <c r="G147" s="262"/>
      <c r="H147" s="262"/>
      <c r="I147" s="262"/>
      <c r="J147" s="263">
        <v>84.35</v>
      </c>
      <c r="K147" s="267">
        <v>1.1499999999999999</v>
      </c>
      <c r="L147" s="263">
        <v>9.6999999999999993</v>
      </c>
      <c r="M147" s="264">
        <v>41.8</v>
      </c>
      <c r="N147" s="284">
        <v>405.46</v>
      </c>
      <c r="S147" s="338"/>
      <c r="AF147" s="246"/>
      <c r="AG147" s="255"/>
      <c r="AJ147" s="258" t="s">
        <v>566</v>
      </c>
      <c r="AM147" s="255"/>
    </row>
    <row r="148" spans="1:40" s="210" customFormat="1" ht="14.4" x14ac:dyDescent="0.3">
      <c r="A148" s="259"/>
      <c r="B148" s="260" t="s">
        <v>304</v>
      </c>
      <c r="C148" s="418" t="s">
        <v>567</v>
      </c>
      <c r="D148" s="418"/>
      <c r="E148" s="418"/>
      <c r="F148" s="261"/>
      <c r="G148" s="262"/>
      <c r="H148" s="262"/>
      <c r="I148" s="262"/>
      <c r="J148" s="263">
        <v>0.37</v>
      </c>
      <c r="K148" s="267">
        <v>1.1499999999999999</v>
      </c>
      <c r="L148" s="263">
        <v>0.04</v>
      </c>
      <c r="M148" s="267">
        <v>13.59</v>
      </c>
      <c r="N148" s="284">
        <v>0.54</v>
      </c>
      <c r="S148" s="338"/>
      <c r="AF148" s="246"/>
      <c r="AG148" s="255"/>
      <c r="AJ148" s="258" t="s">
        <v>567</v>
      </c>
      <c r="AM148" s="255"/>
    </row>
    <row r="149" spans="1:40" s="210" customFormat="1" ht="14.4" x14ac:dyDescent="0.3">
      <c r="A149" s="259"/>
      <c r="B149" s="260" t="s">
        <v>592</v>
      </c>
      <c r="C149" s="418" t="s">
        <v>593</v>
      </c>
      <c r="D149" s="418"/>
      <c r="E149" s="418"/>
      <c r="F149" s="261"/>
      <c r="G149" s="262"/>
      <c r="H149" s="262"/>
      <c r="I149" s="262"/>
      <c r="J149" s="263">
        <v>1.37</v>
      </c>
      <c r="K149" s="262"/>
      <c r="L149" s="263">
        <v>0.14000000000000001</v>
      </c>
      <c r="M149" s="267">
        <v>8.92</v>
      </c>
      <c r="N149" s="284">
        <v>1.25</v>
      </c>
      <c r="S149" s="338"/>
      <c r="AF149" s="246"/>
      <c r="AG149" s="255"/>
      <c r="AJ149" s="258" t="s">
        <v>593</v>
      </c>
      <c r="AM149" s="255"/>
    </row>
    <row r="150" spans="1:40" s="210" customFormat="1" ht="14.4" x14ac:dyDescent="0.3">
      <c r="A150" s="268"/>
      <c r="B150" s="260"/>
      <c r="C150" s="418" t="s">
        <v>570</v>
      </c>
      <c r="D150" s="418"/>
      <c r="E150" s="418"/>
      <c r="F150" s="261" t="s">
        <v>571</v>
      </c>
      <c r="G150" s="264">
        <v>9.3000000000000007</v>
      </c>
      <c r="H150" s="267">
        <v>1.1499999999999999</v>
      </c>
      <c r="I150" s="271">
        <v>1.0694999999999999</v>
      </c>
      <c r="J150" s="269"/>
      <c r="K150" s="262"/>
      <c r="L150" s="269"/>
      <c r="M150" s="262"/>
      <c r="N150" s="270"/>
      <c r="S150" s="338"/>
      <c r="AF150" s="246"/>
      <c r="AG150" s="255"/>
      <c r="AK150" s="258" t="s">
        <v>570</v>
      </c>
      <c r="AM150" s="255"/>
    </row>
    <row r="151" spans="1:40" s="210" customFormat="1" ht="14.4" x14ac:dyDescent="0.3">
      <c r="A151" s="259"/>
      <c r="B151" s="260"/>
      <c r="C151" s="420" t="s">
        <v>573</v>
      </c>
      <c r="D151" s="420"/>
      <c r="E151" s="420"/>
      <c r="F151" s="272"/>
      <c r="G151" s="273"/>
      <c r="H151" s="273"/>
      <c r="I151" s="273"/>
      <c r="J151" s="275">
        <v>86.09</v>
      </c>
      <c r="K151" s="273"/>
      <c r="L151" s="275">
        <v>9.8800000000000008</v>
      </c>
      <c r="M151" s="273"/>
      <c r="N151" s="286">
        <v>407.25</v>
      </c>
      <c r="S151" s="338"/>
      <c r="AF151" s="246"/>
      <c r="AG151" s="255"/>
      <c r="AL151" s="258" t="s">
        <v>573</v>
      </c>
      <c r="AM151" s="255"/>
    </row>
    <row r="152" spans="1:40" s="210" customFormat="1" ht="14.4" x14ac:dyDescent="0.3">
      <c r="A152" s="268"/>
      <c r="B152" s="260"/>
      <c r="C152" s="418" t="s">
        <v>574</v>
      </c>
      <c r="D152" s="418"/>
      <c r="E152" s="418"/>
      <c r="F152" s="261"/>
      <c r="G152" s="262"/>
      <c r="H152" s="262"/>
      <c r="I152" s="262"/>
      <c r="J152" s="269"/>
      <c r="K152" s="262"/>
      <c r="L152" s="263">
        <v>9.6999999999999993</v>
      </c>
      <c r="M152" s="262"/>
      <c r="N152" s="284">
        <v>405.46</v>
      </c>
      <c r="S152" s="338"/>
      <c r="AF152" s="246"/>
      <c r="AG152" s="255"/>
      <c r="AK152" s="258" t="s">
        <v>574</v>
      </c>
      <c r="AM152" s="255"/>
    </row>
    <row r="153" spans="1:40" s="210" customFormat="1" ht="14.4" x14ac:dyDescent="0.3">
      <c r="A153" s="268"/>
      <c r="B153" s="260" t="s">
        <v>634</v>
      </c>
      <c r="C153" s="418" t="s">
        <v>635</v>
      </c>
      <c r="D153" s="418"/>
      <c r="E153" s="418"/>
      <c r="F153" s="261" t="s">
        <v>577</v>
      </c>
      <c r="G153" s="277">
        <v>146</v>
      </c>
      <c r="H153" s="262"/>
      <c r="I153" s="277">
        <v>146</v>
      </c>
      <c r="J153" s="269"/>
      <c r="K153" s="262"/>
      <c r="L153" s="263">
        <v>14.16</v>
      </c>
      <c r="M153" s="262"/>
      <c r="N153" s="284">
        <v>591.97</v>
      </c>
      <c r="S153" s="338"/>
      <c r="AF153" s="246"/>
      <c r="AG153" s="255"/>
      <c r="AK153" s="258" t="s">
        <v>635</v>
      </c>
      <c r="AM153" s="255"/>
    </row>
    <row r="154" spans="1:40" s="210" customFormat="1" ht="20.399999999999999" x14ac:dyDescent="0.3">
      <c r="A154" s="268"/>
      <c r="B154" s="260" t="s">
        <v>636</v>
      </c>
      <c r="C154" s="418" t="s">
        <v>637</v>
      </c>
      <c r="D154" s="418"/>
      <c r="E154" s="418"/>
      <c r="F154" s="261" t="s">
        <v>577</v>
      </c>
      <c r="G154" s="277">
        <v>75</v>
      </c>
      <c r="H154" s="267">
        <v>0.85</v>
      </c>
      <c r="I154" s="267">
        <v>63.75</v>
      </c>
      <c r="J154" s="269"/>
      <c r="K154" s="262"/>
      <c r="L154" s="263">
        <v>6.18</v>
      </c>
      <c r="M154" s="262"/>
      <c r="N154" s="284">
        <v>258.48</v>
      </c>
      <c r="S154" s="338"/>
      <c r="AF154" s="246"/>
      <c r="AG154" s="255"/>
      <c r="AK154" s="258" t="s">
        <v>637</v>
      </c>
      <c r="AM154" s="255"/>
    </row>
    <row r="155" spans="1:40" s="210" customFormat="1" ht="14.4" x14ac:dyDescent="0.3">
      <c r="A155" s="278"/>
      <c r="B155" s="311"/>
      <c r="C155" s="421" t="s">
        <v>580</v>
      </c>
      <c r="D155" s="421"/>
      <c r="E155" s="421"/>
      <c r="F155" s="249"/>
      <c r="G155" s="250"/>
      <c r="H155" s="250"/>
      <c r="I155" s="250"/>
      <c r="J155" s="253"/>
      <c r="K155" s="250"/>
      <c r="L155" s="281">
        <v>30.22</v>
      </c>
      <c r="M155" s="273"/>
      <c r="N155" s="280">
        <v>1257.7</v>
      </c>
      <c r="S155" s="338"/>
      <c r="AF155" s="246"/>
      <c r="AG155" s="255"/>
      <c r="AM155" s="255" t="s">
        <v>580</v>
      </c>
    </row>
    <row r="156" spans="1:40" s="210" customFormat="1" ht="42" x14ac:dyDescent="0.3">
      <c r="A156" s="247" t="s">
        <v>638</v>
      </c>
      <c r="B156" s="248" t="s">
        <v>639</v>
      </c>
      <c r="C156" s="421" t="s">
        <v>640</v>
      </c>
      <c r="D156" s="421"/>
      <c r="E156" s="421"/>
      <c r="F156" s="249" t="s">
        <v>182</v>
      </c>
      <c r="G156" s="250">
        <v>36</v>
      </c>
      <c r="H156" s="251">
        <v>1</v>
      </c>
      <c r="I156" s="251">
        <v>36</v>
      </c>
      <c r="J156" s="281">
        <v>219.85</v>
      </c>
      <c r="K156" s="250"/>
      <c r="L156" s="279">
        <v>7914.6</v>
      </c>
      <c r="M156" s="252">
        <v>8.92</v>
      </c>
      <c r="N156" s="280">
        <v>70598.23</v>
      </c>
      <c r="S156" s="340" t="s">
        <v>707</v>
      </c>
      <c r="AF156" s="246"/>
      <c r="AG156" s="255" t="s">
        <v>640</v>
      </c>
      <c r="AM156" s="255"/>
    </row>
    <row r="157" spans="1:40" s="210" customFormat="1" ht="14.4" x14ac:dyDescent="0.3">
      <c r="A157" s="278"/>
      <c r="B157" s="311"/>
      <c r="C157" s="418" t="s">
        <v>583</v>
      </c>
      <c r="D157" s="418"/>
      <c r="E157" s="418"/>
      <c r="F157" s="418"/>
      <c r="G157" s="418"/>
      <c r="H157" s="418"/>
      <c r="I157" s="418"/>
      <c r="J157" s="418"/>
      <c r="K157" s="418"/>
      <c r="L157" s="418"/>
      <c r="M157" s="418"/>
      <c r="N157" s="423"/>
      <c r="S157" s="338"/>
      <c r="AF157" s="246"/>
      <c r="AG157" s="255"/>
      <c r="AM157" s="255"/>
      <c r="AN157" s="258" t="s">
        <v>583</v>
      </c>
    </row>
    <row r="158" spans="1:40" s="210" customFormat="1" ht="14.4" x14ac:dyDescent="0.3">
      <c r="A158" s="278"/>
      <c r="B158" s="311"/>
      <c r="C158" s="421" t="s">
        <v>580</v>
      </c>
      <c r="D158" s="421"/>
      <c r="E158" s="421"/>
      <c r="F158" s="249"/>
      <c r="G158" s="250"/>
      <c r="H158" s="250"/>
      <c r="I158" s="250"/>
      <c r="J158" s="253"/>
      <c r="K158" s="250"/>
      <c r="L158" s="279">
        <v>7914.6</v>
      </c>
      <c r="M158" s="273"/>
      <c r="N158" s="280">
        <v>70598.23</v>
      </c>
      <c r="S158" s="338"/>
      <c r="AF158" s="246"/>
      <c r="AG158" s="255"/>
      <c r="AM158" s="255" t="s">
        <v>580</v>
      </c>
    </row>
    <row r="159" spans="1:40" s="210" customFormat="1" ht="31.8" x14ac:dyDescent="0.3">
      <c r="A159" s="247" t="s">
        <v>377</v>
      </c>
      <c r="B159" s="248" t="s">
        <v>641</v>
      </c>
      <c r="C159" s="421" t="s">
        <v>642</v>
      </c>
      <c r="D159" s="421"/>
      <c r="E159" s="421"/>
      <c r="F159" s="249" t="s">
        <v>178</v>
      </c>
      <c r="G159" s="250">
        <v>2</v>
      </c>
      <c r="H159" s="251">
        <v>1</v>
      </c>
      <c r="I159" s="251">
        <v>2</v>
      </c>
      <c r="J159" s="253"/>
      <c r="K159" s="250"/>
      <c r="L159" s="253"/>
      <c r="M159" s="250"/>
      <c r="N159" s="254"/>
      <c r="S159" s="338"/>
      <c r="AF159" s="246"/>
      <c r="AG159" s="255" t="s">
        <v>642</v>
      </c>
      <c r="AM159" s="255"/>
    </row>
    <row r="160" spans="1:40" s="210" customFormat="1" ht="52.2" x14ac:dyDescent="0.3">
      <c r="A160" s="283"/>
      <c r="B160" s="260" t="s">
        <v>704</v>
      </c>
      <c r="C160" s="417" t="s">
        <v>705</v>
      </c>
      <c r="D160" s="417"/>
      <c r="E160" s="417"/>
      <c r="F160" s="417"/>
      <c r="G160" s="417"/>
      <c r="H160" s="417"/>
      <c r="I160" s="417"/>
      <c r="J160" s="417"/>
      <c r="K160" s="417"/>
      <c r="L160" s="417"/>
      <c r="M160" s="417"/>
      <c r="N160" s="422"/>
      <c r="S160" s="338"/>
      <c r="AF160" s="246"/>
      <c r="AG160" s="255"/>
      <c r="AI160" s="258" t="s">
        <v>705</v>
      </c>
      <c r="AM160" s="255"/>
    </row>
    <row r="161" spans="1:39" s="210" customFormat="1" ht="14.4" x14ac:dyDescent="0.3">
      <c r="A161" s="259"/>
      <c r="B161" s="260" t="s">
        <v>301</v>
      </c>
      <c r="C161" s="418" t="s">
        <v>566</v>
      </c>
      <c r="D161" s="418"/>
      <c r="E161" s="418"/>
      <c r="F161" s="261"/>
      <c r="G161" s="262"/>
      <c r="H161" s="262"/>
      <c r="I161" s="262"/>
      <c r="J161" s="263">
        <v>161.85</v>
      </c>
      <c r="K161" s="267">
        <v>1.1499999999999999</v>
      </c>
      <c r="L161" s="263">
        <v>372.26</v>
      </c>
      <c r="M161" s="264">
        <v>41.8</v>
      </c>
      <c r="N161" s="265">
        <v>15560.47</v>
      </c>
      <c r="S161" s="338"/>
      <c r="AF161" s="246"/>
      <c r="AG161" s="255"/>
      <c r="AJ161" s="258" t="s">
        <v>566</v>
      </c>
      <c r="AM161" s="255"/>
    </row>
    <row r="162" spans="1:39" s="210" customFormat="1" ht="14.4" x14ac:dyDescent="0.3">
      <c r="A162" s="259"/>
      <c r="B162" s="260" t="s">
        <v>304</v>
      </c>
      <c r="C162" s="418" t="s">
        <v>567</v>
      </c>
      <c r="D162" s="418"/>
      <c r="E162" s="418"/>
      <c r="F162" s="261"/>
      <c r="G162" s="262"/>
      <c r="H162" s="262"/>
      <c r="I162" s="262"/>
      <c r="J162" s="263">
        <v>8.51</v>
      </c>
      <c r="K162" s="267">
        <v>1.1499999999999999</v>
      </c>
      <c r="L162" s="263">
        <v>19.57</v>
      </c>
      <c r="M162" s="267">
        <v>13.59</v>
      </c>
      <c r="N162" s="284">
        <v>265.95999999999998</v>
      </c>
      <c r="S162" s="338"/>
      <c r="AF162" s="246"/>
      <c r="AG162" s="255"/>
      <c r="AJ162" s="258" t="s">
        <v>567</v>
      </c>
      <c r="AM162" s="255"/>
    </row>
    <row r="163" spans="1:39" s="210" customFormat="1" ht="14.4" x14ac:dyDescent="0.3">
      <c r="A163" s="259"/>
      <c r="B163" s="260" t="s">
        <v>592</v>
      </c>
      <c r="C163" s="418" t="s">
        <v>593</v>
      </c>
      <c r="D163" s="418"/>
      <c r="E163" s="418"/>
      <c r="F163" s="261"/>
      <c r="G163" s="262"/>
      <c r="H163" s="262"/>
      <c r="I163" s="262"/>
      <c r="J163" s="263">
        <v>16.18</v>
      </c>
      <c r="K163" s="262"/>
      <c r="L163" s="263">
        <v>32.36</v>
      </c>
      <c r="M163" s="267">
        <v>8.92</v>
      </c>
      <c r="N163" s="284">
        <v>288.64999999999998</v>
      </c>
      <c r="S163" s="338"/>
      <c r="AF163" s="246"/>
      <c r="AG163" s="255"/>
      <c r="AJ163" s="258" t="s">
        <v>593</v>
      </c>
      <c r="AM163" s="255"/>
    </row>
    <row r="164" spans="1:39" s="210" customFormat="1" ht="14.4" x14ac:dyDescent="0.3">
      <c r="A164" s="268"/>
      <c r="B164" s="260"/>
      <c r="C164" s="418" t="s">
        <v>570</v>
      </c>
      <c r="D164" s="418"/>
      <c r="E164" s="418"/>
      <c r="F164" s="261" t="s">
        <v>571</v>
      </c>
      <c r="G164" s="277">
        <v>15</v>
      </c>
      <c r="H164" s="267">
        <v>1.1499999999999999</v>
      </c>
      <c r="I164" s="264">
        <v>34.5</v>
      </c>
      <c r="J164" s="269"/>
      <c r="K164" s="262"/>
      <c r="L164" s="269"/>
      <c r="M164" s="262"/>
      <c r="N164" s="270"/>
      <c r="S164" s="338"/>
      <c r="AF164" s="246"/>
      <c r="AG164" s="255"/>
      <c r="AK164" s="258" t="s">
        <v>570</v>
      </c>
      <c r="AM164" s="255"/>
    </row>
    <row r="165" spans="1:39" s="210" customFormat="1" ht="14.4" x14ac:dyDescent="0.3">
      <c r="A165" s="259"/>
      <c r="B165" s="260"/>
      <c r="C165" s="420" t="s">
        <v>573</v>
      </c>
      <c r="D165" s="420"/>
      <c r="E165" s="420"/>
      <c r="F165" s="272"/>
      <c r="G165" s="273"/>
      <c r="H165" s="273"/>
      <c r="I165" s="273"/>
      <c r="J165" s="275">
        <v>186.54</v>
      </c>
      <c r="K165" s="273"/>
      <c r="L165" s="275">
        <v>424.19</v>
      </c>
      <c r="M165" s="273"/>
      <c r="N165" s="276">
        <v>16115.08</v>
      </c>
      <c r="S165" s="338"/>
      <c r="AF165" s="246"/>
      <c r="AG165" s="255"/>
      <c r="AL165" s="258" t="s">
        <v>573</v>
      </c>
      <c r="AM165" s="255"/>
    </row>
    <row r="166" spans="1:39" s="210" customFormat="1" ht="14.4" x14ac:dyDescent="0.3">
      <c r="A166" s="268"/>
      <c r="B166" s="260"/>
      <c r="C166" s="418" t="s">
        <v>574</v>
      </c>
      <c r="D166" s="418"/>
      <c r="E166" s="418"/>
      <c r="F166" s="261"/>
      <c r="G166" s="262"/>
      <c r="H166" s="262"/>
      <c r="I166" s="262"/>
      <c r="J166" s="269"/>
      <c r="K166" s="262"/>
      <c r="L166" s="263">
        <v>372.26</v>
      </c>
      <c r="M166" s="262"/>
      <c r="N166" s="265">
        <v>15560.47</v>
      </c>
      <c r="S166" s="338"/>
      <c r="AF166" s="246"/>
      <c r="AG166" s="255"/>
      <c r="AK166" s="258" t="s">
        <v>574</v>
      </c>
      <c r="AM166" s="255"/>
    </row>
    <row r="167" spans="1:39" s="210" customFormat="1" ht="14.4" x14ac:dyDescent="0.3">
      <c r="A167" s="268"/>
      <c r="B167" s="260" t="s">
        <v>643</v>
      </c>
      <c r="C167" s="418" t="s">
        <v>644</v>
      </c>
      <c r="D167" s="418"/>
      <c r="E167" s="418"/>
      <c r="F167" s="261" t="s">
        <v>577</v>
      </c>
      <c r="G167" s="277">
        <v>90</v>
      </c>
      <c r="H167" s="262"/>
      <c r="I167" s="277">
        <v>90</v>
      </c>
      <c r="J167" s="269"/>
      <c r="K167" s="262"/>
      <c r="L167" s="263">
        <v>335.03</v>
      </c>
      <c r="M167" s="262"/>
      <c r="N167" s="265">
        <v>14004.42</v>
      </c>
      <c r="S167" s="338"/>
      <c r="AF167" s="246"/>
      <c r="AG167" s="255"/>
      <c r="AK167" s="258" t="s">
        <v>644</v>
      </c>
      <c r="AM167" s="255"/>
    </row>
    <row r="168" spans="1:39" s="210" customFormat="1" ht="14.4" x14ac:dyDescent="0.3">
      <c r="A168" s="268"/>
      <c r="B168" s="260" t="s">
        <v>645</v>
      </c>
      <c r="C168" s="418" t="s">
        <v>646</v>
      </c>
      <c r="D168" s="418"/>
      <c r="E168" s="418"/>
      <c r="F168" s="261" t="s">
        <v>577</v>
      </c>
      <c r="G168" s="277">
        <v>46</v>
      </c>
      <c r="H168" s="262"/>
      <c r="I168" s="277">
        <v>46</v>
      </c>
      <c r="J168" s="269"/>
      <c r="K168" s="262"/>
      <c r="L168" s="263">
        <v>171.24</v>
      </c>
      <c r="M168" s="262"/>
      <c r="N168" s="265">
        <v>7157.82</v>
      </c>
      <c r="S168" s="338"/>
      <c r="AF168" s="246"/>
      <c r="AG168" s="255"/>
      <c r="AK168" s="258" t="s">
        <v>646</v>
      </c>
      <c r="AM168" s="255"/>
    </row>
    <row r="169" spans="1:39" s="210" customFormat="1" ht="14.4" x14ac:dyDescent="0.3">
      <c r="A169" s="278"/>
      <c r="B169" s="311"/>
      <c r="C169" s="421" t="s">
        <v>580</v>
      </c>
      <c r="D169" s="421"/>
      <c r="E169" s="421"/>
      <c r="F169" s="249"/>
      <c r="G169" s="250"/>
      <c r="H169" s="250"/>
      <c r="I169" s="250"/>
      <c r="J169" s="253"/>
      <c r="K169" s="250"/>
      <c r="L169" s="281">
        <v>930.46</v>
      </c>
      <c r="M169" s="273"/>
      <c r="N169" s="280">
        <v>37277.32</v>
      </c>
      <c r="S169" s="338"/>
      <c r="AF169" s="246"/>
      <c r="AG169" s="255"/>
      <c r="AM169" s="255" t="s">
        <v>580</v>
      </c>
    </row>
    <row r="170" spans="1:39" s="210" customFormat="1" ht="31.8" x14ac:dyDescent="0.3">
      <c r="A170" s="247" t="s">
        <v>647</v>
      </c>
      <c r="B170" s="248" t="s">
        <v>648</v>
      </c>
      <c r="C170" s="421" t="s">
        <v>649</v>
      </c>
      <c r="D170" s="421"/>
      <c r="E170" s="421"/>
      <c r="F170" s="249" t="s">
        <v>650</v>
      </c>
      <c r="G170" s="250">
        <v>4.8</v>
      </c>
      <c r="H170" s="251">
        <v>1</v>
      </c>
      <c r="I170" s="290">
        <v>4.8</v>
      </c>
      <c r="J170" s="253"/>
      <c r="K170" s="250"/>
      <c r="L170" s="253"/>
      <c r="M170" s="250"/>
      <c r="N170" s="254"/>
      <c r="S170" s="338"/>
      <c r="AF170" s="246"/>
      <c r="AG170" s="255" t="s">
        <v>649</v>
      </c>
      <c r="AM170" s="255"/>
    </row>
    <row r="171" spans="1:39" s="210" customFormat="1" ht="14.4" x14ac:dyDescent="0.3">
      <c r="A171" s="256"/>
      <c r="B171" s="257"/>
      <c r="C171" s="418" t="s">
        <v>651</v>
      </c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23"/>
      <c r="S171" s="338"/>
      <c r="AF171" s="246"/>
      <c r="AG171" s="255"/>
      <c r="AH171" s="258" t="s">
        <v>651</v>
      </c>
      <c r="AM171" s="255"/>
    </row>
    <row r="172" spans="1:39" s="210" customFormat="1" ht="52.2" x14ac:dyDescent="0.3">
      <c r="A172" s="283"/>
      <c r="B172" s="260" t="s">
        <v>704</v>
      </c>
      <c r="C172" s="417" t="s">
        <v>705</v>
      </c>
      <c r="D172" s="417"/>
      <c r="E172" s="417"/>
      <c r="F172" s="417"/>
      <c r="G172" s="417"/>
      <c r="H172" s="417"/>
      <c r="I172" s="417"/>
      <c r="J172" s="417"/>
      <c r="K172" s="417"/>
      <c r="L172" s="417"/>
      <c r="M172" s="417"/>
      <c r="N172" s="422"/>
      <c r="S172" s="338"/>
      <c r="AF172" s="246"/>
      <c r="AG172" s="255"/>
      <c r="AI172" s="258" t="s">
        <v>705</v>
      </c>
      <c r="AM172" s="255"/>
    </row>
    <row r="173" spans="1:39" s="210" customFormat="1" ht="14.4" x14ac:dyDescent="0.3">
      <c r="A173" s="259"/>
      <c r="B173" s="260" t="s">
        <v>301</v>
      </c>
      <c r="C173" s="418" t="s">
        <v>566</v>
      </c>
      <c r="D173" s="418"/>
      <c r="E173" s="418"/>
      <c r="F173" s="261"/>
      <c r="G173" s="262"/>
      <c r="H173" s="262"/>
      <c r="I173" s="262"/>
      <c r="J173" s="263">
        <v>58.32</v>
      </c>
      <c r="K173" s="267">
        <v>1.1499999999999999</v>
      </c>
      <c r="L173" s="263">
        <v>321.93</v>
      </c>
      <c r="M173" s="264">
        <v>41.8</v>
      </c>
      <c r="N173" s="265">
        <v>13456.67</v>
      </c>
      <c r="S173" s="338"/>
      <c r="AF173" s="246"/>
      <c r="AG173" s="255"/>
      <c r="AJ173" s="258" t="s">
        <v>566</v>
      </c>
      <c r="AM173" s="255"/>
    </row>
    <row r="174" spans="1:39" s="210" customFormat="1" ht="14.4" x14ac:dyDescent="0.3">
      <c r="A174" s="259"/>
      <c r="B174" s="260" t="s">
        <v>304</v>
      </c>
      <c r="C174" s="418" t="s">
        <v>567</v>
      </c>
      <c r="D174" s="418"/>
      <c r="E174" s="418"/>
      <c r="F174" s="261"/>
      <c r="G174" s="262"/>
      <c r="H174" s="262"/>
      <c r="I174" s="262"/>
      <c r="J174" s="263">
        <v>44.51</v>
      </c>
      <c r="K174" s="267">
        <v>1.1499999999999999</v>
      </c>
      <c r="L174" s="263">
        <v>245.7</v>
      </c>
      <c r="M174" s="267">
        <v>13.59</v>
      </c>
      <c r="N174" s="265">
        <v>3339.06</v>
      </c>
      <c r="S174" s="338"/>
      <c r="AF174" s="246"/>
      <c r="AG174" s="255"/>
      <c r="AJ174" s="258" t="s">
        <v>567</v>
      </c>
      <c r="AM174" s="255"/>
    </row>
    <row r="175" spans="1:39" s="210" customFormat="1" ht="14.4" x14ac:dyDescent="0.3">
      <c r="A175" s="259"/>
      <c r="B175" s="260" t="s">
        <v>592</v>
      </c>
      <c r="C175" s="418" t="s">
        <v>593</v>
      </c>
      <c r="D175" s="418"/>
      <c r="E175" s="418"/>
      <c r="F175" s="261"/>
      <c r="G175" s="262"/>
      <c r="H175" s="262"/>
      <c r="I175" s="262"/>
      <c r="J175" s="263">
        <v>41.62</v>
      </c>
      <c r="K175" s="262"/>
      <c r="L175" s="263">
        <v>199.78</v>
      </c>
      <c r="M175" s="267">
        <v>8.92</v>
      </c>
      <c r="N175" s="265">
        <v>1782.04</v>
      </c>
      <c r="S175" s="338"/>
      <c r="AF175" s="246"/>
      <c r="AG175" s="255"/>
      <c r="AJ175" s="258" t="s">
        <v>593</v>
      </c>
      <c r="AM175" s="255"/>
    </row>
    <row r="176" spans="1:39" s="210" customFormat="1" ht="14.4" x14ac:dyDescent="0.3">
      <c r="A176" s="268"/>
      <c r="B176" s="260"/>
      <c r="C176" s="418" t="s">
        <v>570</v>
      </c>
      <c r="D176" s="418"/>
      <c r="E176" s="418"/>
      <c r="F176" s="261" t="s">
        <v>571</v>
      </c>
      <c r="G176" s="267">
        <v>5.01</v>
      </c>
      <c r="H176" s="267">
        <v>1.1499999999999999</v>
      </c>
      <c r="I176" s="271">
        <v>27.655200000000001</v>
      </c>
      <c r="J176" s="269"/>
      <c r="K176" s="262"/>
      <c r="L176" s="269"/>
      <c r="M176" s="262"/>
      <c r="N176" s="270"/>
      <c r="S176" s="338"/>
      <c r="AF176" s="246"/>
      <c r="AG176" s="255"/>
      <c r="AK176" s="258" t="s">
        <v>570</v>
      </c>
      <c r="AM176" s="255"/>
    </row>
    <row r="177" spans="1:39" s="210" customFormat="1" ht="14.4" x14ac:dyDescent="0.3">
      <c r="A177" s="259"/>
      <c r="B177" s="260"/>
      <c r="C177" s="420" t="s">
        <v>573</v>
      </c>
      <c r="D177" s="420"/>
      <c r="E177" s="420"/>
      <c r="F177" s="272"/>
      <c r="G177" s="273"/>
      <c r="H177" s="273"/>
      <c r="I177" s="273"/>
      <c r="J177" s="275">
        <v>144.44999999999999</v>
      </c>
      <c r="K177" s="273"/>
      <c r="L177" s="275">
        <v>767.41</v>
      </c>
      <c r="M177" s="273"/>
      <c r="N177" s="276">
        <v>18577.77</v>
      </c>
      <c r="S177" s="338"/>
      <c r="AF177" s="246"/>
      <c r="AG177" s="255"/>
      <c r="AL177" s="258" t="s">
        <v>573</v>
      </c>
      <c r="AM177" s="255"/>
    </row>
    <row r="178" spans="1:39" s="210" customFormat="1" ht="14.4" x14ac:dyDescent="0.3">
      <c r="A178" s="268"/>
      <c r="B178" s="260"/>
      <c r="C178" s="418" t="s">
        <v>574</v>
      </c>
      <c r="D178" s="418"/>
      <c r="E178" s="418"/>
      <c r="F178" s="261"/>
      <c r="G178" s="262"/>
      <c r="H178" s="262"/>
      <c r="I178" s="262"/>
      <c r="J178" s="269"/>
      <c r="K178" s="262"/>
      <c r="L178" s="263">
        <v>321.93</v>
      </c>
      <c r="M178" s="262"/>
      <c r="N178" s="265">
        <v>13456.67</v>
      </c>
      <c r="S178" s="338"/>
      <c r="AF178" s="246"/>
      <c r="AG178" s="255"/>
      <c r="AK178" s="258" t="s">
        <v>574</v>
      </c>
      <c r="AM178" s="255"/>
    </row>
    <row r="179" spans="1:39" s="210" customFormat="1" ht="31.8" x14ac:dyDescent="0.3">
      <c r="A179" s="268"/>
      <c r="B179" s="260" t="s">
        <v>652</v>
      </c>
      <c r="C179" s="418" t="s">
        <v>653</v>
      </c>
      <c r="D179" s="418"/>
      <c r="E179" s="418"/>
      <c r="F179" s="261" t="s">
        <v>577</v>
      </c>
      <c r="G179" s="277">
        <v>121</v>
      </c>
      <c r="H179" s="262"/>
      <c r="I179" s="277">
        <v>121</v>
      </c>
      <c r="J179" s="269"/>
      <c r="K179" s="262"/>
      <c r="L179" s="263">
        <v>389.54</v>
      </c>
      <c r="M179" s="262"/>
      <c r="N179" s="265">
        <v>16282.57</v>
      </c>
      <c r="S179" s="338"/>
      <c r="AF179" s="246"/>
      <c r="AG179" s="255"/>
      <c r="AK179" s="258" t="s">
        <v>653</v>
      </c>
      <c r="AM179" s="255"/>
    </row>
    <row r="180" spans="1:39" s="210" customFormat="1" ht="40.799999999999997" x14ac:dyDescent="0.3">
      <c r="A180" s="268"/>
      <c r="B180" s="260" t="s">
        <v>654</v>
      </c>
      <c r="C180" s="418" t="s">
        <v>655</v>
      </c>
      <c r="D180" s="418"/>
      <c r="E180" s="418"/>
      <c r="F180" s="261" t="s">
        <v>577</v>
      </c>
      <c r="G180" s="277">
        <v>72</v>
      </c>
      <c r="H180" s="267">
        <v>0.85</v>
      </c>
      <c r="I180" s="264">
        <v>61.2</v>
      </c>
      <c r="J180" s="269"/>
      <c r="K180" s="262"/>
      <c r="L180" s="263">
        <v>197.02</v>
      </c>
      <c r="M180" s="262"/>
      <c r="N180" s="265">
        <v>8235.48</v>
      </c>
      <c r="S180" s="338"/>
      <c r="AF180" s="246"/>
      <c r="AG180" s="255"/>
      <c r="AK180" s="258" t="s">
        <v>655</v>
      </c>
      <c r="AM180" s="255"/>
    </row>
    <row r="181" spans="1:39" s="210" customFormat="1" ht="14.4" x14ac:dyDescent="0.3">
      <c r="A181" s="278"/>
      <c r="B181" s="311"/>
      <c r="C181" s="421" t="s">
        <v>580</v>
      </c>
      <c r="D181" s="421"/>
      <c r="E181" s="421"/>
      <c r="F181" s="249"/>
      <c r="G181" s="250"/>
      <c r="H181" s="250"/>
      <c r="I181" s="250"/>
      <c r="J181" s="253"/>
      <c r="K181" s="250"/>
      <c r="L181" s="279">
        <v>1353.97</v>
      </c>
      <c r="M181" s="273"/>
      <c r="N181" s="280">
        <v>43095.82</v>
      </c>
      <c r="S181" s="338"/>
      <c r="AF181" s="246"/>
      <c r="AG181" s="255"/>
      <c r="AM181" s="255" t="s">
        <v>580</v>
      </c>
    </row>
    <row r="182" spans="1:39" s="210" customFormat="1" ht="31.8" x14ac:dyDescent="0.3">
      <c r="A182" s="247" t="s">
        <v>656</v>
      </c>
      <c r="B182" s="248" t="s">
        <v>657</v>
      </c>
      <c r="C182" s="421" t="s">
        <v>658</v>
      </c>
      <c r="D182" s="421"/>
      <c r="E182" s="421"/>
      <c r="F182" s="249" t="s">
        <v>493</v>
      </c>
      <c r="G182" s="250">
        <v>60</v>
      </c>
      <c r="H182" s="251">
        <v>1</v>
      </c>
      <c r="I182" s="251">
        <v>60</v>
      </c>
      <c r="J182" s="253"/>
      <c r="K182" s="250"/>
      <c r="L182" s="253"/>
      <c r="M182" s="250"/>
      <c r="N182" s="254"/>
      <c r="S182" s="338"/>
      <c r="AF182" s="246"/>
      <c r="AG182" s="255" t="s">
        <v>658</v>
      </c>
      <c r="AM182" s="255"/>
    </row>
    <row r="183" spans="1:39" s="210" customFormat="1" ht="52.2" x14ac:dyDescent="0.3">
      <c r="A183" s="283"/>
      <c r="B183" s="260" t="s">
        <v>704</v>
      </c>
      <c r="C183" s="417" t="s">
        <v>705</v>
      </c>
      <c r="D183" s="417"/>
      <c r="E183" s="417"/>
      <c r="F183" s="417"/>
      <c r="G183" s="417"/>
      <c r="H183" s="417"/>
      <c r="I183" s="417"/>
      <c r="J183" s="417"/>
      <c r="K183" s="417"/>
      <c r="L183" s="417"/>
      <c r="M183" s="417"/>
      <c r="N183" s="422"/>
      <c r="S183" s="338"/>
      <c r="AF183" s="246"/>
      <c r="AG183" s="255"/>
      <c r="AI183" s="258" t="s">
        <v>705</v>
      </c>
      <c r="AM183" s="255"/>
    </row>
    <row r="184" spans="1:39" s="210" customFormat="1" ht="14.4" x14ac:dyDescent="0.3">
      <c r="A184" s="259"/>
      <c r="B184" s="260" t="s">
        <v>301</v>
      </c>
      <c r="C184" s="418" t="s">
        <v>566</v>
      </c>
      <c r="D184" s="418"/>
      <c r="E184" s="418"/>
      <c r="F184" s="261"/>
      <c r="G184" s="262"/>
      <c r="H184" s="262"/>
      <c r="I184" s="262"/>
      <c r="J184" s="263">
        <v>1.77</v>
      </c>
      <c r="K184" s="267">
        <v>1.1499999999999999</v>
      </c>
      <c r="L184" s="263">
        <v>122.13</v>
      </c>
      <c r="M184" s="264">
        <v>41.8</v>
      </c>
      <c r="N184" s="265">
        <v>5105.03</v>
      </c>
      <c r="S184" s="338"/>
      <c r="AF184" s="246"/>
      <c r="AG184" s="255"/>
      <c r="AJ184" s="258" t="s">
        <v>566</v>
      </c>
      <c r="AM184" s="255"/>
    </row>
    <row r="185" spans="1:39" s="210" customFormat="1" ht="14.4" x14ac:dyDescent="0.3">
      <c r="A185" s="259"/>
      <c r="B185" s="260" t="s">
        <v>592</v>
      </c>
      <c r="C185" s="418" t="s">
        <v>593</v>
      </c>
      <c r="D185" s="418"/>
      <c r="E185" s="418"/>
      <c r="F185" s="261"/>
      <c r="G185" s="262"/>
      <c r="H185" s="262"/>
      <c r="I185" s="262"/>
      <c r="J185" s="263">
        <v>0.04</v>
      </c>
      <c r="K185" s="262"/>
      <c r="L185" s="263">
        <v>2.4</v>
      </c>
      <c r="M185" s="267">
        <v>8.92</v>
      </c>
      <c r="N185" s="284">
        <v>21.41</v>
      </c>
      <c r="S185" s="338"/>
      <c r="AF185" s="246"/>
      <c r="AG185" s="255"/>
      <c r="AJ185" s="258" t="s">
        <v>593</v>
      </c>
      <c r="AM185" s="255"/>
    </row>
    <row r="186" spans="1:39" s="210" customFormat="1" ht="14.4" x14ac:dyDescent="0.3">
      <c r="A186" s="268"/>
      <c r="B186" s="260"/>
      <c r="C186" s="418" t="s">
        <v>570</v>
      </c>
      <c r="D186" s="418"/>
      <c r="E186" s="418"/>
      <c r="F186" s="261" t="s">
        <v>571</v>
      </c>
      <c r="G186" s="267">
        <v>0.16</v>
      </c>
      <c r="H186" s="267">
        <v>1.1499999999999999</v>
      </c>
      <c r="I186" s="267">
        <v>11.04</v>
      </c>
      <c r="J186" s="269"/>
      <c r="K186" s="262"/>
      <c r="L186" s="269"/>
      <c r="M186" s="262"/>
      <c r="N186" s="270"/>
      <c r="S186" s="338"/>
      <c r="AF186" s="246"/>
      <c r="AG186" s="255"/>
      <c r="AK186" s="258" t="s">
        <v>570</v>
      </c>
      <c r="AM186" s="255"/>
    </row>
    <row r="187" spans="1:39" s="210" customFormat="1" ht="14.4" x14ac:dyDescent="0.3">
      <c r="A187" s="259"/>
      <c r="B187" s="260"/>
      <c r="C187" s="420" t="s">
        <v>573</v>
      </c>
      <c r="D187" s="420"/>
      <c r="E187" s="420"/>
      <c r="F187" s="272"/>
      <c r="G187" s="273"/>
      <c r="H187" s="273"/>
      <c r="I187" s="273"/>
      <c r="J187" s="275">
        <v>1.81</v>
      </c>
      <c r="K187" s="273"/>
      <c r="L187" s="275">
        <v>124.53</v>
      </c>
      <c r="M187" s="273"/>
      <c r="N187" s="276">
        <v>5126.4399999999996</v>
      </c>
      <c r="S187" s="338"/>
      <c r="AF187" s="246"/>
      <c r="AG187" s="255"/>
      <c r="AL187" s="258" t="s">
        <v>573</v>
      </c>
      <c r="AM187" s="255"/>
    </row>
    <row r="188" spans="1:39" s="210" customFormat="1" ht="14.4" x14ac:dyDescent="0.3">
      <c r="A188" s="268"/>
      <c r="B188" s="260"/>
      <c r="C188" s="418" t="s">
        <v>574</v>
      </c>
      <c r="D188" s="418"/>
      <c r="E188" s="418"/>
      <c r="F188" s="261"/>
      <c r="G188" s="262"/>
      <c r="H188" s="262"/>
      <c r="I188" s="262"/>
      <c r="J188" s="269"/>
      <c r="K188" s="262"/>
      <c r="L188" s="263">
        <v>122.13</v>
      </c>
      <c r="M188" s="262"/>
      <c r="N188" s="265">
        <v>5105.03</v>
      </c>
      <c r="S188" s="338"/>
      <c r="AF188" s="246"/>
      <c r="AG188" s="255"/>
      <c r="AK188" s="258" t="s">
        <v>574</v>
      </c>
      <c r="AM188" s="255"/>
    </row>
    <row r="189" spans="1:39" s="210" customFormat="1" ht="14.4" x14ac:dyDescent="0.3">
      <c r="A189" s="268"/>
      <c r="B189" s="260" t="s">
        <v>659</v>
      </c>
      <c r="C189" s="418" t="s">
        <v>660</v>
      </c>
      <c r="D189" s="418"/>
      <c r="E189" s="418"/>
      <c r="F189" s="261" t="s">
        <v>577</v>
      </c>
      <c r="G189" s="277">
        <v>89</v>
      </c>
      <c r="H189" s="262"/>
      <c r="I189" s="277">
        <v>89</v>
      </c>
      <c r="J189" s="269"/>
      <c r="K189" s="262"/>
      <c r="L189" s="263">
        <v>108.7</v>
      </c>
      <c r="M189" s="262"/>
      <c r="N189" s="265">
        <v>4543.4799999999996</v>
      </c>
      <c r="S189" s="338"/>
      <c r="AF189" s="246"/>
      <c r="AG189" s="255"/>
      <c r="AK189" s="258" t="s">
        <v>660</v>
      </c>
      <c r="AM189" s="255"/>
    </row>
    <row r="190" spans="1:39" s="210" customFormat="1" ht="14.4" x14ac:dyDescent="0.3">
      <c r="A190" s="268"/>
      <c r="B190" s="260" t="s">
        <v>661</v>
      </c>
      <c r="C190" s="418" t="s">
        <v>662</v>
      </c>
      <c r="D190" s="418"/>
      <c r="E190" s="418"/>
      <c r="F190" s="261" t="s">
        <v>577</v>
      </c>
      <c r="G190" s="277">
        <v>45</v>
      </c>
      <c r="H190" s="262"/>
      <c r="I190" s="277">
        <v>45</v>
      </c>
      <c r="J190" s="269"/>
      <c r="K190" s="262"/>
      <c r="L190" s="263">
        <v>54.96</v>
      </c>
      <c r="M190" s="262"/>
      <c r="N190" s="265">
        <v>2297.2600000000002</v>
      </c>
      <c r="S190" s="338"/>
      <c r="AF190" s="246"/>
      <c r="AG190" s="255"/>
      <c r="AK190" s="258" t="s">
        <v>662</v>
      </c>
      <c r="AM190" s="255"/>
    </row>
    <row r="191" spans="1:39" s="210" customFormat="1" ht="14.4" x14ac:dyDescent="0.3">
      <c r="A191" s="278"/>
      <c r="B191" s="311"/>
      <c r="C191" s="421" t="s">
        <v>580</v>
      </c>
      <c r="D191" s="421"/>
      <c r="E191" s="421"/>
      <c r="F191" s="249"/>
      <c r="G191" s="250"/>
      <c r="H191" s="250"/>
      <c r="I191" s="250"/>
      <c r="J191" s="253"/>
      <c r="K191" s="250"/>
      <c r="L191" s="281">
        <v>288.19</v>
      </c>
      <c r="M191" s="273"/>
      <c r="N191" s="280">
        <v>11967.18</v>
      </c>
      <c r="S191" s="338"/>
      <c r="AF191" s="246"/>
      <c r="AG191" s="255"/>
      <c r="AM191" s="255" t="s">
        <v>580</v>
      </c>
    </row>
    <row r="192" spans="1:39" s="210" customFormat="1" ht="52.2" x14ac:dyDescent="0.3">
      <c r="A192" s="247" t="s">
        <v>663</v>
      </c>
      <c r="B192" s="248" t="s">
        <v>664</v>
      </c>
      <c r="C192" s="421" t="s">
        <v>665</v>
      </c>
      <c r="D192" s="421"/>
      <c r="E192" s="421"/>
      <c r="F192" s="249" t="s">
        <v>493</v>
      </c>
      <c r="G192" s="250">
        <v>60</v>
      </c>
      <c r="H192" s="251">
        <v>1</v>
      </c>
      <c r="I192" s="251">
        <v>60</v>
      </c>
      <c r="J192" s="253"/>
      <c r="K192" s="250"/>
      <c r="L192" s="253"/>
      <c r="M192" s="250"/>
      <c r="N192" s="254"/>
      <c r="S192" s="338"/>
      <c r="AF192" s="246"/>
      <c r="AG192" s="255" t="s">
        <v>665</v>
      </c>
      <c r="AM192" s="255"/>
    </row>
    <row r="193" spans="1:43" s="210" customFormat="1" ht="21.6" x14ac:dyDescent="0.3">
      <c r="A193" s="283"/>
      <c r="B193" s="260" t="s">
        <v>666</v>
      </c>
      <c r="C193" s="417" t="s">
        <v>667</v>
      </c>
      <c r="D193" s="417"/>
      <c r="E193" s="417"/>
      <c r="F193" s="417"/>
      <c r="G193" s="417"/>
      <c r="H193" s="417"/>
      <c r="I193" s="417"/>
      <c r="J193" s="417"/>
      <c r="K193" s="417"/>
      <c r="L193" s="417"/>
      <c r="M193" s="417"/>
      <c r="N193" s="422"/>
      <c r="S193" s="338"/>
      <c r="AF193" s="246"/>
      <c r="AG193" s="255"/>
      <c r="AI193" s="258" t="s">
        <v>667</v>
      </c>
      <c r="AM193" s="255"/>
    </row>
    <row r="194" spans="1:43" s="210" customFormat="1" ht="52.2" x14ac:dyDescent="0.3">
      <c r="A194" s="283"/>
      <c r="B194" s="260" t="s">
        <v>704</v>
      </c>
      <c r="C194" s="417" t="s">
        <v>705</v>
      </c>
      <c r="D194" s="417"/>
      <c r="E194" s="417"/>
      <c r="F194" s="417"/>
      <c r="G194" s="417"/>
      <c r="H194" s="417"/>
      <c r="I194" s="417"/>
      <c r="J194" s="417"/>
      <c r="K194" s="417"/>
      <c r="L194" s="417"/>
      <c r="M194" s="417"/>
      <c r="N194" s="422"/>
      <c r="S194" s="338"/>
      <c r="AF194" s="246"/>
      <c r="AG194" s="255"/>
      <c r="AI194" s="258" t="s">
        <v>705</v>
      </c>
      <c r="AM194" s="255"/>
    </row>
    <row r="195" spans="1:43" s="210" customFormat="1" ht="14.4" x14ac:dyDescent="0.3">
      <c r="A195" s="259"/>
      <c r="B195" s="260" t="s">
        <v>301</v>
      </c>
      <c r="C195" s="418" t="s">
        <v>566</v>
      </c>
      <c r="D195" s="418"/>
      <c r="E195" s="418"/>
      <c r="F195" s="261"/>
      <c r="G195" s="262"/>
      <c r="H195" s="262"/>
      <c r="I195" s="262"/>
      <c r="J195" s="263">
        <v>9.06</v>
      </c>
      <c r="K195" s="271">
        <v>1.4375</v>
      </c>
      <c r="L195" s="263">
        <v>781.43</v>
      </c>
      <c r="M195" s="264">
        <v>41.8</v>
      </c>
      <c r="N195" s="265">
        <v>32663.77</v>
      </c>
      <c r="S195" s="338"/>
      <c r="AF195" s="246"/>
      <c r="AG195" s="255"/>
      <c r="AJ195" s="258" t="s">
        <v>566</v>
      </c>
      <c r="AM195" s="255"/>
    </row>
    <row r="196" spans="1:43" s="210" customFormat="1" ht="14.4" x14ac:dyDescent="0.3">
      <c r="A196" s="259"/>
      <c r="B196" s="260" t="s">
        <v>304</v>
      </c>
      <c r="C196" s="418" t="s">
        <v>567</v>
      </c>
      <c r="D196" s="418"/>
      <c r="E196" s="418"/>
      <c r="F196" s="261"/>
      <c r="G196" s="262"/>
      <c r="H196" s="262"/>
      <c r="I196" s="262"/>
      <c r="J196" s="263">
        <v>3</v>
      </c>
      <c r="K196" s="271">
        <v>1.4375</v>
      </c>
      <c r="L196" s="263">
        <v>258.75</v>
      </c>
      <c r="M196" s="267">
        <v>13.59</v>
      </c>
      <c r="N196" s="265">
        <v>3516.41</v>
      </c>
      <c r="S196" s="338"/>
      <c r="AF196" s="246"/>
      <c r="AG196" s="255"/>
      <c r="AJ196" s="258" t="s">
        <v>567</v>
      </c>
      <c r="AM196" s="255"/>
    </row>
    <row r="197" spans="1:43" s="210" customFormat="1" ht="14.4" x14ac:dyDescent="0.3">
      <c r="A197" s="259"/>
      <c r="B197" s="260" t="s">
        <v>592</v>
      </c>
      <c r="C197" s="418" t="s">
        <v>593</v>
      </c>
      <c r="D197" s="418"/>
      <c r="E197" s="418"/>
      <c r="F197" s="261"/>
      <c r="G197" s="262"/>
      <c r="H197" s="262"/>
      <c r="I197" s="262"/>
      <c r="J197" s="263">
        <v>2.59</v>
      </c>
      <c r="K197" s="262"/>
      <c r="L197" s="263">
        <v>155.4</v>
      </c>
      <c r="M197" s="267">
        <v>8.92</v>
      </c>
      <c r="N197" s="265">
        <v>1386.17</v>
      </c>
      <c r="S197" s="338"/>
      <c r="AF197" s="246"/>
      <c r="AG197" s="255"/>
      <c r="AJ197" s="258" t="s">
        <v>593</v>
      </c>
      <c r="AM197" s="255"/>
    </row>
    <row r="198" spans="1:43" s="210" customFormat="1" ht="14.4" x14ac:dyDescent="0.3">
      <c r="A198" s="268"/>
      <c r="B198" s="260"/>
      <c r="C198" s="418" t="s">
        <v>570</v>
      </c>
      <c r="D198" s="418"/>
      <c r="E198" s="418"/>
      <c r="F198" s="261" t="s">
        <v>571</v>
      </c>
      <c r="G198" s="267">
        <v>0.84</v>
      </c>
      <c r="H198" s="271">
        <v>1.4375</v>
      </c>
      <c r="I198" s="267">
        <v>72.45</v>
      </c>
      <c r="J198" s="269"/>
      <c r="K198" s="262"/>
      <c r="L198" s="269"/>
      <c r="M198" s="262"/>
      <c r="N198" s="270"/>
      <c r="S198" s="338"/>
      <c r="AF198" s="246"/>
      <c r="AG198" s="255"/>
      <c r="AK198" s="258" t="s">
        <v>570</v>
      </c>
      <c r="AM198" s="255"/>
    </row>
    <row r="199" spans="1:43" s="210" customFormat="1" ht="14.4" x14ac:dyDescent="0.3">
      <c r="A199" s="259"/>
      <c r="B199" s="260"/>
      <c r="C199" s="420" t="s">
        <v>573</v>
      </c>
      <c r="D199" s="420"/>
      <c r="E199" s="420"/>
      <c r="F199" s="272"/>
      <c r="G199" s="273"/>
      <c r="H199" s="273"/>
      <c r="I199" s="273"/>
      <c r="J199" s="275">
        <v>14.65</v>
      </c>
      <c r="K199" s="273"/>
      <c r="L199" s="274">
        <v>1195.58</v>
      </c>
      <c r="M199" s="273"/>
      <c r="N199" s="276">
        <v>37566.35</v>
      </c>
      <c r="S199" s="338"/>
      <c r="AF199" s="246"/>
      <c r="AG199" s="255"/>
      <c r="AL199" s="258" t="s">
        <v>573</v>
      </c>
      <c r="AM199" s="255"/>
    </row>
    <row r="200" spans="1:43" s="210" customFormat="1" ht="14.4" x14ac:dyDescent="0.3">
      <c r="A200" s="268"/>
      <c r="B200" s="260"/>
      <c r="C200" s="418" t="s">
        <v>574</v>
      </c>
      <c r="D200" s="418"/>
      <c r="E200" s="418"/>
      <c r="F200" s="261"/>
      <c r="G200" s="262"/>
      <c r="H200" s="262"/>
      <c r="I200" s="262"/>
      <c r="J200" s="269"/>
      <c r="K200" s="262"/>
      <c r="L200" s="263">
        <v>781.43</v>
      </c>
      <c r="M200" s="262"/>
      <c r="N200" s="265">
        <v>32663.77</v>
      </c>
      <c r="S200" s="338"/>
      <c r="AF200" s="246"/>
      <c r="AG200" s="255"/>
      <c r="AK200" s="258" t="s">
        <v>574</v>
      </c>
      <c r="AM200" s="255"/>
    </row>
    <row r="201" spans="1:43" s="210" customFormat="1" ht="14.4" x14ac:dyDescent="0.3">
      <c r="A201" s="268"/>
      <c r="B201" s="260" t="s">
        <v>659</v>
      </c>
      <c r="C201" s="418" t="s">
        <v>660</v>
      </c>
      <c r="D201" s="418"/>
      <c r="E201" s="418"/>
      <c r="F201" s="261" t="s">
        <v>577</v>
      </c>
      <c r="G201" s="277">
        <v>89</v>
      </c>
      <c r="H201" s="262"/>
      <c r="I201" s="277">
        <v>89</v>
      </c>
      <c r="J201" s="269"/>
      <c r="K201" s="262"/>
      <c r="L201" s="263">
        <v>695.47</v>
      </c>
      <c r="M201" s="262"/>
      <c r="N201" s="265">
        <v>29070.76</v>
      </c>
      <c r="S201" s="338"/>
      <c r="AF201" s="246"/>
      <c r="AG201" s="255"/>
      <c r="AK201" s="258" t="s">
        <v>660</v>
      </c>
      <c r="AM201" s="255"/>
    </row>
    <row r="202" spans="1:43" s="210" customFormat="1" ht="14.4" x14ac:dyDescent="0.3">
      <c r="A202" s="268"/>
      <c r="B202" s="260" t="s">
        <v>661</v>
      </c>
      <c r="C202" s="418" t="s">
        <v>662</v>
      </c>
      <c r="D202" s="418"/>
      <c r="E202" s="418"/>
      <c r="F202" s="261" t="s">
        <v>577</v>
      </c>
      <c r="G202" s="277">
        <v>45</v>
      </c>
      <c r="H202" s="262"/>
      <c r="I202" s="277">
        <v>45</v>
      </c>
      <c r="J202" s="269"/>
      <c r="K202" s="262"/>
      <c r="L202" s="263">
        <v>351.64</v>
      </c>
      <c r="M202" s="262"/>
      <c r="N202" s="265">
        <v>14698.7</v>
      </c>
      <c r="S202" s="338"/>
      <c r="AF202" s="246"/>
      <c r="AG202" s="255"/>
      <c r="AK202" s="258" t="s">
        <v>662</v>
      </c>
      <c r="AM202" s="255"/>
    </row>
    <row r="203" spans="1:43" s="210" customFormat="1" ht="14.4" x14ac:dyDescent="0.3">
      <c r="A203" s="278"/>
      <c r="B203" s="311"/>
      <c r="C203" s="421" t="s">
        <v>580</v>
      </c>
      <c r="D203" s="421"/>
      <c r="E203" s="421"/>
      <c r="F203" s="249"/>
      <c r="G203" s="250"/>
      <c r="H203" s="250"/>
      <c r="I203" s="250"/>
      <c r="J203" s="253"/>
      <c r="K203" s="250"/>
      <c r="L203" s="279">
        <v>2242.69</v>
      </c>
      <c r="M203" s="273"/>
      <c r="N203" s="280">
        <v>81335.81</v>
      </c>
      <c r="S203" s="338"/>
      <c r="AF203" s="246"/>
      <c r="AG203" s="255"/>
      <c r="AM203" s="255" t="s">
        <v>580</v>
      </c>
    </row>
    <row r="204" spans="1:43" s="210" customFormat="1" ht="0" hidden="1" customHeight="1" x14ac:dyDescent="0.3">
      <c r="A204" s="291"/>
      <c r="B204" s="292"/>
      <c r="C204" s="292"/>
      <c r="D204" s="292"/>
      <c r="E204" s="292"/>
      <c r="F204" s="293"/>
      <c r="G204" s="293"/>
      <c r="H204" s="293"/>
      <c r="I204" s="293"/>
      <c r="J204" s="294"/>
      <c r="K204" s="293"/>
      <c r="L204" s="294"/>
      <c r="M204" s="262"/>
      <c r="N204" s="294"/>
      <c r="S204" s="338"/>
      <c r="AF204" s="246"/>
      <c r="AG204" s="255"/>
      <c r="AM204" s="255"/>
    </row>
    <row r="205" spans="1:43" s="210" customFormat="1" ht="11.25" hidden="1" customHeight="1" x14ac:dyDescent="0.3">
      <c r="B205" s="295"/>
      <c r="C205" s="295"/>
      <c r="D205" s="295"/>
      <c r="E205" s="295"/>
      <c r="F205" s="295"/>
      <c r="G205" s="295"/>
      <c r="H205" s="295"/>
      <c r="I205" s="295"/>
      <c r="J205" s="295"/>
      <c r="K205" s="295"/>
      <c r="L205" s="296"/>
      <c r="M205" s="296"/>
      <c r="N205" s="296"/>
      <c r="R205" s="297"/>
      <c r="S205" s="338"/>
    </row>
    <row r="206" spans="1:43" s="210" customFormat="1" ht="14.4" x14ac:dyDescent="0.3">
      <c r="A206" s="298"/>
      <c r="B206" s="299"/>
      <c r="C206" s="421" t="s">
        <v>668</v>
      </c>
      <c r="D206" s="421"/>
      <c r="E206" s="421"/>
      <c r="F206" s="421"/>
      <c r="G206" s="421"/>
      <c r="H206" s="421"/>
      <c r="I206" s="421"/>
      <c r="J206" s="421"/>
      <c r="K206" s="421"/>
      <c r="L206" s="300"/>
      <c r="M206" s="301"/>
      <c r="N206" s="302"/>
      <c r="S206" s="338"/>
      <c r="AP206" s="255" t="s">
        <v>668</v>
      </c>
    </row>
    <row r="207" spans="1:43" s="210" customFormat="1" ht="14.4" outlineLevel="1" x14ac:dyDescent="0.3">
      <c r="A207" s="303"/>
      <c r="B207" s="260"/>
      <c r="C207" s="418" t="s">
        <v>669</v>
      </c>
      <c r="D207" s="418"/>
      <c r="E207" s="418"/>
      <c r="F207" s="418"/>
      <c r="G207" s="418"/>
      <c r="H207" s="418"/>
      <c r="I207" s="418"/>
      <c r="J207" s="418"/>
      <c r="K207" s="418"/>
      <c r="L207" s="304">
        <v>247605.81</v>
      </c>
      <c r="M207" s="305"/>
      <c r="N207" s="306">
        <v>2494662.4700000002</v>
      </c>
      <c r="S207" s="338"/>
      <c r="AP207" s="255"/>
      <c r="AQ207" s="258" t="s">
        <v>669</v>
      </c>
    </row>
    <row r="208" spans="1:43" s="210" customFormat="1" ht="14.4" outlineLevel="1" x14ac:dyDescent="0.3">
      <c r="A208" s="303"/>
      <c r="B208" s="260"/>
      <c r="C208" s="418" t="s">
        <v>670</v>
      </c>
      <c r="D208" s="418"/>
      <c r="E208" s="418"/>
      <c r="F208" s="418"/>
      <c r="G208" s="418"/>
      <c r="H208" s="418"/>
      <c r="I208" s="418"/>
      <c r="J208" s="418"/>
      <c r="K208" s="418"/>
      <c r="L208" s="307"/>
      <c r="M208" s="305"/>
      <c r="N208" s="308"/>
      <c r="S208" s="338"/>
      <c r="AP208" s="255"/>
      <c r="AQ208" s="258" t="s">
        <v>670</v>
      </c>
    </row>
    <row r="209" spans="1:43" s="210" customFormat="1" ht="14.4" outlineLevel="1" x14ac:dyDescent="0.3">
      <c r="A209" s="303"/>
      <c r="B209" s="260"/>
      <c r="C209" s="418" t="s">
        <v>671</v>
      </c>
      <c r="D209" s="418"/>
      <c r="E209" s="418"/>
      <c r="F209" s="418"/>
      <c r="G209" s="418"/>
      <c r="H209" s="418"/>
      <c r="I209" s="418"/>
      <c r="J209" s="418"/>
      <c r="K209" s="418"/>
      <c r="L209" s="304">
        <v>6932.76</v>
      </c>
      <c r="M209" s="305"/>
      <c r="N209" s="306">
        <v>289789.34999999998</v>
      </c>
      <c r="S209" s="338"/>
      <c r="AP209" s="255"/>
      <c r="AQ209" s="258" t="s">
        <v>671</v>
      </c>
    </row>
    <row r="210" spans="1:43" s="210" customFormat="1" ht="14.4" outlineLevel="1" x14ac:dyDescent="0.3">
      <c r="A210" s="303"/>
      <c r="B210" s="260"/>
      <c r="C210" s="418" t="s">
        <v>672</v>
      </c>
      <c r="D210" s="418"/>
      <c r="E210" s="418"/>
      <c r="F210" s="418"/>
      <c r="G210" s="418"/>
      <c r="H210" s="418"/>
      <c r="I210" s="418"/>
      <c r="J210" s="418"/>
      <c r="K210" s="418"/>
      <c r="L210" s="304">
        <v>12434.59</v>
      </c>
      <c r="M210" s="305"/>
      <c r="N210" s="306">
        <v>168986.06</v>
      </c>
      <c r="S210" s="338"/>
      <c r="AP210" s="255"/>
      <c r="AQ210" s="258" t="s">
        <v>672</v>
      </c>
    </row>
    <row r="211" spans="1:43" s="210" customFormat="1" ht="14.4" outlineLevel="1" x14ac:dyDescent="0.3">
      <c r="A211" s="303"/>
      <c r="B211" s="260"/>
      <c r="C211" s="418" t="s">
        <v>673</v>
      </c>
      <c r="D211" s="418"/>
      <c r="E211" s="418"/>
      <c r="F211" s="418"/>
      <c r="G211" s="418"/>
      <c r="H211" s="418"/>
      <c r="I211" s="418"/>
      <c r="J211" s="418"/>
      <c r="K211" s="418"/>
      <c r="L211" s="304">
        <v>1204.0899999999999</v>
      </c>
      <c r="M211" s="305"/>
      <c r="N211" s="306">
        <v>50330.96</v>
      </c>
      <c r="S211" s="338"/>
      <c r="AP211" s="255"/>
      <c r="AQ211" s="258" t="s">
        <v>673</v>
      </c>
    </row>
    <row r="212" spans="1:43" s="210" customFormat="1" ht="14.4" outlineLevel="1" x14ac:dyDescent="0.3">
      <c r="A212" s="303"/>
      <c r="B212" s="260"/>
      <c r="C212" s="418" t="s">
        <v>674</v>
      </c>
      <c r="D212" s="418"/>
      <c r="E212" s="418"/>
      <c r="F212" s="418"/>
      <c r="G212" s="418"/>
      <c r="H212" s="418"/>
      <c r="I212" s="418"/>
      <c r="J212" s="418"/>
      <c r="K212" s="418"/>
      <c r="L212" s="304">
        <v>228238.46</v>
      </c>
      <c r="M212" s="305"/>
      <c r="N212" s="306">
        <v>2035887.06</v>
      </c>
      <c r="S212" s="338"/>
      <c r="AP212" s="255"/>
      <c r="AQ212" s="258" t="s">
        <v>674</v>
      </c>
    </row>
    <row r="213" spans="1:43" s="210" customFormat="1" ht="14.4" outlineLevel="1" x14ac:dyDescent="0.3">
      <c r="A213" s="303"/>
      <c r="B213" s="260"/>
      <c r="C213" s="418" t="s">
        <v>675</v>
      </c>
      <c r="D213" s="418"/>
      <c r="E213" s="418"/>
      <c r="F213" s="418"/>
      <c r="G213" s="418"/>
      <c r="H213" s="418"/>
      <c r="I213" s="418"/>
      <c r="J213" s="418"/>
      <c r="K213" s="418"/>
      <c r="L213" s="304">
        <v>258097.34</v>
      </c>
      <c r="M213" s="305"/>
      <c r="N213" s="306">
        <v>2947311.81</v>
      </c>
      <c r="S213" s="338"/>
      <c r="AP213" s="255"/>
      <c r="AQ213" s="258" t="s">
        <v>675</v>
      </c>
    </row>
    <row r="214" spans="1:43" s="210" customFormat="1" ht="14.4" outlineLevel="1" x14ac:dyDescent="0.3">
      <c r="A214" s="303"/>
      <c r="B214" s="260"/>
      <c r="C214" s="418" t="s">
        <v>670</v>
      </c>
      <c r="D214" s="418"/>
      <c r="E214" s="418"/>
      <c r="F214" s="418"/>
      <c r="G214" s="418"/>
      <c r="H214" s="418"/>
      <c r="I214" s="418"/>
      <c r="J214" s="418"/>
      <c r="K214" s="418"/>
      <c r="L214" s="307"/>
      <c r="M214" s="305"/>
      <c r="N214" s="308"/>
      <c r="S214" s="338"/>
      <c r="AP214" s="255"/>
      <c r="AQ214" s="258" t="s">
        <v>670</v>
      </c>
    </row>
    <row r="215" spans="1:43" s="210" customFormat="1" ht="14.4" outlineLevel="1" x14ac:dyDescent="0.3">
      <c r="A215" s="303"/>
      <c r="B215" s="260"/>
      <c r="C215" s="418" t="s">
        <v>676</v>
      </c>
      <c r="D215" s="418"/>
      <c r="E215" s="418"/>
      <c r="F215" s="418"/>
      <c r="G215" s="418"/>
      <c r="H215" s="418"/>
      <c r="I215" s="418"/>
      <c r="J215" s="418"/>
      <c r="K215" s="418"/>
      <c r="L215" s="304">
        <v>5656.94</v>
      </c>
      <c r="M215" s="305"/>
      <c r="N215" s="306">
        <v>236460.08</v>
      </c>
      <c r="S215" s="338"/>
      <c r="AP215" s="255"/>
      <c r="AQ215" s="258" t="s">
        <v>676</v>
      </c>
    </row>
    <row r="216" spans="1:43" s="210" customFormat="1" ht="14.4" outlineLevel="1" x14ac:dyDescent="0.3">
      <c r="A216" s="303"/>
      <c r="B216" s="260"/>
      <c r="C216" s="418" t="s">
        <v>677</v>
      </c>
      <c r="D216" s="418"/>
      <c r="E216" s="418"/>
      <c r="F216" s="418"/>
      <c r="G216" s="418"/>
      <c r="H216" s="418"/>
      <c r="I216" s="418"/>
      <c r="J216" s="418"/>
      <c r="K216" s="418"/>
      <c r="L216" s="304">
        <v>12156.27</v>
      </c>
      <c r="M216" s="305"/>
      <c r="N216" s="306">
        <v>165203.69</v>
      </c>
      <c r="S216" s="338"/>
      <c r="AP216" s="255"/>
      <c r="AQ216" s="258" t="s">
        <v>677</v>
      </c>
    </row>
    <row r="217" spans="1:43" s="210" customFormat="1" ht="14.4" outlineLevel="1" x14ac:dyDescent="0.3">
      <c r="A217" s="303"/>
      <c r="B217" s="260"/>
      <c r="C217" s="418" t="s">
        <v>678</v>
      </c>
      <c r="D217" s="418"/>
      <c r="E217" s="418"/>
      <c r="F217" s="418"/>
      <c r="G217" s="418"/>
      <c r="H217" s="418"/>
      <c r="I217" s="418"/>
      <c r="J217" s="418"/>
      <c r="K217" s="418"/>
      <c r="L217" s="304">
        <v>1204.0899999999999</v>
      </c>
      <c r="M217" s="305"/>
      <c r="N217" s="306">
        <v>50330.96</v>
      </c>
      <c r="S217" s="338"/>
      <c r="AP217" s="255"/>
      <c r="AQ217" s="258" t="s">
        <v>678</v>
      </c>
    </row>
    <row r="218" spans="1:43" s="210" customFormat="1" ht="14.4" outlineLevel="1" x14ac:dyDescent="0.3">
      <c r="A218" s="303"/>
      <c r="B218" s="260"/>
      <c r="C218" s="418" t="s">
        <v>679</v>
      </c>
      <c r="D218" s="418"/>
      <c r="E218" s="418"/>
      <c r="F218" s="418"/>
      <c r="G218" s="418"/>
      <c r="H218" s="418"/>
      <c r="I218" s="418"/>
      <c r="J218" s="418"/>
      <c r="K218" s="418"/>
      <c r="L218" s="304">
        <v>228048.3</v>
      </c>
      <c r="M218" s="305"/>
      <c r="N218" s="306">
        <v>2034190.83</v>
      </c>
      <c r="S218" s="338"/>
      <c r="AP218" s="255"/>
      <c r="AQ218" s="258" t="s">
        <v>679</v>
      </c>
    </row>
    <row r="219" spans="1:43" s="210" customFormat="1" ht="14.4" outlineLevel="1" x14ac:dyDescent="0.3">
      <c r="A219" s="303"/>
      <c r="B219" s="260"/>
      <c r="C219" s="418" t="s">
        <v>680</v>
      </c>
      <c r="D219" s="418"/>
      <c r="E219" s="418"/>
      <c r="F219" s="418"/>
      <c r="G219" s="418"/>
      <c r="H219" s="418"/>
      <c r="I219" s="418"/>
      <c r="J219" s="418"/>
      <c r="K219" s="418"/>
      <c r="L219" s="304">
        <v>7970.24</v>
      </c>
      <c r="M219" s="305"/>
      <c r="N219" s="306">
        <v>333155.90999999997</v>
      </c>
      <c r="S219" s="338"/>
      <c r="AP219" s="255"/>
      <c r="AQ219" s="258" t="s">
        <v>680</v>
      </c>
    </row>
    <row r="220" spans="1:43" s="210" customFormat="1" ht="14.4" outlineLevel="1" x14ac:dyDescent="0.3">
      <c r="A220" s="303"/>
      <c r="B220" s="260"/>
      <c r="C220" s="418" t="s">
        <v>681</v>
      </c>
      <c r="D220" s="418"/>
      <c r="E220" s="418"/>
      <c r="F220" s="418"/>
      <c r="G220" s="418"/>
      <c r="H220" s="418"/>
      <c r="I220" s="418"/>
      <c r="J220" s="418"/>
      <c r="K220" s="418"/>
      <c r="L220" s="304">
        <v>4265.59</v>
      </c>
      <c r="M220" s="305"/>
      <c r="N220" s="306">
        <v>178301.3</v>
      </c>
      <c r="S220" s="338"/>
      <c r="AP220" s="255"/>
      <c r="AQ220" s="258" t="s">
        <v>681</v>
      </c>
    </row>
    <row r="221" spans="1:43" s="210" customFormat="1" ht="14.4" outlineLevel="1" x14ac:dyDescent="0.3">
      <c r="A221" s="303"/>
      <c r="B221" s="260"/>
      <c r="C221" s="418" t="s">
        <v>682</v>
      </c>
      <c r="D221" s="418"/>
      <c r="E221" s="418"/>
      <c r="F221" s="418"/>
      <c r="G221" s="418"/>
      <c r="H221" s="418"/>
      <c r="I221" s="418"/>
      <c r="J221" s="418"/>
      <c r="K221" s="418"/>
      <c r="L221" s="304">
        <v>3461.34</v>
      </c>
      <c r="M221" s="305"/>
      <c r="N221" s="306">
        <v>130580.31</v>
      </c>
      <c r="S221" s="338"/>
      <c r="AP221" s="255"/>
      <c r="AQ221" s="258" t="s">
        <v>682</v>
      </c>
    </row>
    <row r="222" spans="1:43" s="210" customFormat="1" ht="14.4" outlineLevel="1" x14ac:dyDescent="0.3">
      <c r="A222" s="303"/>
      <c r="B222" s="260"/>
      <c r="C222" s="418" t="s">
        <v>670</v>
      </c>
      <c r="D222" s="418"/>
      <c r="E222" s="418"/>
      <c r="F222" s="418"/>
      <c r="G222" s="418"/>
      <c r="H222" s="418"/>
      <c r="I222" s="418"/>
      <c r="J222" s="418"/>
      <c r="K222" s="418"/>
      <c r="L222" s="307"/>
      <c r="M222" s="305"/>
      <c r="N222" s="308"/>
      <c r="S222" s="338"/>
      <c r="AP222" s="255"/>
      <c r="AQ222" s="258" t="s">
        <v>670</v>
      </c>
    </row>
    <row r="223" spans="1:43" s="210" customFormat="1" ht="14.4" outlineLevel="1" x14ac:dyDescent="0.3">
      <c r="A223" s="303"/>
      <c r="B223" s="260"/>
      <c r="C223" s="418" t="s">
        <v>676</v>
      </c>
      <c r="D223" s="418"/>
      <c r="E223" s="418"/>
      <c r="F223" s="418"/>
      <c r="G223" s="418"/>
      <c r="H223" s="418"/>
      <c r="I223" s="418"/>
      <c r="J223" s="418"/>
      <c r="K223" s="418"/>
      <c r="L223" s="304">
        <v>1275.82</v>
      </c>
      <c r="M223" s="305"/>
      <c r="N223" s="306">
        <v>53329.27</v>
      </c>
      <c r="S223" s="338"/>
      <c r="AP223" s="255"/>
      <c r="AQ223" s="258" t="s">
        <v>676</v>
      </c>
    </row>
    <row r="224" spans="1:43" s="210" customFormat="1" ht="14.4" outlineLevel="1" x14ac:dyDescent="0.3">
      <c r="A224" s="303"/>
      <c r="B224" s="260"/>
      <c r="C224" s="418" t="s">
        <v>677</v>
      </c>
      <c r="D224" s="418"/>
      <c r="E224" s="418"/>
      <c r="F224" s="418"/>
      <c r="G224" s="418"/>
      <c r="H224" s="418"/>
      <c r="I224" s="418"/>
      <c r="J224" s="418"/>
      <c r="K224" s="418"/>
      <c r="L224" s="309">
        <v>278.32</v>
      </c>
      <c r="M224" s="305"/>
      <c r="N224" s="306">
        <v>3782.37</v>
      </c>
      <c r="S224" s="338"/>
      <c r="AP224" s="255"/>
      <c r="AQ224" s="258" t="s">
        <v>677</v>
      </c>
    </row>
    <row r="225" spans="1:50" s="210" customFormat="1" ht="14.4" outlineLevel="1" x14ac:dyDescent="0.3">
      <c r="A225" s="303"/>
      <c r="B225" s="260"/>
      <c r="C225" s="418" t="s">
        <v>679</v>
      </c>
      <c r="D225" s="418"/>
      <c r="E225" s="418"/>
      <c r="F225" s="418"/>
      <c r="G225" s="418"/>
      <c r="H225" s="418"/>
      <c r="I225" s="418"/>
      <c r="J225" s="418"/>
      <c r="K225" s="418"/>
      <c r="L225" s="309">
        <v>190.16</v>
      </c>
      <c r="M225" s="305"/>
      <c r="N225" s="306">
        <v>1696.23</v>
      </c>
      <c r="S225" s="338"/>
      <c r="AP225" s="255"/>
      <c r="AQ225" s="258" t="s">
        <v>679</v>
      </c>
    </row>
    <row r="226" spans="1:50" s="210" customFormat="1" ht="14.4" outlineLevel="1" x14ac:dyDescent="0.3">
      <c r="A226" s="303"/>
      <c r="B226" s="260"/>
      <c r="C226" s="418" t="s">
        <v>680</v>
      </c>
      <c r="D226" s="418"/>
      <c r="E226" s="418"/>
      <c r="F226" s="418"/>
      <c r="G226" s="418"/>
      <c r="H226" s="418"/>
      <c r="I226" s="418"/>
      <c r="J226" s="418"/>
      <c r="K226" s="418"/>
      <c r="L226" s="304">
        <v>1139.2</v>
      </c>
      <c r="M226" s="305"/>
      <c r="N226" s="306">
        <v>47618.66</v>
      </c>
      <c r="S226" s="338"/>
      <c r="AP226" s="255"/>
      <c r="AQ226" s="258" t="s">
        <v>680</v>
      </c>
    </row>
    <row r="227" spans="1:50" s="210" customFormat="1" ht="14.4" outlineLevel="1" x14ac:dyDescent="0.3">
      <c r="A227" s="303"/>
      <c r="B227" s="260"/>
      <c r="C227" s="418" t="s">
        <v>681</v>
      </c>
      <c r="D227" s="418"/>
      <c r="E227" s="418"/>
      <c r="F227" s="418"/>
      <c r="G227" s="418"/>
      <c r="H227" s="418"/>
      <c r="I227" s="418"/>
      <c r="J227" s="418"/>
      <c r="K227" s="418"/>
      <c r="L227" s="309">
        <v>577.84</v>
      </c>
      <c r="M227" s="305"/>
      <c r="N227" s="306">
        <v>24153.78</v>
      </c>
      <c r="S227" s="338"/>
      <c r="AP227" s="255"/>
      <c r="AQ227" s="258" t="s">
        <v>681</v>
      </c>
    </row>
    <row r="228" spans="1:50" s="210" customFormat="1" ht="14.4" outlineLevel="1" x14ac:dyDescent="0.3">
      <c r="A228" s="303"/>
      <c r="B228" s="310"/>
      <c r="C228" s="419" t="s">
        <v>683</v>
      </c>
      <c r="D228" s="419"/>
      <c r="E228" s="419"/>
      <c r="F228" s="419"/>
      <c r="G228" s="419"/>
      <c r="H228" s="419"/>
      <c r="I228" s="419"/>
      <c r="J228" s="419"/>
      <c r="K228" s="419"/>
      <c r="L228" s="312">
        <v>261558.68</v>
      </c>
      <c r="M228" s="313"/>
      <c r="N228" s="314">
        <v>3077892.12</v>
      </c>
      <c r="S228" s="338"/>
      <c r="AP228" s="255"/>
      <c r="AR228" s="255" t="s">
        <v>683</v>
      </c>
    </row>
    <row r="229" spans="1:50" s="210" customFormat="1" ht="14.4" outlineLevel="1" x14ac:dyDescent="0.3">
      <c r="A229" s="303"/>
      <c r="B229" s="260"/>
      <c r="C229" s="418" t="s">
        <v>684</v>
      </c>
      <c r="D229" s="418"/>
      <c r="E229" s="418"/>
      <c r="F229" s="418"/>
      <c r="G229" s="418"/>
      <c r="H229" s="418"/>
      <c r="I229" s="418"/>
      <c r="J229" s="418"/>
      <c r="K229" s="418"/>
      <c r="L229" s="304">
        <v>8136.85</v>
      </c>
      <c r="M229" s="305"/>
      <c r="N229" s="306">
        <v>340120.31</v>
      </c>
      <c r="S229" s="338"/>
      <c r="AP229" s="255"/>
      <c r="AQ229" s="258" t="s">
        <v>684</v>
      </c>
      <c r="AR229" s="255"/>
    </row>
    <row r="230" spans="1:50" s="210" customFormat="1" ht="14.4" outlineLevel="1" x14ac:dyDescent="0.3">
      <c r="A230" s="303"/>
      <c r="B230" s="260"/>
      <c r="C230" s="418" t="s">
        <v>685</v>
      </c>
      <c r="D230" s="418"/>
      <c r="E230" s="418"/>
      <c r="F230" s="418"/>
      <c r="G230" s="418"/>
      <c r="H230" s="418"/>
      <c r="I230" s="418"/>
      <c r="J230" s="418"/>
      <c r="K230" s="418"/>
      <c r="L230" s="304">
        <v>9109.44</v>
      </c>
      <c r="M230" s="305"/>
      <c r="N230" s="306">
        <v>380774.57</v>
      </c>
      <c r="S230" s="338"/>
      <c r="AP230" s="255"/>
      <c r="AQ230" s="258" t="s">
        <v>685</v>
      </c>
      <c r="AR230" s="255"/>
    </row>
    <row r="231" spans="1:50" s="210" customFormat="1" ht="14.4" outlineLevel="1" x14ac:dyDescent="0.3">
      <c r="A231" s="303"/>
      <c r="B231" s="260"/>
      <c r="C231" s="418" t="s">
        <v>686</v>
      </c>
      <c r="D231" s="418"/>
      <c r="E231" s="418"/>
      <c r="F231" s="418"/>
      <c r="G231" s="418"/>
      <c r="H231" s="418"/>
      <c r="I231" s="418"/>
      <c r="J231" s="418"/>
      <c r="K231" s="418"/>
      <c r="L231" s="304">
        <v>4843.43</v>
      </c>
      <c r="M231" s="305"/>
      <c r="N231" s="306">
        <v>202455.08</v>
      </c>
      <c r="S231" s="338"/>
      <c r="AP231" s="255"/>
      <c r="AQ231" s="258" t="s">
        <v>686</v>
      </c>
      <c r="AR231" s="255"/>
    </row>
    <row r="232" spans="1:50" s="210" customFormat="1" ht="14.4" x14ac:dyDescent="0.3">
      <c r="A232" s="303"/>
      <c r="B232" s="260"/>
      <c r="C232" s="418" t="s">
        <v>687</v>
      </c>
      <c r="D232" s="418"/>
      <c r="E232" s="418"/>
      <c r="F232" s="418"/>
      <c r="G232" s="418"/>
      <c r="H232" s="418"/>
      <c r="I232" s="418"/>
      <c r="J232" s="418"/>
      <c r="K232" s="418"/>
      <c r="L232" s="304">
        <v>52311.74</v>
      </c>
      <c r="M232" s="305"/>
      <c r="N232" s="306">
        <v>615578.42000000004</v>
      </c>
      <c r="S232" s="338"/>
      <c r="AP232" s="255"/>
      <c r="AR232" s="255"/>
      <c r="AS232" s="258" t="s">
        <v>687</v>
      </c>
    </row>
    <row r="233" spans="1:50" s="210" customFormat="1" ht="14.4" x14ac:dyDescent="0.3">
      <c r="A233" s="303"/>
      <c r="B233" s="310"/>
      <c r="C233" s="419" t="s">
        <v>688</v>
      </c>
      <c r="D233" s="419"/>
      <c r="E233" s="419"/>
      <c r="F233" s="419"/>
      <c r="G233" s="419"/>
      <c r="H233" s="419"/>
      <c r="I233" s="419"/>
      <c r="J233" s="419"/>
      <c r="K233" s="419"/>
      <c r="L233" s="312">
        <v>313870.42</v>
      </c>
      <c r="M233" s="313"/>
      <c r="N233" s="314">
        <v>3693470.54</v>
      </c>
      <c r="R233" s="210" t="s">
        <v>697</v>
      </c>
      <c r="S233" s="338"/>
      <c r="AP233" s="255"/>
      <c r="AR233" s="255"/>
      <c r="AT233" s="255" t="s">
        <v>688</v>
      </c>
    </row>
    <row r="234" spans="1:50" s="210" customFormat="1" ht="13.5" hidden="1" customHeight="1" x14ac:dyDescent="0.3">
      <c r="B234" s="294"/>
      <c r="C234" s="292"/>
      <c r="D234" s="292"/>
      <c r="E234" s="292"/>
      <c r="F234" s="292"/>
      <c r="G234" s="292"/>
      <c r="H234" s="292"/>
      <c r="I234" s="292"/>
      <c r="J234" s="292"/>
      <c r="K234" s="292"/>
      <c r="L234" s="312"/>
      <c r="M234" s="315"/>
      <c r="N234" s="316"/>
      <c r="S234" s="338"/>
    </row>
    <row r="235" spans="1:50" s="210" customFormat="1" ht="26.25" customHeight="1" x14ac:dyDescent="0.3">
      <c r="A235" s="317"/>
      <c r="B235" s="318"/>
      <c r="C235" s="318"/>
      <c r="D235" s="318"/>
      <c r="E235" s="318"/>
      <c r="F235" s="318"/>
      <c r="G235" s="318"/>
      <c r="H235" s="318"/>
      <c r="I235" s="318"/>
      <c r="J235" s="318"/>
      <c r="K235" s="318"/>
      <c r="L235" s="318"/>
      <c r="M235" s="318"/>
      <c r="N235" s="318"/>
      <c r="S235" s="338"/>
    </row>
    <row r="236" spans="1:50" s="214" customFormat="1" ht="14.4" x14ac:dyDescent="0.3">
      <c r="A236" s="212"/>
      <c r="B236" s="319" t="s">
        <v>689</v>
      </c>
      <c r="C236" s="414"/>
      <c r="D236" s="414"/>
      <c r="E236" s="414"/>
      <c r="F236" s="414"/>
      <c r="G236" s="414"/>
      <c r="H236" s="415"/>
      <c r="I236" s="415"/>
      <c r="J236" s="415"/>
      <c r="K236" s="415"/>
      <c r="L236" s="415"/>
      <c r="M236" s="210"/>
      <c r="N236" s="210"/>
      <c r="O236" s="210"/>
      <c r="P236" s="210"/>
      <c r="Q236" s="210"/>
      <c r="R236" s="210"/>
      <c r="S236" s="338"/>
      <c r="T236" s="210"/>
      <c r="U236" s="210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17"/>
      <c r="AT236" s="217"/>
      <c r="AU236" s="217" t="s">
        <v>521</v>
      </c>
      <c r="AV236" s="217" t="s">
        <v>690</v>
      </c>
      <c r="AW236" s="217"/>
      <c r="AX236" s="217"/>
    </row>
    <row r="237" spans="1:50" s="320" customFormat="1" ht="16.5" customHeight="1" x14ac:dyDescent="0.3">
      <c r="A237" s="215"/>
      <c r="B237" s="319"/>
      <c r="C237" s="416" t="s">
        <v>691</v>
      </c>
      <c r="D237" s="416"/>
      <c r="E237" s="416"/>
      <c r="F237" s="416"/>
      <c r="G237" s="416"/>
      <c r="H237" s="416"/>
      <c r="I237" s="416"/>
      <c r="J237" s="416"/>
      <c r="K237" s="416"/>
      <c r="L237" s="416"/>
      <c r="S237" s="342"/>
      <c r="V237" s="321"/>
      <c r="W237" s="321"/>
      <c r="X237" s="321"/>
      <c r="Y237" s="321"/>
      <c r="Z237" s="321"/>
      <c r="AA237" s="321"/>
      <c r="AB237" s="321"/>
      <c r="AC237" s="321"/>
      <c r="AD237" s="321"/>
      <c r="AE237" s="321"/>
      <c r="AF237" s="321"/>
      <c r="AG237" s="321"/>
      <c r="AH237" s="321"/>
      <c r="AI237" s="321"/>
      <c r="AJ237" s="321"/>
      <c r="AK237" s="321"/>
      <c r="AL237" s="321"/>
      <c r="AM237" s="321"/>
      <c r="AN237" s="321"/>
      <c r="AO237" s="321"/>
      <c r="AP237" s="321"/>
      <c r="AQ237" s="321"/>
      <c r="AR237" s="321"/>
      <c r="AS237" s="321"/>
      <c r="AT237" s="321"/>
      <c r="AU237" s="321"/>
      <c r="AV237" s="321"/>
      <c r="AW237" s="321"/>
      <c r="AX237" s="321"/>
    </row>
    <row r="238" spans="1:50" s="214" customFormat="1" ht="14.4" x14ac:dyDescent="0.3">
      <c r="A238" s="212"/>
      <c r="B238" s="319" t="s">
        <v>692</v>
      </c>
      <c r="C238" s="414"/>
      <c r="D238" s="414"/>
      <c r="E238" s="414"/>
      <c r="F238" s="414"/>
      <c r="G238" s="414"/>
      <c r="H238" s="415"/>
      <c r="I238" s="415"/>
      <c r="J238" s="415"/>
      <c r="K238" s="415"/>
      <c r="L238" s="415"/>
      <c r="M238" s="210"/>
      <c r="N238" s="210"/>
      <c r="O238" s="210"/>
      <c r="P238" s="210"/>
      <c r="Q238" s="210"/>
      <c r="R238" s="210"/>
      <c r="S238" s="338"/>
      <c r="T238" s="210"/>
      <c r="U238" s="210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  <c r="AL238" s="217"/>
      <c r="AM238" s="217"/>
      <c r="AN238" s="217"/>
      <c r="AO238" s="217"/>
      <c r="AP238" s="217"/>
      <c r="AQ238" s="217"/>
      <c r="AR238" s="217"/>
      <c r="AS238" s="217"/>
      <c r="AT238" s="217"/>
      <c r="AU238" s="217"/>
      <c r="AV238" s="217"/>
      <c r="AW238" s="217" t="s">
        <v>521</v>
      </c>
      <c r="AX238" s="217" t="s">
        <v>521</v>
      </c>
    </row>
    <row r="239" spans="1:50" s="320" customFormat="1" ht="16.5" customHeight="1" x14ac:dyDescent="0.3">
      <c r="A239" s="215"/>
      <c r="C239" s="416" t="s">
        <v>691</v>
      </c>
      <c r="D239" s="416"/>
      <c r="E239" s="416"/>
      <c r="F239" s="416"/>
      <c r="G239" s="416"/>
      <c r="H239" s="416"/>
      <c r="I239" s="416"/>
      <c r="J239" s="416"/>
      <c r="K239" s="416"/>
      <c r="L239" s="416"/>
      <c r="S239" s="342"/>
      <c r="V239" s="321"/>
      <c r="W239" s="321"/>
      <c r="X239" s="321"/>
      <c r="Y239" s="321"/>
      <c r="Z239" s="321"/>
      <c r="AA239" s="321"/>
      <c r="AB239" s="321"/>
      <c r="AC239" s="321"/>
      <c r="AD239" s="321"/>
      <c r="AE239" s="321"/>
      <c r="AF239" s="321"/>
      <c r="AG239" s="321"/>
      <c r="AH239" s="321"/>
      <c r="AI239" s="321"/>
      <c r="AJ239" s="321"/>
      <c r="AK239" s="321"/>
      <c r="AL239" s="321"/>
      <c r="AM239" s="321"/>
      <c r="AN239" s="321"/>
      <c r="AO239" s="321"/>
      <c r="AP239" s="321"/>
      <c r="AQ239" s="321"/>
      <c r="AR239" s="321"/>
      <c r="AS239" s="321"/>
      <c r="AT239" s="321"/>
      <c r="AU239" s="321"/>
      <c r="AV239" s="321"/>
      <c r="AW239" s="321"/>
      <c r="AX239" s="321"/>
    </row>
    <row r="240" spans="1:50" s="214" customFormat="1" ht="19.5" customHeight="1" x14ac:dyDescent="0.2">
      <c r="A240" s="212"/>
      <c r="C240" s="322"/>
      <c r="D240" s="322"/>
      <c r="E240" s="322"/>
      <c r="F240" s="322"/>
      <c r="G240" s="322"/>
      <c r="H240" s="322"/>
      <c r="I240" s="322"/>
      <c r="J240" s="322"/>
      <c r="K240" s="322"/>
      <c r="L240" s="322"/>
      <c r="S240" s="342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7"/>
      <c r="AT240" s="217"/>
      <c r="AU240" s="217"/>
      <c r="AV240" s="217"/>
      <c r="AW240" s="217"/>
      <c r="AX240" s="217"/>
    </row>
    <row r="241" spans="1:19" s="210" customFormat="1" ht="22.5" customHeight="1" x14ac:dyDescent="0.3">
      <c r="A241" s="417" t="s">
        <v>693</v>
      </c>
      <c r="B241" s="417"/>
      <c r="C241" s="417"/>
      <c r="D241" s="417"/>
      <c r="E241" s="417"/>
      <c r="F241" s="417"/>
      <c r="G241" s="417"/>
      <c r="H241" s="417"/>
      <c r="I241" s="417"/>
      <c r="J241" s="417"/>
      <c r="K241" s="417"/>
      <c r="L241" s="417"/>
      <c r="M241" s="417"/>
      <c r="N241" s="417"/>
      <c r="O241" s="295"/>
      <c r="P241" s="295"/>
      <c r="S241" s="338"/>
    </row>
    <row r="242" spans="1:19" s="210" customFormat="1" ht="12.75" customHeight="1" x14ac:dyDescent="0.3">
      <c r="A242" s="417" t="s">
        <v>694</v>
      </c>
      <c r="B242" s="417"/>
      <c r="C242" s="417"/>
      <c r="D242" s="417"/>
      <c r="E242" s="417"/>
      <c r="F242" s="417"/>
      <c r="G242" s="417"/>
      <c r="H242" s="417"/>
      <c r="I242" s="417"/>
      <c r="J242" s="417"/>
      <c r="K242" s="417"/>
      <c r="L242" s="417"/>
      <c r="M242" s="417"/>
      <c r="N242" s="417"/>
      <c r="O242" s="295"/>
      <c r="P242" s="295"/>
      <c r="S242" s="338"/>
    </row>
    <row r="243" spans="1:19" s="210" customFormat="1" ht="12.75" customHeight="1" x14ac:dyDescent="0.3">
      <c r="A243" s="417" t="s">
        <v>695</v>
      </c>
      <c r="B243" s="417"/>
      <c r="C243" s="417"/>
      <c r="D243" s="417"/>
      <c r="E243" s="417"/>
      <c r="F243" s="417"/>
      <c r="G243" s="417"/>
      <c r="H243" s="417"/>
      <c r="I243" s="417"/>
      <c r="J243" s="417"/>
      <c r="K243" s="417"/>
      <c r="L243" s="417"/>
      <c r="M243" s="417"/>
      <c r="N243" s="417"/>
      <c r="O243" s="295"/>
      <c r="P243" s="295"/>
      <c r="S243" s="338"/>
    </row>
    <row r="244" spans="1:19" s="210" customFormat="1" ht="19.5" customHeight="1" x14ac:dyDescent="0.3">
      <c r="S244" s="338"/>
    </row>
    <row r="245" spans="1:19" s="210" customFormat="1" ht="14.4" x14ac:dyDescent="0.3">
      <c r="B245" s="323"/>
      <c r="D245" s="323"/>
      <c r="F245" s="323"/>
      <c r="S245" s="338"/>
    </row>
  </sheetData>
  <mergeCells count="237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7:E67"/>
    <mergeCell ref="C68:E68"/>
    <mergeCell ref="C69:E69"/>
    <mergeCell ref="C70:E70"/>
    <mergeCell ref="C71:E71"/>
    <mergeCell ref="C72:E72"/>
    <mergeCell ref="C61:N61"/>
    <mergeCell ref="C62:E62"/>
    <mergeCell ref="C63:E63"/>
    <mergeCell ref="C64:E64"/>
    <mergeCell ref="C65:E65"/>
    <mergeCell ref="C66:E66"/>
    <mergeCell ref="C79:E79"/>
    <mergeCell ref="C80:N80"/>
    <mergeCell ref="C81:N81"/>
    <mergeCell ref="C82:E82"/>
    <mergeCell ref="C83:E83"/>
    <mergeCell ref="C84:E84"/>
    <mergeCell ref="C73:E73"/>
    <mergeCell ref="C74:N74"/>
    <mergeCell ref="C75:E75"/>
    <mergeCell ref="C76:E76"/>
    <mergeCell ref="C77:N77"/>
    <mergeCell ref="C78:E78"/>
    <mergeCell ref="C91:E91"/>
    <mergeCell ref="C92:E92"/>
    <mergeCell ref="C93:E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N107"/>
    <mergeCell ref="C108:N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N113"/>
    <mergeCell ref="C114:E114"/>
    <mergeCell ref="C127:E127"/>
    <mergeCell ref="C128:E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N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6:K206"/>
    <mergeCell ref="C193:N193"/>
    <mergeCell ref="C194:N194"/>
    <mergeCell ref="C195:E195"/>
    <mergeCell ref="C196:E196"/>
    <mergeCell ref="C197:E197"/>
    <mergeCell ref="C198:E198"/>
    <mergeCell ref="C224:K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R60:AZ63"/>
    <mergeCell ref="C238:G238"/>
    <mergeCell ref="H238:L238"/>
    <mergeCell ref="C239:L239"/>
    <mergeCell ref="A241:N241"/>
    <mergeCell ref="A242:N242"/>
    <mergeCell ref="A243:N243"/>
    <mergeCell ref="C231:K231"/>
    <mergeCell ref="C232:K232"/>
    <mergeCell ref="C233:K233"/>
    <mergeCell ref="C236:G236"/>
    <mergeCell ref="H236:L236"/>
    <mergeCell ref="C237:L237"/>
    <mergeCell ref="C225:K225"/>
    <mergeCell ref="C226:K226"/>
    <mergeCell ref="C227:K227"/>
    <mergeCell ref="C228:K228"/>
    <mergeCell ref="C229:K229"/>
    <mergeCell ref="C230:K230"/>
    <mergeCell ref="C219:K219"/>
    <mergeCell ref="C220:K220"/>
    <mergeCell ref="C221:K221"/>
    <mergeCell ref="C222:K222"/>
    <mergeCell ref="C223:K223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3320312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445" t="s">
        <v>187</v>
      </c>
      <c r="B1" s="445" t="s">
        <v>214</v>
      </c>
      <c r="C1" s="445" t="s">
        <v>224</v>
      </c>
      <c r="D1" s="445" t="s">
        <v>189</v>
      </c>
      <c r="E1" s="377" t="s">
        <v>254</v>
      </c>
      <c r="F1" s="377"/>
      <c r="G1" s="377"/>
    </row>
    <row r="2" spans="1:7" ht="26.4" x14ac:dyDescent="0.3">
      <c r="A2" s="445"/>
      <c r="B2" s="445"/>
      <c r="C2" s="445"/>
      <c r="D2" s="445"/>
      <c r="E2" s="75" t="s">
        <v>225</v>
      </c>
      <c r="F2" s="93" t="s">
        <v>241</v>
      </c>
      <c r="G2" s="94" t="s">
        <v>223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4.7" customHeight="1" x14ac:dyDescent="0.3">
      <c r="A4" s="443" t="s">
        <v>259</v>
      </c>
      <c r="B4" s="444"/>
      <c r="C4" s="101"/>
      <c r="D4" s="103"/>
      <c r="E4" s="101"/>
      <c r="F4" s="101"/>
      <c r="G4" s="104"/>
    </row>
    <row r="5" spans="1:7" x14ac:dyDescent="0.3">
      <c r="A5" s="87">
        <v>1</v>
      </c>
      <c r="B5" s="88" t="s">
        <v>229</v>
      </c>
      <c r="C5" s="88" t="s">
        <v>178</v>
      </c>
      <c r="D5" s="99">
        <v>2</v>
      </c>
      <c r="E5" s="81">
        <v>109572</v>
      </c>
      <c r="F5" s="81">
        <f>ROUND(E5*D5,2)</f>
        <v>219144</v>
      </c>
      <c r="G5" s="81">
        <f>ROUND(F5*1.2,2)</f>
        <v>262972.79999999999</v>
      </c>
    </row>
    <row r="6" spans="1:7" x14ac:dyDescent="0.3">
      <c r="A6" s="87">
        <f>A5+1</f>
        <v>2</v>
      </c>
      <c r="B6" s="88" t="s">
        <v>238</v>
      </c>
      <c r="C6" s="88" t="s">
        <v>182</v>
      </c>
      <c r="D6" s="98">
        <v>8.5</v>
      </c>
      <c r="E6" s="81">
        <v>4200</v>
      </c>
      <c r="F6" s="81">
        <f>ROUND(E6*D6,2)</f>
        <v>35700</v>
      </c>
      <c r="G6" s="81">
        <f>ROUND(F6*1.2,2)</f>
        <v>42840</v>
      </c>
    </row>
    <row r="7" spans="1:7" x14ac:dyDescent="0.3">
      <c r="A7" s="87">
        <f>A6+1</f>
        <v>3</v>
      </c>
      <c r="B7" s="88" t="s">
        <v>228</v>
      </c>
      <c r="C7" s="88" t="s">
        <v>182</v>
      </c>
      <c r="D7" s="99">
        <v>110</v>
      </c>
      <c r="E7" s="81">
        <f>ROUND(2315*0.9,2)</f>
        <v>2083.5</v>
      </c>
      <c r="F7" s="81">
        <f>ROUND(E7*D7,2)</f>
        <v>229185</v>
      </c>
      <c r="G7" s="81">
        <f>ROUND(F7*1.2,2)</f>
        <v>275022</v>
      </c>
    </row>
    <row r="8" spans="1:7" ht="14.7" customHeight="1" x14ac:dyDescent="0.3">
      <c r="A8" s="443" t="s">
        <v>194</v>
      </c>
      <c r="B8" s="444"/>
      <c r="C8" s="101"/>
      <c r="D8" s="103"/>
      <c r="E8" s="101"/>
      <c r="F8" s="101"/>
      <c r="G8" s="104"/>
    </row>
    <row r="9" spans="1:7" x14ac:dyDescent="0.3">
      <c r="A9" s="87">
        <f>A7+1</f>
        <v>4</v>
      </c>
      <c r="B9" s="88" t="s">
        <v>231</v>
      </c>
      <c r="C9" s="88" t="s">
        <v>181</v>
      </c>
      <c r="D9" s="97">
        <v>146.52000000000001</v>
      </c>
      <c r="E9" s="81">
        <f>ROUND(1380*0.9,2)</f>
        <v>1242</v>
      </c>
      <c r="F9" s="81">
        <f t="shared" ref="F9:F14" si="0">ROUND(E9*D9,2)</f>
        <v>181977.84</v>
      </c>
      <c r="G9" s="81">
        <f t="shared" ref="G9:G14" si="1">ROUND(F9*1.2,2)</f>
        <v>218373.41</v>
      </c>
    </row>
    <row r="10" spans="1:7" x14ac:dyDescent="0.3">
      <c r="A10" s="87">
        <f>A9+1</f>
        <v>5</v>
      </c>
      <c r="B10" s="88" t="s">
        <v>232</v>
      </c>
      <c r="C10" s="88" t="s">
        <v>181</v>
      </c>
      <c r="D10" s="97">
        <v>704.98</v>
      </c>
      <c r="E10" s="81">
        <f>ROUND(5165*0.9,2)</f>
        <v>4648.5</v>
      </c>
      <c r="F10" s="81">
        <f t="shared" si="0"/>
        <v>3277099.53</v>
      </c>
      <c r="G10" s="81">
        <f t="shared" si="1"/>
        <v>3932519.44</v>
      </c>
    </row>
    <row r="11" spans="1:7" x14ac:dyDescent="0.3">
      <c r="A11" s="87">
        <f t="shared" ref="A11:A14" si="2">A10+1</f>
        <v>6</v>
      </c>
      <c r="B11" s="88" t="s">
        <v>233</v>
      </c>
      <c r="C11" s="88" t="s">
        <v>234</v>
      </c>
      <c r="D11" s="97">
        <v>226</v>
      </c>
      <c r="E11" s="81">
        <f>ROUND(325*0.9,2)</f>
        <v>292.5</v>
      </c>
      <c r="F11" s="81">
        <f t="shared" si="0"/>
        <v>66105</v>
      </c>
      <c r="G11" s="81">
        <f t="shared" si="1"/>
        <v>79326</v>
      </c>
    </row>
    <row r="12" spans="1:7" x14ac:dyDescent="0.3">
      <c r="A12" s="87">
        <f t="shared" si="2"/>
        <v>7</v>
      </c>
      <c r="B12" s="88" t="s">
        <v>235</v>
      </c>
      <c r="C12" s="88" t="s">
        <v>234</v>
      </c>
      <c r="D12" s="97">
        <v>73.2</v>
      </c>
      <c r="E12" s="81">
        <f t="shared" ref="E12:E14" si="3">ROUND(325*0.9,2)</f>
        <v>292.5</v>
      </c>
      <c r="F12" s="81">
        <f t="shared" si="0"/>
        <v>21411</v>
      </c>
      <c r="G12" s="81">
        <f t="shared" si="1"/>
        <v>25693.200000000001</v>
      </c>
    </row>
    <row r="13" spans="1:7" x14ac:dyDescent="0.3">
      <c r="A13" s="87">
        <f t="shared" si="2"/>
        <v>8</v>
      </c>
      <c r="B13" s="88" t="s">
        <v>239</v>
      </c>
      <c r="C13" s="88" t="s">
        <v>234</v>
      </c>
      <c r="D13" s="97">
        <v>861.3</v>
      </c>
      <c r="E13" s="81">
        <f t="shared" si="3"/>
        <v>292.5</v>
      </c>
      <c r="F13" s="81">
        <f t="shared" si="0"/>
        <v>251930.25</v>
      </c>
      <c r="G13" s="81">
        <f t="shared" si="1"/>
        <v>302316.3</v>
      </c>
    </row>
    <row r="14" spans="1:7" x14ac:dyDescent="0.3">
      <c r="A14" s="87">
        <f t="shared" si="2"/>
        <v>9</v>
      </c>
      <c r="B14" s="88" t="s">
        <v>240</v>
      </c>
      <c r="C14" s="88" t="s">
        <v>234</v>
      </c>
      <c r="D14" s="97">
        <v>475.92</v>
      </c>
      <c r="E14" s="81">
        <f t="shared" si="3"/>
        <v>292.5</v>
      </c>
      <c r="F14" s="81">
        <f t="shared" si="0"/>
        <v>139206.6</v>
      </c>
      <c r="G14" s="81">
        <f t="shared" si="1"/>
        <v>167047.92000000001</v>
      </c>
    </row>
    <row r="15" spans="1:7" ht="14.7" customHeight="1" x14ac:dyDescent="0.3">
      <c r="A15" s="443" t="s">
        <v>226</v>
      </c>
      <c r="B15" s="444"/>
      <c r="C15" s="101"/>
      <c r="D15" s="103"/>
      <c r="E15" s="101"/>
      <c r="F15" s="101"/>
      <c r="G15" s="104"/>
    </row>
    <row r="16" spans="1:7" x14ac:dyDescent="0.3">
      <c r="A16" s="87">
        <f>A14+1</f>
        <v>10</v>
      </c>
      <c r="B16" s="88" t="s">
        <v>230</v>
      </c>
      <c r="C16" s="88" t="s">
        <v>181</v>
      </c>
      <c r="D16" s="97">
        <v>549.42999999999995</v>
      </c>
      <c r="E16" s="81">
        <f>ROUND(1610.8*0.9,2)</f>
        <v>1449.72</v>
      </c>
      <c r="F16" s="81">
        <f>ROUND(E16*D16,2)</f>
        <v>796519.66</v>
      </c>
      <c r="G16" s="81">
        <f>ROUND(F16*1.2,2)</f>
        <v>955823.59</v>
      </c>
    </row>
    <row r="17" spans="1:8" ht="41.4" x14ac:dyDescent="0.3">
      <c r="A17" s="87">
        <f>A16+1</f>
        <v>11</v>
      </c>
      <c r="B17" s="88" t="s">
        <v>227</v>
      </c>
      <c r="C17" s="88" t="s">
        <v>182</v>
      </c>
      <c r="D17" s="96">
        <v>284</v>
      </c>
      <c r="E17" s="81">
        <v>2348</v>
      </c>
      <c r="F17" s="81">
        <f>ROUND(E17*D17,2)</f>
        <v>666832</v>
      </c>
      <c r="G17" s="81">
        <f>ROUND(F17*1.2,2)</f>
        <v>800198.4</v>
      </c>
      <c r="H17" s="30"/>
    </row>
    <row r="18" spans="1:8" ht="41.4" x14ac:dyDescent="0.3">
      <c r="A18" s="87">
        <f>A17+1</f>
        <v>12</v>
      </c>
      <c r="B18" s="88" t="s">
        <v>237</v>
      </c>
      <c r="C18" s="88" t="s">
        <v>182</v>
      </c>
      <c r="D18" s="95">
        <v>145.63</v>
      </c>
      <c r="E18" s="81">
        <v>1587</v>
      </c>
      <c r="F18" s="81">
        <f>ROUND(E18*D18,2)</f>
        <v>231114.81</v>
      </c>
      <c r="G18" s="81">
        <f>ROUND(F18*1.2,2)</f>
        <v>277337.77</v>
      </c>
    </row>
    <row r="19" spans="1:8" s="1" customFormat="1" x14ac:dyDescent="0.3">
      <c r="A19" s="83"/>
      <c r="B19" s="379" t="s">
        <v>265</v>
      </c>
      <c r="C19" s="380"/>
      <c r="D19" s="380"/>
      <c r="E19" s="381"/>
      <c r="F19" s="92">
        <f>SUM(F5:F18)</f>
        <v>6116225.6899999985</v>
      </c>
      <c r="G19" s="92">
        <f>SUM(G5:G18)</f>
        <v>7339470.8300000001</v>
      </c>
    </row>
    <row r="20" spans="1:8" x14ac:dyDescent="0.3">
      <c r="A20" s="382" t="s">
        <v>266</v>
      </c>
      <c r="B20" s="383"/>
      <c r="C20" s="383"/>
      <c r="D20" s="383"/>
      <c r="E20" s="384"/>
      <c r="F20" s="171">
        <f>ROUND(F19*0.03,2)</f>
        <v>183486.77</v>
      </c>
      <c r="G20" s="171">
        <f>ROUND(G19*0.03,2)</f>
        <v>220184.12</v>
      </c>
      <c r="H20" s="52"/>
    </row>
    <row r="21" spans="1:8" x14ac:dyDescent="0.3">
      <c r="A21" s="382" t="s">
        <v>267</v>
      </c>
      <c r="B21" s="383"/>
      <c r="C21" s="383"/>
      <c r="D21" s="383"/>
      <c r="E21" s="384"/>
      <c r="F21" s="171">
        <f>F19+F20</f>
        <v>6299712.4599999981</v>
      </c>
      <c r="G21" s="17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6640625" customWidth="1"/>
    <col min="3" max="3" width="10.33203125" style="29" customWidth="1"/>
    <col min="4" max="4" width="8.664062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445" t="s">
        <v>187</v>
      </c>
      <c r="B1" s="445" t="s">
        <v>188</v>
      </c>
      <c r="C1" s="447" t="s">
        <v>256</v>
      </c>
      <c r="D1" s="447" t="s">
        <v>189</v>
      </c>
      <c r="E1" s="446" t="s">
        <v>254</v>
      </c>
      <c r="F1" s="446"/>
      <c r="G1" s="446"/>
    </row>
    <row r="2" spans="1:7" ht="27.6" x14ac:dyDescent="0.3">
      <c r="A2" s="445"/>
      <c r="B2" s="445"/>
      <c r="C2" s="447"/>
      <c r="D2" s="447"/>
      <c r="E2" s="76" t="s">
        <v>183</v>
      </c>
      <c r="F2" s="77" t="s">
        <v>184</v>
      </c>
      <c r="G2" s="77" t="s">
        <v>186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x14ac:dyDescent="0.3">
      <c r="A4" s="87">
        <v>1</v>
      </c>
      <c r="B4" s="79" t="s">
        <v>161</v>
      </c>
      <c r="C4" s="87" t="s">
        <v>181</v>
      </c>
      <c r="D4" s="87">
        <v>190.476</v>
      </c>
      <c r="E4" s="81">
        <f>ROUND(1584/1.2,2)</f>
        <v>1320</v>
      </c>
      <c r="F4" s="81">
        <f>ROUND(E4*D4,2)</f>
        <v>251428.32</v>
      </c>
      <c r="G4" s="81">
        <f>ROUND(F4*1.2,2)</f>
        <v>301713.98</v>
      </c>
    </row>
    <row r="5" spans="1:7" x14ac:dyDescent="0.3">
      <c r="A5" s="87">
        <f>A4+1</f>
        <v>2</v>
      </c>
      <c r="B5" s="79" t="s">
        <v>260</v>
      </c>
      <c r="C5" s="87" t="s">
        <v>181</v>
      </c>
      <c r="D5" s="87">
        <v>642.83000000000004</v>
      </c>
      <c r="E5" s="81">
        <f>ROUND(5300/1.2,2)</f>
        <v>4416.67</v>
      </c>
      <c r="F5" s="81">
        <f t="shared" ref="F5:F10" si="0">ROUND(E5*D5,2)</f>
        <v>2839167.98</v>
      </c>
      <c r="G5" s="81">
        <f t="shared" ref="G5:G10" si="1">ROUND(F5*1.2,2)</f>
        <v>3407001.58</v>
      </c>
    </row>
    <row r="6" spans="1:7" x14ac:dyDescent="0.3">
      <c r="A6" s="87">
        <f>A5+1</f>
        <v>3</v>
      </c>
      <c r="B6" s="79" t="s">
        <v>190</v>
      </c>
      <c r="C6" s="87" t="s">
        <v>234</v>
      </c>
      <c r="D6" s="89">
        <f>300*3</f>
        <v>900</v>
      </c>
      <c r="E6" s="81">
        <f>ROUND(184/1.2,2)</f>
        <v>153.33000000000001</v>
      </c>
      <c r="F6" s="81">
        <f t="shared" si="0"/>
        <v>137997</v>
      </c>
      <c r="G6" s="81">
        <f t="shared" si="1"/>
        <v>165596.4</v>
      </c>
    </row>
    <row r="7" spans="1:7" ht="20.25" customHeight="1" x14ac:dyDescent="0.3">
      <c r="A7" s="87">
        <f t="shared" ref="A7:A11" si="2">A6+1</f>
        <v>4</v>
      </c>
      <c r="B7" s="79" t="s">
        <v>191</v>
      </c>
      <c r="C7" s="87" t="s">
        <v>182</v>
      </c>
      <c r="D7" s="89">
        <v>145.63</v>
      </c>
      <c r="E7" s="81">
        <f>ROUND(16500/1.2,2)</f>
        <v>13750</v>
      </c>
      <c r="F7" s="81">
        <f t="shared" si="0"/>
        <v>2002412.5</v>
      </c>
      <c r="G7" s="81">
        <f t="shared" si="1"/>
        <v>2402895</v>
      </c>
    </row>
    <row r="8" spans="1:7" ht="39" customHeight="1" x14ac:dyDescent="0.3">
      <c r="A8" s="87">
        <f t="shared" si="2"/>
        <v>5</v>
      </c>
      <c r="B8" s="79" t="s">
        <v>192</v>
      </c>
      <c r="C8" s="87" t="s">
        <v>182</v>
      </c>
      <c r="D8" s="89">
        <v>284</v>
      </c>
      <c r="E8" s="81">
        <f>ROUND(34100/1.2,2)</f>
        <v>28416.67</v>
      </c>
      <c r="F8" s="81">
        <f t="shared" si="0"/>
        <v>8070334.2800000003</v>
      </c>
      <c r="G8" s="81">
        <f t="shared" si="1"/>
        <v>9684401.1400000006</v>
      </c>
    </row>
    <row r="9" spans="1:7" x14ac:dyDescent="0.3">
      <c r="A9" s="87">
        <f t="shared" si="2"/>
        <v>6</v>
      </c>
      <c r="B9" s="79" t="s">
        <v>257</v>
      </c>
      <c r="C9" s="80" t="s">
        <v>178</v>
      </c>
      <c r="D9" s="89">
        <v>276</v>
      </c>
      <c r="E9" s="81">
        <f>ROUND(200/1.2,2)</f>
        <v>166.67</v>
      </c>
      <c r="F9" s="81">
        <f t="shared" si="0"/>
        <v>46000.92</v>
      </c>
      <c r="G9" s="81">
        <f t="shared" si="1"/>
        <v>55201.1</v>
      </c>
    </row>
    <row r="10" spans="1:7" x14ac:dyDescent="0.3">
      <c r="A10" s="87">
        <f t="shared" si="2"/>
        <v>7</v>
      </c>
      <c r="B10" s="79" t="s">
        <v>258</v>
      </c>
      <c r="C10" s="80" t="s">
        <v>178</v>
      </c>
      <c r="D10" s="89">
        <v>92</v>
      </c>
      <c r="E10" s="81">
        <f>ROUND(5841/1.2,2)</f>
        <v>4867.5</v>
      </c>
      <c r="F10" s="81">
        <f t="shared" si="0"/>
        <v>447810</v>
      </c>
      <c r="G10" s="81">
        <f t="shared" si="1"/>
        <v>537372</v>
      </c>
    </row>
    <row r="11" spans="1:7" x14ac:dyDescent="0.3">
      <c r="A11" s="59">
        <f t="shared" si="2"/>
        <v>8</v>
      </c>
      <c r="B11" s="173" t="s">
        <v>263</v>
      </c>
      <c r="C11" s="162" t="s">
        <v>275</v>
      </c>
      <c r="D11" s="72">
        <v>1</v>
      </c>
      <c r="E11" s="163">
        <v>330000</v>
      </c>
      <c r="F11" s="163">
        <f t="shared" ref="F11" si="3">ROUND(E11*D11,2)</f>
        <v>330000</v>
      </c>
      <c r="G11" s="163">
        <f t="shared" ref="G11" si="4">ROUND(F11*1.2,2)</f>
        <v>396000</v>
      </c>
    </row>
    <row r="12" spans="1:7" s="1" customFormat="1" x14ac:dyDescent="0.3">
      <c r="A12" s="83"/>
      <c r="B12" s="379" t="s">
        <v>265</v>
      </c>
      <c r="C12" s="380"/>
      <c r="D12" s="380"/>
      <c r="E12" s="381"/>
      <c r="F12" s="92">
        <f>SUM(F4:F11)</f>
        <v>14125151</v>
      </c>
      <c r="G12" s="92">
        <f>SUM(G4:G11)</f>
        <v>16950181.200000003</v>
      </c>
    </row>
    <row r="15" spans="1:7" x14ac:dyDescent="0.3">
      <c r="B15" s="53"/>
      <c r="G15" s="56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387" t="s">
        <v>213</v>
      </c>
      <c r="B1" s="451" t="s">
        <v>188</v>
      </c>
      <c r="C1" s="451" t="s">
        <v>217</v>
      </c>
      <c r="D1" s="451" t="s">
        <v>189</v>
      </c>
      <c r="E1" s="451" t="s">
        <v>254</v>
      </c>
      <c r="F1" s="451"/>
      <c r="G1" s="451"/>
    </row>
    <row r="2" spans="1:9" ht="27.6" x14ac:dyDescent="0.3">
      <c r="A2" s="387"/>
      <c r="B2" s="451"/>
      <c r="C2" s="451"/>
      <c r="D2" s="451"/>
      <c r="E2" s="74" t="s">
        <v>244</v>
      </c>
      <c r="F2" s="74" t="s">
        <v>236</v>
      </c>
      <c r="G2" s="84" t="s">
        <v>223</v>
      </c>
    </row>
    <row r="3" spans="1:9" ht="17.2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9" ht="28.5" customHeight="1" x14ac:dyDescent="0.3">
      <c r="A4" s="134"/>
      <c r="B4" s="448" t="s">
        <v>276</v>
      </c>
      <c r="C4" s="449"/>
      <c r="D4" s="450"/>
      <c r="E4" s="135"/>
      <c r="F4" s="136"/>
      <c r="G4" s="146"/>
    </row>
    <row r="5" spans="1:9" ht="18" customHeight="1" x14ac:dyDescent="0.3">
      <c r="A5" s="133"/>
      <c r="B5" s="70" t="s">
        <v>247</v>
      </c>
      <c r="C5" s="140"/>
      <c r="D5" s="140"/>
      <c r="E5" s="142"/>
      <c r="F5" s="71"/>
      <c r="G5" s="147"/>
      <c r="H5" s="169" t="s">
        <v>462</v>
      </c>
    </row>
    <row r="6" spans="1:9" ht="35.25" customHeight="1" x14ac:dyDescent="0.3">
      <c r="A6" s="72">
        <v>1</v>
      </c>
      <c r="B6" s="60" t="s">
        <v>369</v>
      </c>
      <c r="C6" s="89" t="s">
        <v>181</v>
      </c>
      <c r="D6" s="143">
        <v>322</v>
      </c>
      <c r="E6" s="149">
        <v>90.47</v>
      </c>
      <c r="F6" s="81">
        <f t="shared" ref="F6:F40" si="0">ROUND(E6*D6,2)</f>
        <v>29131.34</v>
      </c>
      <c r="G6" s="81">
        <f>ROUND(F6*1.2,2)</f>
        <v>34957.61</v>
      </c>
      <c r="H6">
        <v>325</v>
      </c>
    </row>
    <row r="7" spans="1:9" ht="15.6" x14ac:dyDescent="0.3">
      <c r="A7" s="72">
        <f>A6+1</f>
        <v>2</v>
      </c>
      <c r="B7" s="60" t="s">
        <v>370</v>
      </c>
      <c r="C7" s="89" t="s">
        <v>181</v>
      </c>
      <c r="D7" s="166" t="s">
        <v>252</v>
      </c>
      <c r="E7" s="149">
        <v>1860.11</v>
      </c>
      <c r="F7" s="81">
        <f t="shared" si="0"/>
        <v>18601.099999999999</v>
      </c>
      <c r="G7" s="81">
        <f t="shared" ref="G7:G32" si="1">ROUND(F7*1.2,2)</f>
        <v>22321.32</v>
      </c>
      <c r="H7">
        <v>1777</v>
      </c>
    </row>
    <row r="8" spans="1:9" ht="15.6" x14ac:dyDescent="0.3">
      <c r="A8" s="72">
        <f>A7+1</f>
        <v>3</v>
      </c>
      <c r="B8" s="60" t="s">
        <v>371</v>
      </c>
      <c r="C8" s="89" t="s">
        <v>181</v>
      </c>
      <c r="D8" s="166" t="s">
        <v>335</v>
      </c>
      <c r="E8" s="149">
        <v>1155.67</v>
      </c>
      <c r="F8" s="81">
        <f t="shared" si="0"/>
        <v>13868.04</v>
      </c>
      <c r="G8" s="81">
        <f t="shared" si="1"/>
        <v>16641.650000000001</v>
      </c>
    </row>
    <row r="9" spans="1:9" ht="15.6" x14ac:dyDescent="0.3">
      <c r="A9" s="72">
        <f t="shared" ref="A9:A15" si="2">A8+1</f>
        <v>4</v>
      </c>
      <c r="B9" s="60" t="s">
        <v>250</v>
      </c>
      <c r="C9" s="89" t="s">
        <v>181</v>
      </c>
      <c r="D9" s="166" t="s">
        <v>375</v>
      </c>
      <c r="E9" s="149">
        <v>1456.66</v>
      </c>
      <c r="F9" s="81">
        <f t="shared" si="0"/>
        <v>3350.32</v>
      </c>
      <c r="G9" s="81">
        <f t="shared" si="1"/>
        <v>4020.38</v>
      </c>
      <c r="H9">
        <v>1379</v>
      </c>
    </row>
    <row r="10" spans="1:9" ht="15.6" x14ac:dyDescent="0.3">
      <c r="A10" s="72">
        <f t="shared" si="2"/>
        <v>5</v>
      </c>
      <c r="B10" s="60" t="s">
        <v>372</v>
      </c>
      <c r="C10" s="89" t="s">
        <v>181</v>
      </c>
      <c r="D10" s="166" t="s">
        <v>335</v>
      </c>
      <c r="E10" s="149">
        <v>856.54</v>
      </c>
      <c r="F10" s="81">
        <f t="shared" si="0"/>
        <v>10278.48</v>
      </c>
      <c r="G10" s="81">
        <f t="shared" si="1"/>
        <v>12334.18</v>
      </c>
      <c r="H10">
        <v>1379</v>
      </c>
    </row>
    <row r="11" spans="1:9" ht="15.6" x14ac:dyDescent="0.3">
      <c r="A11" s="72">
        <f t="shared" si="2"/>
        <v>6</v>
      </c>
      <c r="B11" s="60" t="s">
        <v>248</v>
      </c>
      <c r="C11" s="89" t="s">
        <v>181</v>
      </c>
      <c r="D11" s="166" t="s">
        <v>376</v>
      </c>
      <c r="E11" s="149">
        <v>9.73</v>
      </c>
      <c r="F11" s="81">
        <f t="shared" si="0"/>
        <v>2860.62</v>
      </c>
      <c r="G11" s="81">
        <f t="shared" si="1"/>
        <v>3432.74</v>
      </c>
      <c r="H11">
        <v>125</v>
      </c>
    </row>
    <row r="12" spans="1:9" ht="15.6" x14ac:dyDescent="0.3">
      <c r="A12" s="72">
        <f t="shared" si="2"/>
        <v>7</v>
      </c>
      <c r="B12" s="60" t="s">
        <v>245</v>
      </c>
      <c r="C12" s="89" t="s">
        <v>181</v>
      </c>
      <c r="D12" s="166" t="s">
        <v>376</v>
      </c>
      <c r="E12" s="149">
        <v>197.58</v>
      </c>
      <c r="F12" s="81">
        <f t="shared" si="0"/>
        <v>58088.52</v>
      </c>
      <c r="G12" s="81">
        <f t="shared" si="1"/>
        <v>69706.22</v>
      </c>
      <c r="H12">
        <v>198</v>
      </c>
    </row>
    <row r="13" spans="1:9" ht="15.6" x14ac:dyDescent="0.3">
      <c r="A13" s="72">
        <f t="shared" si="2"/>
        <v>8</v>
      </c>
      <c r="B13" s="60" t="s">
        <v>249</v>
      </c>
      <c r="C13" s="89" t="s">
        <v>181</v>
      </c>
      <c r="D13" s="166" t="s">
        <v>377</v>
      </c>
      <c r="E13" s="149">
        <v>856.54</v>
      </c>
      <c r="F13" s="81">
        <f t="shared" si="0"/>
        <v>12848.1</v>
      </c>
      <c r="G13" s="81">
        <f t="shared" si="1"/>
        <v>15417.72</v>
      </c>
      <c r="H13">
        <v>899</v>
      </c>
    </row>
    <row r="14" spans="1:9" ht="27.6" x14ac:dyDescent="0.3">
      <c r="A14" s="72">
        <f t="shared" si="2"/>
        <v>9</v>
      </c>
      <c r="B14" s="60" t="s">
        <v>373</v>
      </c>
      <c r="C14" s="89" t="s">
        <v>218</v>
      </c>
      <c r="D14" s="167">
        <v>36.799999999999997</v>
      </c>
      <c r="E14" s="149">
        <v>67.760000000000005</v>
      </c>
      <c r="F14" s="81">
        <f t="shared" si="0"/>
        <v>2493.5700000000002</v>
      </c>
      <c r="G14" s="81">
        <f t="shared" si="1"/>
        <v>2992.28</v>
      </c>
      <c r="H14">
        <v>325</v>
      </c>
    </row>
    <row r="15" spans="1:9" ht="27.6" x14ac:dyDescent="0.3">
      <c r="A15" s="72">
        <f t="shared" si="2"/>
        <v>10</v>
      </c>
      <c r="B15" s="60" t="s">
        <v>374</v>
      </c>
      <c r="C15" s="59" t="s">
        <v>218</v>
      </c>
      <c r="D15" s="167">
        <v>36.799999999999997</v>
      </c>
      <c r="E15" s="149">
        <v>312.27999999999997</v>
      </c>
      <c r="F15" s="81">
        <f t="shared" si="0"/>
        <v>11491.9</v>
      </c>
      <c r="G15" s="81">
        <f t="shared" si="1"/>
        <v>13790.28</v>
      </c>
      <c r="H15">
        <v>3460</v>
      </c>
      <c r="I15" s="169" t="s">
        <v>461</v>
      </c>
    </row>
    <row r="16" spans="1:9" ht="15.6" x14ac:dyDescent="0.3">
      <c r="A16" s="72"/>
      <c r="B16" s="58" t="s">
        <v>251</v>
      </c>
      <c r="C16" s="59"/>
      <c r="D16" s="62"/>
      <c r="E16" s="149"/>
      <c r="F16" s="81"/>
      <c r="G16" s="81"/>
    </row>
    <row r="17" spans="1:8" ht="27.6" x14ac:dyDescent="0.3">
      <c r="A17" s="72">
        <f>A15+1</f>
        <v>11</v>
      </c>
      <c r="B17" s="60" t="s">
        <v>378</v>
      </c>
      <c r="C17" s="59" t="s">
        <v>182</v>
      </c>
      <c r="D17" s="62">
        <v>31</v>
      </c>
      <c r="E17" s="149">
        <v>1223.9000000000001</v>
      </c>
      <c r="F17" s="81">
        <f t="shared" si="0"/>
        <v>37940.9</v>
      </c>
      <c r="G17" s="81">
        <f t="shared" si="1"/>
        <v>45529.08</v>
      </c>
    </row>
    <row r="18" spans="1:8" ht="41.4" x14ac:dyDescent="0.3">
      <c r="A18" s="72">
        <f>A17+1</f>
        <v>12</v>
      </c>
      <c r="B18" s="60" t="s">
        <v>379</v>
      </c>
      <c r="C18" s="59" t="s">
        <v>182</v>
      </c>
      <c r="D18" s="62">
        <v>6</v>
      </c>
      <c r="E18" s="149">
        <v>10557.31</v>
      </c>
      <c r="F18" s="81">
        <f t="shared" si="0"/>
        <v>63343.86</v>
      </c>
      <c r="G18" s="81">
        <f t="shared" si="1"/>
        <v>76012.63</v>
      </c>
    </row>
    <row r="19" spans="1:8" ht="27.6" x14ac:dyDescent="0.3">
      <c r="A19" s="72">
        <f t="shared" ref="A19:A29" si="3">A18+1</f>
        <v>13</v>
      </c>
      <c r="B19" s="60" t="s">
        <v>380</v>
      </c>
      <c r="C19" s="59" t="s">
        <v>207</v>
      </c>
      <c r="D19" s="62">
        <v>2</v>
      </c>
      <c r="E19" s="149">
        <v>10242.23</v>
      </c>
      <c r="F19" s="81">
        <f t="shared" si="0"/>
        <v>20484.46</v>
      </c>
      <c r="G19" s="81">
        <f t="shared" si="1"/>
        <v>24581.35</v>
      </c>
    </row>
    <row r="20" spans="1:8" ht="27.6" x14ac:dyDescent="0.3">
      <c r="A20" s="72">
        <f t="shared" si="3"/>
        <v>14</v>
      </c>
      <c r="B20" s="60" t="s">
        <v>381</v>
      </c>
      <c r="C20" s="59" t="s">
        <v>207</v>
      </c>
      <c r="D20" s="62">
        <v>2</v>
      </c>
      <c r="E20" s="149">
        <v>6691.94</v>
      </c>
      <c r="F20" s="81">
        <f t="shared" si="0"/>
        <v>13383.88</v>
      </c>
      <c r="G20" s="81">
        <f t="shared" si="1"/>
        <v>16060.66</v>
      </c>
    </row>
    <row r="21" spans="1:8" ht="15.6" x14ac:dyDescent="0.3">
      <c r="A21" s="72">
        <f t="shared" si="3"/>
        <v>15</v>
      </c>
      <c r="B21" s="60" t="s">
        <v>404</v>
      </c>
      <c r="C21" s="59" t="s">
        <v>207</v>
      </c>
      <c r="D21" s="62">
        <v>36</v>
      </c>
      <c r="E21" s="149">
        <v>592.5</v>
      </c>
      <c r="F21" s="81">
        <f t="shared" si="0"/>
        <v>21330</v>
      </c>
      <c r="G21" s="81">
        <f t="shared" si="1"/>
        <v>25596</v>
      </c>
    </row>
    <row r="22" spans="1:8" ht="27.6" x14ac:dyDescent="0.3">
      <c r="A22" s="72">
        <f t="shared" si="3"/>
        <v>16</v>
      </c>
      <c r="B22" s="60" t="s">
        <v>382</v>
      </c>
      <c r="C22" s="59" t="s">
        <v>207</v>
      </c>
      <c r="D22" s="62">
        <v>36</v>
      </c>
      <c r="E22" s="149">
        <v>210.41</v>
      </c>
      <c r="F22" s="81">
        <f t="shared" si="0"/>
        <v>7574.76</v>
      </c>
      <c r="G22" s="81">
        <f t="shared" si="1"/>
        <v>9089.7099999999991</v>
      </c>
    </row>
    <row r="23" spans="1:8" ht="41.4" x14ac:dyDescent="0.3">
      <c r="A23" s="72">
        <f t="shared" si="3"/>
        <v>17</v>
      </c>
      <c r="B23" s="60" t="s">
        <v>383</v>
      </c>
      <c r="C23" s="59" t="s">
        <v>207</v>
      </c>
      <c r="D23" s="62">
        <v>2</v>
      </c>
      <c r="E23" s="149">
        <v>1207.4100000000001</v>
      </c>
      <c r="F23" s="81">
        <f t="shared" si="0"/>
        <v>2414.8200000000002</v>
      </c>
      <c r="G23" s="81">
        <f t="shared" si="1"/>
        <v>2897.78</v>
      </c>
    </row>
    <row r="24" spans="1:8" ht="41.4" x14ac:dyDescent="0.3">
      <c r="A24" s="72">
        <f t="shared" si="3"/>
        <v>18</v>
      </c>
      <c r="B24" s="60" t="s">
        <v>384</v>
      </c>
      <c r="C24" s="59" t="s">
        <v>207</v>
      </c>
      <c r="D24" s="62">
        <v>2</v>
      </c>
      <c r="E24" s="149">
        <v>7231.84</v>
      </c>
      <c r="F24" s="81">
        <f t="shared" si="0"/>
        <v>14463.68</v>
      </c>
      <c r="G24" s="81">
        <f t="shared" si="1"/>
        <v>17356.419999999998</v>
      </c>
    </row>
    <row r="25" spans="1:8" ht="41.4" x14ac:dyDescent="0.3">
      <c r="A25" s="72">
        <f t="shared" si="3"/>
        <v>19</v>
      </c>
      <c r="B25" s="60" t="s">
        <v>385</v>
      </c>
      <c r="C25" s="59" t="s">
        <v>207</v>
      </c>
      <c r="D25" s="62">
        <v>1</v>
      </c>
      <c r="E25" s="149">
        <v>12816.51</v>
      </c>
      <c r="F25" s="81">
        <f t="shared" si="0"/>
        <v>12816.51</v>
      </c>
      <c r="G25" s="81">
        <f t="shared" si="1"/>
        <v>15379.81</v>
      </c>
    </row>
    <row r="26" spans="1:8" ht="15.6" x14ac:dyDescent="0.3">
      <c r="A26" s="72">
        <f t="shared" si="3"/>
        <v>20</v>
      </c>
      <c r="B26" s="60" t="s">
        <v>386</v>
      </c>
      <c r="C26" s="59" t="s">
        <v>207</v>
      </c>
      <c r="D26" s="62">
        <v>1</v>
      </c>
      <c r="E26" s="149">
        <v>3933.74</v>
      </c>
      <c r="F26" s="81">
        <f t="shared" si="0"/>
        <v>3933.74</v>
      </c>
      <c r="G26" s="81">
        <f t="shared" si="1"/>
        <v>4720.49</v>
      </c>
    </row>
    <row r="27" spans="1:8" ht="15.6" x14ac:dyDescent="0.3">
      <c r="A27" s="72">
        <f t="shared" si="3"/>
        <v>21</v>
      </c>
      <c r="B27" s="60" t="s">
        <v>387</v>
      </c>
      <c r="C27" s="59" t="s">
        <v>207</v>
      </c>
      <c r="D27" s="62">
        <v>1</v>
      </c>
      <c r="E27" s="149">
        <v>10242.219999999999</v>
      </c>
      <c r="F27" s="81">
        <f t="shared" si="0"/>
        <v>10242.219999999999</v>
      </c>
      <c r="G27" s="81">
        <f t="shared" si="1"/>
        <v>12290.66</v>
      </c>
    </row>
    <row r="28" spans="1:8" ht="27.6" x14ac:dyDescent="0.3">
      <c r="A28" s="72">
        <f t="shared" si="3"/>
        <v>22</v>
      </c>
      <c r="B28" s="60" t="s">
        <v>388</v>
      </c>
      <c r="C28" s="59" t="s">
        <v>207</v>
      </c>
      <c r="D28" s="62">
        <v>1</v>
      </c>
      <c r="E28" s="149">
        <v>3397.31</v>
      </c>
      <c r="F28" s="81">
        <f t="shared" si="0"/>
        <v>3397.31</v>
      </c>
      <c r="G28" s="81">
        <f t="shared" si="1"/>
        <v>4076.77</v>
      </c>
    </row>
    <row r="29" spans="1:8" ht="27.6" x14ac:dyDescent="0.3">
      <c r="A29" s="72">
        <f t="shared" si="3"/>
        <v>23</v>
      </c>
      <c r="B29" s="60" t="s">
        <v>389</v>
      </c>
      <c r="C29" s="59" t="s">
        <v>463</v>
      </c>
      <c r="D29" s="62">
        <v>1</v>
      </c>
      <c r="E29" s="149">
        <v>35713.949999999997</v>
      </c>
      <c r="F29" s="81">
        <f t="shared" si="0"/>
        <v>35713.949999999997</v>
      </c>
      <c r="G29" s="81">
        <f t="shared" si="1"/>
        <v>42856.74</v>
      </c>
    </row>
    <row r="30" spans="1:8" ht="15.6" x14ac:dyDescent="0.3">
      <c r="A30" s="72"/>
      <c r="B30" s="58" t="s">
        <v>390</v>
      </c>
      <c r="C30" s="59"/>
      <c r="D30" s="62"/>
      <c r="E30" s="149"/>
      <c r="F30" s="81"/>
      <c r="G30" s="81"/>
    </row>
    <row r="31" spans="1:8" ht="15.6" x14ac:dyDescent="0.3">
      <c r="A31" s="72">
        <f>A29+1</f>
        <v>24</v>
      </c>
      <c r="B31" s="60" t="s">
        <v>459</v>
      </c>
      <c r="C31" s="59" t="s">
        <v>181</v>
      </c>
      <c r="D31" s="63">
        <v>0.7</v>
      </c>
      <c r="E31" s="149">
        <v>4259.21</v>
      </c>
      <c r="F31" s="81">
        <f t="shared" si="0"/>
        <v>2981.45</v>
      </c>
      <c r="G31" s="81">
        <f t="shared" si="1"/>
        <v>3577.74</v>
      </c>
    </row>
    <row r="32" spans="1:8" ht="27.6" x14ac:dyDescent="0.3">
      <c r="A32" s="72">
        <f>A31+1</f>
        <v>25</v>
      </c>
      <c r="B32" s="60" t="s">
        <v>391</v>
      </c>
      <c r="C32" s="59" t="s">
        <v>181</v>
      </c>
      <c r="D32" s="65">
        <v>1.7350000000000001</v>
      </c>
      <c r="E32" s="149">
        <v>32605.8</v>
      </c>
      <c r="F32" s="81">
        <f t="shared" si="0"/>
        <v>56571.06</v>
      </c>
      <c r="G32" s="81">
        <f t="shared" si="1"/>
        <v>67885.27</v>
      </c>
      <c r="H32">
        <v>18174</v>
      </c>
    </row>
    <row r="33" spans="1:8" ht="15.6" x14ac:dyDescent="0.3">
      <c r="A33" s="72"/>
      <c r="B33" s="58" t="s">
        <v>392</v>
      </c>
      <c r="C33" s="59"/>
      <c r="D33" s="62"/>
      <c r="E33" s="149"/>
      <c r="F33" s="81"/>
      <c r="G33" s="81"/>
    </row>
    <row r="34" spans="1:8" ht="27.6" x14ac:dyDescent="0.3">
      <c r="A34" s="72">
        <f>A32+1</f>
        <v>26</v>
      </c>
      <c r="B34" s="60" t="s">
        <v>393</v>
      </c>
      <c r="C34" s="59" t="s">
        <v>181</v>
      </c>
      <c r="D34" s="62">
        <v>2</v>
      </c>
      <c r="E34" s="149">
        <v>26084.63</v>
      </c>
      <c r="F34" s="81">
        <f t="shared" si="0"/>
        <v>52169.26</v>
      </c>
      <c r="G34" s="81">
        <f t="shared" ref="G34:G36" si="4">ROUND(F34*1.2,2)</f>
        <v>62603.11</v>
      </c>
    </row>
    <row r="35" spans="1:8" ht="15.6" x14ac:dyDescent="0.3">
      <c r="A35" s="72"/>
      <c r="B35" s="60" t="s">
        <v>460</v>
      </c>
      <c r="C35" s="59" t="s">
        <v>218</v>
      </c>
      <c r="D35" s="63">
        <v>4.4000000000000004</v>
      </c>
      <c r="E35" s="149">
        <v>436.23</v>
      </c>
      <c r="F35" s="81">
        <f t="shared" si="0"/>
        <v>1919.41</v>
      </c>
      <c r="G35" s="81">
        <f t="shared" si="4"/>
        <v>2303.29</v>
      </c>
    </row>
    <row r="36" spans="1:8" ht="27.6" x14ac:dyDescent="0.3">
      <c r="A36" s="72">
        <f>A34+1</f>
        <v>27</v>
      </c>
      <c r="B36" s="60" t="s">
        <v>394</v>
      </c>
      <c r="C36" s="59" t="s">
        <v>218</v>
      </c>
      <c r="D36" s="63">
        <v>4.4000000000000004</v>
      </c>
      <c r="E36" s="149">
        <v>312.27999999999997</v>
      </c>
      <c r="F36" s="81">
        <f t="shared" si="0"/>
        <v>1374.03</v>
      </c>
      <c r="G36" s="81">
        <f t="shared" si="4"/>
        <v>1648.84</v>
      </c>
    </row>
    <row r="37" spans="1:8" ht="15.6" x14ac:dyDescent="0.3">
      <c r="A37" s="72"/>
      <c r="B37" s="58" t="s">
        <v>395</v>
      </c>
      <c r="C37" s="59"/>
      <c r="D37" s="61"/>
      <c r="E37" s="149"/>
      <c r="F37" s="81"/>
      <c r="G37" s="81"/>
    </row>
    <row r="38" spans="1:8" ht="15.6" x14ac:dyDescent="0.3">
      <c r="A38" s="72">
        <f>A36+1</f>
        <v>28</v>
      </c>
      <c r="B38" s="60" t="s">
        <v>396</v>
      </c>
      <c r="C38" s="59" t="s">
        <v>182</v>
      </c>
      <c r="D38" s="62">
        <v>31</v>
      </c>
      <c r="E38" s="149">
        <v>769.25</v>
      </c>
      <c r="F38" s="81">
        <f t="shared" si="0"/>
        <v>23846.75</v>
      </c>
      <c r="G38" s="81">
        <f t="shared" ref="G38:G40" si="5">ROUND(F38*1.2,2)</f>
        <v>28616.1</v>
      </c>
    </row>
    <row r="39" spans="1:8" ht="15.6" x14ac:dyDescent="0.3">
      <c r="A39" s="72">
        <f>A38+1</f>
        <v>29</v>
      </c>
      <c r="B39" s="60" t="s">
        <v>397</v>
      </c>
      <c r="C39" s="59" t="s">
        <v>218</v>
      </c>
      <c r="D39" s="61">
        <v>1.23</v>
      </c>
      <c r="E39" s="149">
        <v>433.62</v>
      </c>
      <c r="F39" s="81">
        <f t="shared" si="0"/>
        <v>533.35</v>
      </c>
      <c r="G39" s="81">
        <f t="shared" si="5"/>
        <v>640.02</v>
      </c>
    </row>
    <row r="40" spans="1:8" ht="27.6" x14ac:dyDescent="0.3">
      <c r="A40" s="72">
        <f>A39+1</f>
        <v>30</v>
      </c>
      <c r="B40" s="60" t="s">
        <v>398</v>
      </c>
      <c r="C40" s="59" t="s">
        <v>218</v>
      </c>
      <c r="D40" s="61">
        <v>1.23</v>
      </c>
      <c r="E40" s="149">
        <v>312.27999999999997</v>
      </c>
      <c r="F40" s="81">
        <f t="shared" si="0"/>
        <v>384.1</v>
      </c>
      <c r="G40" s="81">
        <f t="shared" si="5"/>
        <v>460.92</v>
      </c>
      <c r="H40" s="168"/>
    </row>
    <row r="41" spans="1:8" ht="28.5" customHeight="1" x14ac:dyDescent="0.3">
      <c r="A41" s="134"/>
      <c r="B41" s="448" t="s">
        <v>277</v>
      </c>
      <c r="C41" s="449"/>
      <c r="D41" s="450"/>
      <c r="E41" s="135"/>
      <c r="F41" s="136"/>
      <c r="G41" s="146"/>
    </row>
    <row r="42" spans="1:8" ht="16.5" customHeight="1" x14ac:dyDescent="0.3">
      <c r="A42" s="59"/>
      <c r="B42" s="58" t="s">
        <v>247</v>
      </c>
      <c r="C42" s="59"/>
      <c r="D42" s="148"/>
      <c r="E42" s="144"/>
      <c r="F42" s="141"/>
      <c r="G42" s="147"/>
    </row>
    <row r="43" spans="1:8" ht="27.6" x14ac:dyDescent="0.3">
      <c r="A43" s="59">
        <f>A40+1</f>
        <v>31</v>
      </c>
      <c r="B43" s="60" t="s">
        <v>399</v>
      </c>
      <c r="C43" s="89" t="s">
        <v>181</v>
      </c>
      <c r="D43" s="62">
        <v>759</v>
      </c>
      <c r="E43" s="149">
        <v>90.47</v>
      </c>
      <c r="F43" s="81">
        <f t="shared" ref="F43:F68" si="6">ROUND(E43*D43,2)</f>
        <v>68666.73</v>
      </c>
      <c r="G43" s="81">
        <f t="shared" ref="G43:G68" si="7">ROUND(F43*1.2,2)</f>
        <v>82400.08</v>
      </c>
      <c r="H43">
        <v>325</v>
      </c>
    </row>
    <row r="44" spans="1:8" ht="15.6" x14ac:dyDescent="0.3">
      <c r="A44" s="59">
        <f t="shared" ref="A44:A64" si="8">A43+1</f>
        <v>32</v>
      </c>
      <c r="B44" s="60" t="s">
        <v>370</v>
      </c>
      <c r="C44" s="89" t="s">
        <v>181</v>
      </c>
      <c r="D44" s="62">
        <v>23</v>
      </c>
      <c r="E44" s="149">
        <v>1860.11</v>
      </c>
      <c r="F44" s="81">
        <f t="shared" si="6"/>
        <v>42782.53</v>
      </c>
      <c r="G44" s="81">
        <f t="shared" si="7"/>
        <v>51339.040000000001</v>
      </c>
      <c r="H44">
        <v>1777</v>
      </c>
    </row>
    <row r="45" spans="1:8" ht="15.6" x14ac:dyDescent="0.3">
      <c r="A45" s="59">
        <f t="shared" si="8"/>
        <v>33</v>
      </c>
      <c r="B45" s="60" t="s">
        <v>371</v>
      </c>
      <c r="C45" s="89" t="s">
        <v>181</v>
      </c>
      <c r="D45" s="62">
        <v>39</v>
      </c>
      <c r="E45" s="149">
        <v>1155.67</v>
      </c>
      <c r="F45" s="81">
        <f t="shared" si="6"/>
        <v>45071.13</v>
      </c>
      <c r="G45" s="81">
        <f t="shared" si="7"/>
        <v>54085.36</v>
      </c>
    </row>
    <row r="46" spans="1:8" ht="15.6" x14ac:dyDescent="0.3">
      <c r="A46" s="59">
        <f t="shared" si="8"/>
        <v>34</v>
      </c>
      <c r="B46" s="60" t="s">
        <v>250</v>
      </c>
      <c r="C46" s="89" t="s">
        <v>181</v>
      </c>
      <c r="D46" s="62">
        <v>8</v>
      </c>
      <c r="E46" s="149">
        <v>1456.66</v>
      </c>
      <c r="F46" s="81">
        <f t="shared" si="6"/>
        <v>11653.28</v>
      </c>
      <c r="G46" s="81">
        <f t="shared" si="7"/>
        <v>13983.94</v>
      </c>
      <c r="H46">
        <v>1379</v>
      </c>
    </row>
    <row r="47" spans="1:8" ht="15.6" x14ac:dyDescent="0.3">
      <c r="A47" s="59">
        <f t="shared" si="8"/>
        <v>35</v>
      </c>
      <c r="B47" s="60" t="s">
        <v>372</v>
      </c>
      <c r="C47" s="89" t="s">
        <v>181</v>
      </c>
      <c r="D47" s="62">
        <v>39</v>
      </c>
      <c r="E47" s="149">
        <v>856.54</v>
      </c>
      <c r="F47" s="81">
        <f t="shared" si="6"/>
        <v>33405.06</v>
      </c>
      <c r="G47" s="81">
        <f t="shared" si="7"/>
        <v>40086.07</v>
      </c>
      <c r="H47">
        <v>1379</v>
      </c>
    </row>
    <row r="48" spans="1:8" ht="15.6" x14ac:dyDescent="0.3">
      <c r="A48" s="59">
        <f t="shared" si="8"/>
        <v>36</v>
      </c>
      <c r="B48" s="60" t="s">
        <v>248</v>
      </c>
      <c r="C48" s="89" t="s">
        <v>181</v>
      </c>
      <c r="D48" s="62">
        <v>694</v>
      </c>
      <c r="E48" s="149">
        <v>9.73</v>
      </c>
      <c r="F48" s="81">
        <f t="shared" si="6"/>
        <v>6752.62</v>
      </c>
      <c r="G48" s="81">
        <f t="shared" si="7"/>
        <v>8103.14</v>
      </c>
      <c r="H48">
        <v>125</v>
      </c>
    </row>
    <row r="49" spans="1:9" ht="15.6" x14ac:dyDescent="0.3">
      <c r="A49" s="59">
        <f t="shared" si="8"/>
        <v>37</v>
      </c>
      <c r="B49" s="60" t="s">
        <v>245</v>
      </c>
      <c r="C49" s="89" t="s">
        <v>181</v>
      </c>
      <c r="D49" s="62">
        <v>694</v>
      </c>
      <c r="E49" s="149">
        <v>197.58</v>
      </c>
      <c r="F49" s="81">
        <f t="shared" si="6"/>
        <v>137120.51999999999</v>
      </c>
      <c r="G49" s="81">
        <f t="shared" si="7"/>
        <v>164544.62</v>
      </c>
      <c r="H49">
        <v>198</v>
      </c>
    </row>
    <row r="50" spans="1:9" ht="15.6" x14ac:dyDescent="0.3">
      <c r="A50" s="59">
        <f t="shared" si="8"/>
        <v>38</v>
      </c>
      <c r="B50" s="60" t="s">
        <v>249</v>
      </c>
      <c r="C50" s="89" t="s">
        <v>181</v>
      </c>
      <c r="D50" s="62">
        <v>37</v>
      </c>
      <c r="E50" s="149">
        <v>856.54</v>
      </c>
      <c r="F50" s="81">
        <f t="shared" si="6"/>
        <v>31691.98</v>
      </c>
      <c r="G50" s="81">
        <f t="shared" si="7"/>
        <v>38030.379999999997</v>
      </c>
      <c r="H50">
        <v>899</v>
      </c>
    </row>
    <row r="51" spans="1:9" ht="27.6" x14ac:dyDescent="0.3">
      <c r="A51" s="59">
        <f t="shared" si="8"/>
        <v>39</v>
      </c>
      <c r="B51" s="60" t="s">
        <v>373</v>
      </c>
      <c r="C51" s="89" t="s">
        <v>218</v>
      </c>
      <c r="D51" s="63">
        <v>81.599999999999994</v>
      </c>
      <c r="E51" s="149">
        <v>67.760000000000005</v>
      </c>
      <c r="F51" s="81">
        <f t="shared" si="6"/>
        <v>5529.22</v>
      </c>
      <c r="G51" s="81">
        <f t="shared" si="7"/>
        <v>6635.06</v>
      </c>
      <c r="H51">
        <v>325</v>
      </c>
    </row>
    <row r="52" spans="1:9" ht="27.6" x14ac:dyDescent="0.3">
      <c r="A52" s="59">
        <f t="shared" si="8"/>
        <v>40</v>
      </c>
      <c r="B52" s="60" t="s">
        <v>374</v>
      </c>
      <c r="C52" s="59" t="s">
        <v>218</v>
      </c>
      <c r="D52" s="63">
        <v>81.599999999999994</v>
      </c>
      <c r="E52" s="149">
        <v>312.27999999999997</v>
      </c>
      <c r="F52" s="81">
        <f t="shared" si="6"/>
        <v>25482.05</v>
      </c>
      <c r="G52" s="81">
        <f t="shared" si="7"/>
        <v>30578.46</v>
      </c>
      <c r="H52">
        <v>3460</v>
      </c>
      <c r="I52" s="169" t="s">
        <v>461</v>
      </c>
    </row>
    <row r="53" spans="1:9" ht="15.6" x14ac:dyDescent="0.3">
      <c r="A53" s="59"/>
      <c r="B53" s="58" t="s">
        <v>251</v>
      </c>
      <c r="C53" s="59"/>
      <c r="D53" s="61"/>
      <c r="E53" s="149"/>
      <c r="F53" s="81"/>
      <c r="G53" s="81"/>
    </row>
    <row r="54" spans="1:9" ht="27.6" x14ac:dyDescent="0.3">
      <c r="A54" s="59">
        <f>A52+1</f>
        <v>41</v>
      </c>
      <c r="B54" s="60" t="s">
        <v>400</v>
      </c>
      <c r="C54" s="59" t="s">
        <v>182</v>
      </c>
      <c r="D54" s="62">
        <v>97</v>
      </c>
      <c r="E54" s="149">
        <v>1045.03</v>
      </c>
      <c r="F54" s="81">
        <f t="shared" si="6"/>
        <v>101367.91</v>
      </c>
      <c r="G54" s="81">
        <f t="shared" si="7"/>
        <v>121641.49</v>
      </c>
    </row>
    <row r="55" spans="1:9" ht="41.4" x14ac:dyDescent="0.3">
      <c r="A55" s="59">
        <f t="shared" si="8"/>
        <v>42</v>
      </c>
      <c r="B55" s="60" t="s">
        <v>401</v>
      </c>
      <c r="C55" s="59" t="s">
        <v>182</v>
      </c>
      <c r="D55" s="62">
        <v>6</v>
      </c>
      <c r="E55" s="149">
        <v>1960.07</v>
      </c>
      <c r="F55" s="81">
        <f t="shared" si="6"/>
        <v>11760.42</v>
      </c>
      <c r="G55" s="81">
        <f t="shared" si="7"/>
        <v>14112.5</v>
      </c>
    </row>
    <row r="56" spans="1:9" ht="27.6" x14ac:dyDescent="0.3">
      <c r="A56" s="59">
        <f t="shared" si="8"/>
        <v>43</v>
      </c>
      <c r="B56" s="60" t="s">
        <v>402</v>
      </c>
      <c r="C56" s="59" t="s">
        <v>207</v>
      </c>
      <c r="D56" s="62">
        <v>1</v>
      </c>
      <c r="E56" s="149">
        <v>8983.23</v>
      </c>
      <c r="F56" s="81">
        <f t="shared" si="6"/>
        <v>8983.23</v>
      </c>
      <c r="G56" s="81">
        <f t="shared" si="7"/>
        <v>10779.88</v>
      </c>
    </row>
    <row r="57" spans="1:9" ht="27.6" x14ac:dyDescent="0.3">
      <c r="A57" s="59">
        <f t="shared" si="8"/>
        <v>44</v>
      </c>
      <c r="B57" s="60" t="s">
        <v>403</v>
      </c>
      <c r="C57" s="59" t="s">
        <v>207</v>
      </c>
      <c r="D57" s="62">
        <v>1</v>
      </c>
      <c r="E57" s="149">
        <v>4477.97</v>
      </c>
      <c r="F57" s="81">
        <f t="shared" si="6"/>
        <v>4477.97</v>
      </c>
      <c r="G57" s="81">
        <f t="shared" si="7"/>
        <v>5373.56</v>
      </c>
    </row>
    <row r="58" spans="1:9" ht="15.6" x14ac:dyDescent="0.3">
      <c r="A58" s="59">
        <f t="shared" si="8"/>
        <v>45</v>
      </c>
      <c r="B58" s="60" t="s">
        <v>404</v>
      </c>
      <c r="C58" s="59" t="s">
        <v>207</v>
      </c>
      <c r="D58" s="62">
        <v>8</v>
      </c>
      <c r="E58" s="149">
        <v>592.5</v>
      </c>
      <c r="F58" s="81">
        <f t="shared" si="6"/>
        <v>4740</v>
      </c>
      <c r="G58" s="81">
        <f t="shared" si="7"/>
        <v>5688</v>
      </c>
    </row>
    <row r="59" spans="1:9" ht="27.6" x14ac:dyDescent="0.3">
      <c r="A59" s="59">
        <f t="shared" si="8"/>
        <v>46</v>
      </c>
      <c r="B59" s="60" t="s">
        <v>382</v>
      </c>
      <c r="C59" s="59" t="s">
        <v>207</v>
      </c>
      <c r="D59" s="62">
        <v>8</v>
      </c>
      <c r="E59" s="149">
        <v>210.41</v>
      </c>
      <c r="F59" s="81">
        <f t="shared" si="6"/>
        <v>1683.28</v>
      </c>
      <c r="G59" s="81">
        <f t="shared" si="7"/>
        <v>2019.94</v>
      </c>
    </row>
    <row r="60" spans="1:9" ht="41.4" x14ac:dyDescent="0.3">
      <c r="A60" s="59">
        <f t="shared" si="8"/>
        <v>47</v>
      </c>
      <c r="B60" s="60" t="s">
        <v>405</v>
      </c>
      <c r="C60" s="59" t="s">
        <v>207</v>
      </c>
      <c r="D60" s="62">
        <v>1</v>
      </c>
      <c r="E60" s="149">
        <v>2066.3000000000002</v>
      </c>
      <c r="F60" s="81">
        <f t="shared" si="6"/>
        <v>2066.3000000000002</v>
      </c>
      <c r="G60" s="81">
        <f t="shared" si="7"/>
        <v>2479.56</v>
      </c>
    </row>
    <row r="61" spans="1:9" ht="41.4" x14ac:dyDescent="0.3">
      <c r="A61" s="59">
        <f t="shared" si="8"/>
        <v>48</v>
      </c>
      <c r="B61" s="60" t="s">
        <v>406</v>
      </c>
      <c r="C61" s="59" t="s">
        <v>207</v>
      </c>
      <c r="D61" s="62">
        <v>1</v>
      </c>
      <c r="E61" s="149">
        <v>3397.31</v>
      </c>
      <c r="F61" s="81">
        <f t="shared" si="6"/>
        <v>3397.31</v>
      </c>
      <c r="G61" s="81">
        <f t="shared" si="7"/>
        <v>4076.77</v>
      </c>
    </row>
    <row r="62" spans="1:9" ht="27.6" x14ac:dyDescent="0.3">
      <c r="A62" s="59">
        <f t="shared" si="8"/>
        <v>49</v>
      </c>
      <c r="B62" s="60" t="s">
        <v>407</v>
      </c>
      <c r="C62" s="59" t="s">
        <v>207</v>
      </c>
      <c r="D62" s="62">
        <v>1</v>
      </c>
      <c r="E62" s="149">
        <v>3317.02</v>
      </c>
      <c r="F62" s="81">
        <f t="shared" si="6"/>
        <v>3317.02</v>
      </c>
      <c r="G62" s="81">
        <f t="shared" si="7"/>
        <v>3980.42</v>
      </c>
    </row>
    <row r="63" spans="1:9" ht="27.6" x14ac:dyDescent="0.3">
      <c r="A63" s="59">
        <f t="shared" si="8"/>
        <v>50</v>
      </c>
      <c r="B63" s="60" t="s">
        <v>408</v>
      </c>
      <c r="C63" s="59" t="s">
        <v>207</v>
      </c>
      <c r="D63" s="62">
        <v>1</v>
      </c>
      <c r="E63" s="149">
        <v>3397.31</v>
      </c>
      <c r="F63" s="81">
        <f t="shared" si="6"/>
        <v>3397.31</v>
      </c>
      <c r="G63" s="81">
        <f t="shared" si="7"/>
        <v>4076.77</v>
      </c>
    </row>
    <row r="64" spans="1:9" ht="27.6" x14ac:dyDescent="0.3">
      <c r="A64" s="59">
        <f t="shared" si="8"/>
        <v>51</v>
      </c>
      <c r="B64" s="60" t="s">
        <v>389</v>
      </c>
      <c r="C64" s="59" t="s">
        <v>463</v>
      </c>
      <c r="D64" s="62">
        <v>1</v>
      </c>
      <c r="E64" s="149">
        <v>30624.26</v>
      </c>
      <c r="F64" s="81">
        <f t="shared" si="6"/>
        <v>30624.26</v>
      </c>
      <c r="G64" s="81">
        <f t="shared" si="7"/>
        <v>36749.11</v>
      </c>
    </row>
    <row r="65" spans="1:9" ht="15.6" x14ac:dyDescent="0.3">
      <c r="A65" s="59"/>
      <c r="B65" s="58" t="s">
        <v>395</v>
      </c>
      <c r="C65" s="59"/>
      <c r="D65" s="62"/>
      <c r="E65" s="149"/>
      <c r="F65" s="81"/>
      <c r="G65" s="81"/>
    </row>
    <row r="66" spans="1:9" ht="15.6" x14ac:dyDescent="0.3">
      <c r="A66" s="59">
        <f>A64+1</f>
        <v>52</v>
      </c>
      <c r="B66" s="60" t="s">
        <v>409</v>
      </c>
      <c r="C66" s="59" t="s">
        <v>182</v>
      </c>
      <c r="D66" s="62">
        <v>97</v>
      </c>
      <c r="E66" s="149">
        <v>728.8</v>
      </c>
      <c r="F66" s="81">
        <f t="shared" si="6"/>
        <v>70693.600000000006</v>
      </c>
      <c r="G66" s="81">
        <f t="shared" ref="G66:G67" si="9">ROUND(F66*1.2,2)</f>
        <v>84832.320000000007</v>
      </c>
    </row>
    <row r="67" spans="1:9" ht="15.6" x14ac:dyDescent="0.3">
      <c r="A67" s="59">
        <f>A66+1</f>
        <v>53</v>
      </c>
      <c r="B67" s="60" t="s">
        <v>397</v>
      </c>
      <c r="C67" s="59" t="s">
        <v>218</v>
      </c>
      <c r="D67" s="62">
        <v>3</v>
      </c>
      <c r="E67" s="149">
        <v>433.62</v>
      </c>
      <c r="F67" s="81">
        <f t="shared" si="6"/>
        <v>1300.8599999999999</v>
      </c>
      <c r="G67" s="81">
        <f t="shared" si="9"/>
        <v>1561.03</v>
      </c>
    </row>
    <row r="68" spans="1:9" ht="27.6" x14ac:dyDescent="0.3">
      <c r="A68" s="59">
        <f>A67+1</f>
        <v>54</v>
      </c>
      <c r="B68" s="60" t="s">
        <v>398</v>
      </c>
      <c r="C68" s="59" t="s">
        <v>218</v>
      </c>
      <c r="D68" s="62">
        <v>3</v>
      </c>
      <c r="E68" s="149">
        <v>312.27999999999997</v>
      </c>
      <c r="F68" s="81">
        <f t="shared" si="6"/>
        <v>936.84</v>
      </c>
      <c r="G68" s="81">
        <f t="shared" si="7"/>
        <v>1124.21</v>
      </c>
    </row>
    <row r="69" spans="1:9" ht="34.5" customHeight="1" x14ac:dyDescent="0.3">
      <c r="A69" s="134"/>
      <c r="B69" s="448" t="s">
        <v>278</v>
      </c>
      <c r="C69" s="449"/>
      <c r="D69" s="450"/>
      <c r="E69" s="135"/>
      <c r="F69" s="136"/>
      <c r="G69" s="146"/>
    </row>
    <row r="70" spans="1:9" x14ac:dyDescent="0.3">
      <c r="A70" s="59"/>
      <c r="B70" s="58" t="s">
        <v>247</v>
      </c>
      <c r="C70" s="59"/>
      <c r="D70" s="148"/>
      <c r="E70" s="144"/>
      <c r="F70" s="141"/>
      <c r="G70" s="147"/>
    </row>
    <row r="71" spans="1:9" ht="27.6" x14ac:dyDescent="0.3">
      <c r="A71" s="59">
        <f>A68+1</f>
        <v>55</v>
      </c>
      <c r="B71" s="60" t="s">
        <v>369</v>
      </c>
      <c r="C71" s="59" t="s">
        <v>181</v>
      </c>
      <c r="D71" s="62">
        <v>1202</v>
      </c>
      <c r="E71" s="149">
        <v>90.47</v>
      </c>
      <c r="F71" s="81">
        <f t="shared" ref="F71:F96" si="10">ROUND(E71*D71,2)</f>
        <v>108744.94</v>
      </c>
      <c r="G71" s="81">
        <f t="shared" ref="G71:G88" si="11">ROUND(F71*1.2,2)</f>
        <v>130493.93</v>
      </c>
      <c r="H71">
        <v>325</v>
      </c>
    </row>
    <row r="72" spans="1:9" ht="15.6" x14ac:dyDescent="0.3">
      <c r="A72" s="59">
        <f>A71+1</f>
        <v>56</v>
      </c>
      <c r="B72" s="60" t="s">
        <v>370</v>
      </c>
      <c r="C72" s="59" t="s">
        <v>181</v>
      </c>
      <c r="D72" s="62">
        <v>36</v>
      </c>
      <c r="E72" s="149">
        <v>1860.11</v>
      </c>
      <c r="F72" s="81">
        <f t="shared" si="10"/>
        <v>66963.960000000006</v>
      </c>
      <c r="G72" s="81">
        <f t="shared" si="11"/>
        <v>80356.75</v>
      </c>
      <c r="H72">
        <v>1777</v>
      </c>
    </row>
    <row r="73" spans="1:9" ht="15.6" x14ac:dyDescent="0.3">
      <c r="A73" s="59">
        <f t="shared" ref="A73:A80" si="12">A72+1</f>
        <v>57</v>
      </c>
      <c r="B73" s="60" t="s">
        <v>371</v>
      </c>
      <c r="C73" s="59" t="s">
        <v>181</v>
      </c>
      <c r="D73" s="62">
        <v>46</v>
      </c>
      <c r="E73" s="149">
        <v>1205.9100000000001</v>
      </c>
      <c r="F73" s="81">
        <f t="shared" si="10"/>
        <v>55471.86</v>
      </c>
      <c r="G73" s="81">
        <f t="shared" si="11"/>
        <v>66566.23</v>
      </c>
    </row>
    <row r="74" spans="1:9" ht="15.6" x14ac:dyDescent="0.3">
      <c r="A74" s="59">
        <f t="shared" si="12"/>
        <v>58</v>
      </c>
      <c r="B74" s="60" t="s">
        <v>250</v>
      </c>
      <c r="C74" s="59" t="s">
        <v>181</v>
      </c>
      <c r="D74" s="62">
        <v>8</v>
      </c>
      <c r="E74" s="149">
        <v>1456.66</v>
      </c>
      <c r="F74" s="81">
        <f t="shared" si="10"/>
        <v>11653.28</v>
      </c>
      <c r="G74" s="81">
        <f t="shared" si="11"/>
        <v>13983.94</v>
      </c>
      <c r="H74">
        <v>1379</v>
      </c>
    </row>
    <row r="75" spans="1:9" ht="15.6" x14ac:dyDescent="0.3">
      <c r="A75" s="59">
        <f t="shared" si="12"/>
        <v>59</v>
      </c>
      <c r="B75" s="60" t="s">
        <v>372</v>
      </c>
      <c r="C75" s="59" t="s">
        <v>181</v>
      </c>
      <c r="D75" s="62">
        <v>48</v>
      </c>
      <c r="E75" s="149">
        <v>856.54</v>
      </c>
      <c r="F75" s="81">
        <f t="shared" si="10"/>
        <v>41113.919999999998</v>
      </c>
      <c r="G75" s="81">
        <f t="shared" si="11"/>
        <v>49336.7</v>
      </c>
      <c r="H75">
        <v>1379</v>
      </c>
    </row>
    <row r="76" spans="1:9" ht="15.6" x14ac:dyDescent="0.3">
      <c r="A76" s="59">
        <f t="shared" si="12"/>
        <v>60</v>
      </c>
      <c r="B76" s="60" t="s">
        <v>410</v>
      </c>
      <c r="C76" s="59" t="s">
        <v>181</v>
      </c>
      <c r="D76" s="62">
        <v>1116</v>
      </c>
      <c r="E76" s="149">
        <v>9.73</v>
      </c>
      <c r="F76" s="81">
        <f t="shared" si="10"/>
        <v>10858.68</v>
      </c>
      <c r="G76" s="81">
        <f t="shared" si="11"/>
        <v>13030.42</v>
      </c>
      <c r="H76">
        <v>125</v>
      </c>
    </row>
    <row r="77" spans="1:9" ht="15.6" x14ac:dyDescent="0.3">
      <c r="A77" s="59">
        <f t="shared" si="12"/>
        <v>61</v>
      </c>
      <c r="B77" s="60" t="s">
        <v>245</v>
      </c>
      <c r="C77" s="59" t="s">
        <v>181</v>
      </c>
      <c r="D77" s="62">
        <v>1116</v>
      </c>
      <c r="E77" s="149">
        <v>197.58</v>
      </c>
      <c r="F77" s="81">
        <f t="shared" si="10"/>
        <v>220499.28</v>
      </c>
      <c r="G77" s="81">
        <f t="shared" si="11"/>
        <v>264599.14</v>
      </c>
      <c r="H77">
        <v>198</v>
      </c>
    </row>
    <row r="78" spans="1:9" ht="15.6" x14ac:dyDescent="0.3">
      <c r="A78" s="59">
        <f t="shared" si="12"/>
        <v>62</v>
      </c>
      <c r="B78" s="60" t="s">
        <v>411</v>
      </c>
      <c r="C78" s="59" t="s">
        <v>181</v>
      </c>
      <c r="D78" s="62">
        <v>59</v>
      </c>
      <c r="E78" s="149">
        <v>856.54</v>
      </c>
      <c r="F78" s="81">
        <f t="shared" si="10"/>
        <v>50535.86</v>
      </c>
      <c r="G78" s="81">
        <f t="shared" si="11"/>
        <v>60643.03</v>
      </c>
      <c r="H78">
        <v>899</v>
      </c>
    </row>
    <row r="79" spans="1:9" ht="27.6" x14ac:dyDescent="0.3">
      <c r="A79" s="59">
        <f t="shared" si="12"/>
        <v>63</v>
      </c>
      <c r="B79" s="60" t="s">
        <v>412</v>
      </c>
      <c r="C79" s="59" t="s">
        <v>218</v>
      </c>
      <c r="D79" s="63">
        <v>100.8</v>
      </c>
      <c r="E79" s="149">
        <v>67.760000000000005</v>
      </c>
      <c r="F79" s="81">
        <f t="shared" si="10"/>
        <v>6830.21</v>
      </c>
      <c r="G79" s="81">
        <f t="shared" si="11"/>
        <v>8196.25</v>
      </c>
      <c r="H79">
        <v>325</v>
      </c>
    </row>
    <row r="80" spans="1:9" ht="27.6" x14ac:dyDescent="0.3">
      <c r="A80" s="59">
        <f t="shared" si="12"/>
        <v>64</v>
      </c>
      <c r="B80" s="60" t="s">
        <v>374</v>
      </c>
      <c r="C80" s="59" t="s">
        <v>218</v>
      </c>
      <c r="D80" s="63">
        <v>100.8</v>
      </c>
      <c r="E80" s="149">
        <v>312.27999999999997</v>
      </c>
      <c r="F80" s="81">
        <f t="shared" si="10"/>
        <v>31477.82</v>
      </c>
      <c r="G80" s="81">
        <f t="shared" si="11"/>
        <v>37773.379999999997</v>
      </c>
      <c r="H80">
        <v>3460</v>
      </c>
      <c r="I80" s="169" t="s">
        <v>461</v>
      </c>
    </row>
    <row r="81" spans="1:7" ht="15.6" x14ac:dyDescent="0.3">
      <c r="A81" s="59"/>
      <c r="B81" s="58" t="s">
        <v>251</v>
      </c>
      <c r="C81" s="59"/>
      <c r="D81" s="61"/>
      <c r="E81" s="149"/>
      <c r="F81" s="81"/>
      <c r="G81" s="81"/>
    </row>
    <row r="82" spans="1:7" ht="27.6" x14ac:dyDescent="0.3">
      <c r="A82" s="59">
        <f>A80+1</f>
        <v>65</v>
      </c>
      <c r="B82" s="60" t="s">
        <v>413</v>
      </c>
      <c r="C82" s="59" t="s">
        <v>182</v>
      </c>
      <c r="D82" s="62">
        <v>82</v>
      </c>
      <c r="E82" s="149">
        <v>1494.21</v>
      </c>
      <c r="F82" s="81">
        <f t="shared" si="10"/>
        <v>122525.22</v>
      </c>
      <c r="G82" s="81">
        <f t="shared" si="11"/>
        <v>147030.26</v>
      </c>
    </row>
    <row r="83" spans="1:7" ht="27.6" x14ac:dyDescent="0.3">
      <c r="A83" s="59">
        <f>A82+1</f>
        <v>66</v>
      </c>
      <c r="B83" s="60" t="s">
        <v>414</v>
      </c>
      <c r="C83" s="59" t="s">
        <v>182</v>
      </c>
      <c r="D83" s="62">
        <v>41</v>
      </c>
      <c r="E83" s="149">
        <v>2559.31</v>
      </c>
      <c r="F83" s="81">
        <f t="shared" si="10"/>
        <v>104931.71</v>
      </c>
      <c r="G83" s="81">
        <f t="shared" si="11"/>
        <v>125918.05</v>
      </c>
    </row>
    <row r="84" spans="1:7" ht="15.6" x14ac:dyDescent="0.3">
      <c r="A84" s="59">
        <f t="shared" ref="A84:A92" si="13">A83+1</f>
        <v>67</v>
      </c>
      <c r="B84" s="60" t="s">
        <v>415</v>
      </c>
      <c r="C84" s="59"/>
      <c r="D84" s="62">
        <v>1</v>
      </c>
      <c r="E84" s="149">
        <v>1504.77</v>
      </c>
      <c r="F84" s="81">
        <f t="shared" si="10"/>
        <v>1504.77</v>
      </c>
      <c r="G84" s="81">
        <f t="shared" si="11"/>
        <v>1805.72</v>
      </c>
    </row>
    <row r="85" spans="1:7" ht="27.6" x14ac:dyDescent="0.3">
      <c r="A85" s="59">
        <f t="shared" si="13"/>
        <v>68</v>
      </c>
      <c r="B85" s="60" t="s">
        <v>416</v>
      </c>
      <c r="C85" s="59" t="s">
        <v>207</v>
      </c>
      <c r="D85" s="62">
        <v>2</v>
      </c>
      <c r="E85" s="149">
        <v>7253.94</v>
      </c>
      <c r="F85" s="81">
        <f t="shared" si="10"/>
        <v>14507.88</v>
      </c>
      <c r="G85" s="81">
        <f t="shared" si="11"/>
        <v>17409.46</v>
      </c>
    </row>
    <row r="86" spans="1:7" ht="27.6" x14ac:dyDescent="0.3">
      <c r="A86" s="59">
        <f t="shared" si="13"/>
        <v>69</v>
      </c>
      <c r="B86" s="60" t="s">
        <v>417</v>
      </c>
      <c r="C86" s="59" t="s">
        <v>207</v>
      </c>
      <c r="D86" s="62">
        <v>2</v>
      </c>
      <c r="E86" s="149">
        <v>6691.94</v>
      </c>
      <c r="F86" s="81">
        <f t="shared" si="10"/>
        <v>13383.88</v>
      </c>
      <c r="G86" s="81">
        <f t="shared" si="11"/>
        <v>16060.66</v>
      </c>
    </row>
    <row r="87" spans="1:7" ht="15.6" x14ac:dyDescent="0.3">
      <c r="A87" s="59">
        <f t="shared" si="13"/>
        <v>70</v>
      </c>
      <c r="B87" s="60" t="s">
        <v>404</v>
      </c>
      <c r="C87" s="59" t="s">
        <v>207</v>
      </c>
      <c r="D87" s="62">
        <v>24</v>
      </c>
      <c r="E87" s="149">
        <v>592.5</v>
      </c>
      <c r="F87" s="81">
        <f t="shared" si="10"/>
        <v>14220</v>
      </c>
      <c r="G87" s="81">
        <f t="shared" si="11"/>
        <v>17064</v>
      </c>
    </row>
    <row r="88" spans="1:7" ht="27.6" x14ac:dyDescent="0.3">
      <c r="A88" s="59">
        <f t="shared" si="13"/>
        <v>71</v>
      </c>
      <c r="B88" s="60" t="s">
        <v>382</v>
      </c>
      <c r="C88" s="59" t="s">
        <v>207</v>
      </c>
      <c r="D88" s="62">
        <v>24</v>
      </c>
      <c r="E88" s="149">
        <v>210.41</v>
      </c>
      <c r="F88" s="81">
        <f t="shared" si="10"/>
        <v>5049.84</v>
      </c>
      <c r="G88" s="81">
        <f t="shared" si="11"/>
        <v>6059.81</v>
      </c>
    </row>
    <row r="89" spans="1:7" ht="41.4" x14ac:dyDescent="0.3">
      <c r="A89" s="59">
        <f t="shared" si="13"/>
        <v>72</v>
      </c>
      <c r="B89" s="60" t="s">
        <v>418</v>
      </c>
      <c r="C89" s="59" t="s">
        <v>207</v>
      </c>
      <c r="D89" s="62">
        <v>2</v>
      </c>
      <c r="E89" s="149">
        <v>2752.92</v>
      </c>
      <c r="F89" s="81">
        <f t="shared" si="10"/>
        <v>5505.84</v>
      </c>
      <c r="G89" s="81">
        <f t="shared" ref="G89:G96" si="14">ROUND(F89*1.2,2)</f>
        <v>6607.01</v>
      </c>
    </row>
    <row r="90" spans="1:7" ht="41.4" x14ac:dyDescent="0.3">
      <c r="A90" s="59">
        <f t="shared" si="13"/>
        <v>73</v>
      </c>
      <c r="B90" s="60" t="s">
        <v>419</v>
      </c>
      <c r="C90" s="59" t="s">
        <v>207</v>
      </c>
      <c r="D90" s="62">
        <v>2</v>
      </c>
      <c r="E90" s="149">
        <v>5356.92</v>
      </c>
      <c r="F90" s="81">
        <f t="shared" si="10"/>
        <v>10713.84</v>
      </c>
      <c r="G90" s="81">
        <f t="shared" si="14"/>
        <v>12856.61</v>
      </c>
    </row>
    <row r="91" spans="1:7" ht="27.6" x14ac:dyDescent="0.3">
      <c r="A91" s="59">
        <f t="shared" si="13"/>
        <v>74</v>
      </c>
      <c r="B91" s="60" t="s">
        <v>420</v>
      </c>
      <c r="C91" s="59" t="s">
        <v>207</v>
      </c>
      <c r="D91" s="62">
        <v>6</v>
      </c>
      <c r="E91" s="149">
        <v>3397.3</v>
      </c>
      <c r="F91" s="81">
        <f t="shared" si="10"/>
        <v>20383.8</v>
      </c>
      <c r="G91" s="81">
        <f t="shared" si="14"/>
        <v>24460.560000000001</v>
      </c>
    </row>
    <row r="92" spans="1:7" ht="27.6" x14ac:dyDescent="0.3">
      <c r="A92" s="59">
        <f t="shared" si="13"/>
        <v>75</v>
      </c>
      <c r="B92" s="60" t="s">
        <v>389</v>
      </c>
      <c r="C92" s="59" t="s">
        <v>463</v>
      </c>
      <c r="D92" s="62">
        <v>1</v>
      </c>
      <c r="E92" s="149">
        <v>42094.04</v>
      </c>
      <c r="F92" s="81">
        <f t="shared" si="10"/>
        <v>42094.04</v>
      </c>
      <c r="G92" s="81">
        <f t="shared" si="14"/>
        <v>50512.85</v>
      </c>
    </row>
    <row r="93" spans="1:7" ht="15.6" x14ac:dyDescent="0.3">
      <c r="A93" s="59"/>
      <c r="B93" s="58" t="s">
        <v>395</v>
      </c>
      <c r="C93" s="59"/>
      <c r="D93" s="62"/>
      <c r="E93" s="149"/>
      <c r="F93" s="81"/>
      <c r="G93" s="81"/>
    </row>
    <row r="94" spans="1:7" ht="23.25" customHeight="1" x14ac:dyDescent="0.3">
      <c r="A94" s="59">
        <f>A92+1</f>
        <v>76</v>
      </c>
      <c r="B94" s="60" t="s">
        <v>421</v>
      </c>
      <c r="C94" s="59" t="s">
        <v>182</v>
      </c>
      <c r="D94" s="62">
        <v>85</v>
      </c>
      <c r="E94" s="149">
        <v>915.99</v>
      </c>
      <c r="F94" s="81">
        <f t="shared" si="10"/>
        <v>77859.149999999994</v>
      </c>
      <c r="G94" s="81">
        <f t="shared" si="14"/>
        <v>93430.98</v>
      </c>
    </row>
    <row r="95" spans="1:7" ht="15.6" x14ac:dyDescent="0.3">
      <c r="A95" s="59">
        <f>A94+1</f>
        <v>77</v>
      </c>
      <c r="B95" s="60" t="s">
        <v>397</v>
      </c>
      <c r="C95" s="59" t="s">
        <v>218</v>
      </c>
      <c r="D95" s="62">
        <v>4</v>
      </c>
      <c r="E95" s="149">
        <v>433.62</v>
      </c>
      <c r="F95" s="81">
        <f t="shared" si="10"/>
        <v>1734.48</v>
      </c>
      <c r="G95" s="81">
        <f t="shared" si="14"/>
        <v>2081.38</v>
      </c>
    </row>
    <row r="96" spans="1:7" ht="15.6" x14ac:dyDescent="0.3">
      <c r="A96" s="59">
        <f>A95+1</f>
        <v>78</v>
      </c>
      <c r="B96" s="60" t="s">
        <v>422</v>
      </c>
      <c r="C96" s="59" t="s">
        <v>218</v>
      </c>
      <c r="D96" s="62">
        <v>4</v>
      </c>
      <c r="E96" s="149">
        <v>312.27999999999997</v>
      </c>
      <c r="F96" s="81">
        <f t="shared" si="10"/>
        <v>1249.1199999999999</v>
      </c>
      <c r="G96" s="81">
        <f t="shared" si="14"/>
        <v>1498.94</v>
      </c>
    </row>
    <row r="97" spans="1:9" ht="32.25" customHeight="1" x14ac:dyDescent="0.3">
      <c r="A97" s="134"/>
      <c r="B97" s="448" t="s">
        <v>279</v>
      </c>
      <c r="C97" s="449"/>
      <c r="D97" s="450"/>
      <c r="E97" s="135"/>
      <c r="F97" s="136"/>
      <c r="G97" s="146"/>
    </row>
    <row r="98" spans="1:9" x14ac:dyDescent="0.3">
      <c r="A98" s="59"/>
      <c r="B98" s="58" t="s">
        <v>247</v>
      </c>
      <c r="C98" s="59"/>
      <c r="D98" s="62"/>
      <c r="E98" s="144"/>
      <c r="F98" s="141"/>
      <c r="G98" s="147"/>
    </row>
    <row r="99" spans="1:9" ht="27.6" x14ac:dyDescent="0.3">
      <c r="A99" s="59">
        <f>A96+1</f>
        <v>79</v>
      </c>
      <c r="B99" s="60" t="s">
        <v>369</v>
      </c>
      <c r="C99" s="59" t="s">
        <v>181</v>
      </c>
      <c r="D99" s="62">
        <v>1328</v>
      </c>
      <c r="E99" s="149">
        <v>90.47</v>
      </c>
      <c r="F99" s="81">
        <f t="shared" ref="F99:F120" si="15">ROUND(E99*D99,2)</f>
        <v>120144.16</v>
      </c>
      <c r="G99" s="81">
        <f t="shared" ref="G99:G120" si="16">ROUND(F99*1.2,2)</f>
        <v>144172.99</v>
      </c>
      <c r="H99">
        <v>325</v>
      </c>
    </row>
    <row r="100" spans="1:9" ht="15.6" x14ac:dyDescent="0.3">
      <c r="A100" s="59">
        <f>A99+1</f>
        <v>80</v>
      </c>
      <c r="B100" s="60" t="s">
        <v>370</v>
      </c>
      <c r="C100" s="59" t="s">
        <v>181</v>
      </c>
      <c r="D100" s="62">
        <v>40</v>
      </c>
      <c r="E100" s="149">
        <v>1860.11</v>
      </c>
      <c r="F100" s="81">
        <f t="shared" si="15"/>
        <v>74404.399999999994</v>
      </c>
      <c r="G100" s="81">
        <f t="shared" si="16"/>
        <v>89285.28</v>
      </c>
      <c r="H100">
        <v>1777</v>
      </c>
    </row>
    <row r="101" spans="1:9" ht="15.6" x14ac:dyDescent="0.3">
      <c r="A101" s="59">
        <f t="shared" ref="A101:A109" si="17">A100+1</f>
        <v>81</v>
      </c>
      <c r="B101" s="60" t="s">
        <v>371</v>
      </c>
      <c r="C101" s="59" t="s">
        <v>181</v>
      </c>
      <c r="D101" s="62">
        <v>15</v>
      </c>
      <c r="E101" s="149">
        <v>1155.67</v>
      </c>
      <c r="F101" s="81">
        <f t="shared" si="15"/>
        <v>17335.05</v>
      </c>
      <c r="G101" s="81">
        <f t="shared" si="16"/>
        <v>20802.060000000001</v>
      </c>
    </row>
    <row r="102" spans="1:9" ht="15.6" x14ac:dyDescent="0.3">
      <c r="A102" s="59">
        <f t="shared" si="17"/>
        <v>82</v>
      </c>
      <c r="B102" s="60" t="s">
        <v>250</v>
      </c>
      <c r="C102" s="59" t="s">
        <v>181</v>
      </c>
      <c r="D102" s="62">
        <v>4</v>
      </c>
      <c r="E102" s="149">
        <v>1456.66</v>
      </c>
      <c r="F102" s="81">
        <f t="shared" si="15"/>
        <v>5826.64</v>
      </c>
      <c r="G102" s="81">
        <f t="shared" si="16"/>
        <v>6991.97</v>
      </c>
      <c r="H102">
        <v>1379</v>
      </c>
    </row>
    <row r="103" spans="1:9" ht="15.6" x14ac:dyDescent="0.3">
      <c r="A103" s="59">
        <f t="shared" si="17"/>
        <v>83</v>
      </c>
      <c r="B103" s="60" t="s">
        <v>372</v>
      </c>
      <c r="C103" s="59" t="s">
        <v>181</v>
      </c>
      <c r="D103" s="62">
        <v>15</v>
      </c>
      <c r="E103" s="149">
        <v>856.54</v>
      </c>
      <c r="F103" s="81">
        <f t="shared" si="15"/>
        <v>12848.1</v>
      </c>
      <c r="G103" s="81">
        <f t="shared" si="16"/>
        <v>15417.72</v>
      </c>
      <c r="H103">
        <v>1379</v>
      </c>
    </row>
    <row r="104" spans="1:9" ht="15.6" x14ac:dyDescent="0.3">
      <c r="A104" s="59">
        <f t="shared" si="17"/>
        <v>84</v>
      </c>
      <c r="B104" s="60" t="s">
        <v>410</v>
      </c>
      <c r="C104" s="59" t="s">
        <v>181</v>
      </c>
      <c r="D104" s="62">
        <v>1280</v>
      </c>
      <c r="E104" s="149">
        <v>9.73</v>
      </c>
      <c r="F104" s="81">
        <f t="shared" si="15"/>
        <v>12454.4</v>
      </c>
      <c r="G104" s="81">
        <f t="shared" si="16"/>
        <v>14945.28</v>
      </c>
      <c r="H104">
        <v>125</v>
      </c>
    </row>
    <row r="105" spans="1:9" ht="15.6" x14ac:dyDescent="0.3">
      <c r="A105" s="59">
        <f t="shared" si="17"/>
        <v>85</v>
      </c>
      <c r="B105" s="60" t="s">
        <v>245</v>
      </c>
      <c r="C105" s="59" t="s">
        <v>181</v>
      </c>
      <c r="D105" s="62">
        <v>1280</v>
      </c>
      <c r="E105" s="149">
        <v>197.58</v>
      </c>
      <c r="F105" s="81">
        <f t="shared" si="15"/>
        <v>252902.39999999999</v>
      </c>
      <c r="G105" s="81">
        <f t="shared" si="16"/>
        <v>303482.88</v>
      </c>
      <c r="H105">
        <v>198</v>
      </c>
    </row>
    <row r="106" spans="1:9" ht="15.6" x14ac:dyDescent="0.3">
      <c r="A106" s="59">
        <f t="shared" si="17"/>
        <v>86</v>
      </c>
      <c r="B106" s="60" t="s">
        <v>411</v>
      </c>
      <c r="C106" s="59" t="s">
        <v>181</v>
      </c>
      <c r="D106" s="62">
        <v>67</v>
      </c>
      <c r="E106" s="149">
        <v>856.54</v>
      </c>
      <c r="F106" s="81">
        <f t="shared" si="15"/>
        <v>57388.18</v>
      </c>
      <c r="G106" s="81">
        <f t="shared" si="16"/>
        <v>68865.820000000007</v>
      </c>
      <c r="H106">
        <v>899</v>
      </c>
    </row>
    <row r="107" spans="1:9" ht="27.6" x14ac:dyDescent="0.3">
      <c r="A107" s="59">
        <f t="shared" si="17"/>
        <v>87</v>
      </c>
      <c r="B107" s="60" t="s">
        <v>412</v>
      </c>
      <c r="C107" s="59" t="s">
        <v>218</v>
      </c>
      <c r="D107" s="63">
        <v>33.6</v>
      </c>
      <c r="E107" s="149">
        <v>67.760000000000005</v>
      </c>
      <c r="F107" s="81">
        <f t="shared" si="15"/>
        <v>2276.7399999999998</v>
      </c>
      <c r="G107" s="81">
        <f t="shared" si="16"/>
        <v>2732.09</v>
      </c>
      <c r="H107">
        <v>325</v>
      </c>
    </row>
    <row r="108" spans="1:9" ht="27.6" x14ac:dyDescent="0.3">
      <c r="A108" s="59">
        <f t="shared" si="17"/>
        <v>88</v>
      </c>
      <c r="B108" s="60" t="s">
        <v>374</v>
      </c>
      <c r="C108" s="59" t="s">
        <v>218</v>
      </c>
      <c r="D108" s="63">
        <v>33.6</v>
      </c>
      <c r="E108" s="149">
        <v>312.27999999999997</v>
      </c>
      <c r="F108" s="81">
        <f t="shared" si="15"/>
        <v>10492.61</v>
      </c>
      <c r="G108" s="81">
        <f t="shared" si="16"/>
        <v>12591.13</v>
      </c>
      <c r="H108">
        <v>3460</v>
      </c>
      <c r="I108" s="169" t="s">
        <v>461</v>
      </c>
    </row>
    <row r="109" spans="1:9" ht="27.6" x14ac:dyDescent="0.3">
      <c r="A109" s="59">
        <f t="shared" si="17"/>
        <v>89</v>
      </c>
      <c r="B109" s="60" t="s">
        <v>423</v>
      </c>
      <c r="C109" s="59" t="s">
        <v>234</v>
      </c>
      <c r="D109" s="62">
        <v>127</v>
      </c>
      <c r="E109" s="149">
        <v>306.77</v>
      </c>
      <c r="F109" s="81">
        <f t="shared" si="15"/>
        <v>38959.79</v>
      </c>
      <c r="G109" s="81">
        <f t="shared" si="16"/>
        <v>46751.75</v>
      </c>
    </row>
    <row r="110" spans="1:9" ht="21.75" customHeight="1" x14ac:dyDescent="0.3">
      <c r="A110" s="59"/>
      <c r="B110" s="58" t="s">
        <v>251</v>
      </c>
      <c r="C110" s="59"/>
      <c r="D110" s="62"/>
      <c r="E110" s="149"/>
      <c r="F110" s="81"/>
      <c r="G110" s="81"/>
    </row>
    <row r="111" spans="1:9" ht="27.6" x14ac:dyDescent="0.3">
      <c r="A111" s="59">
        <f>A109+1</f>
        <v>90</v>
      </c>
      <c r="B111" s="60" t="s">
        <v>424</v>
      </c>
      <c r="C111" s="59" t="s">
        <v>182</v>
      </c>
      <c r="D111" s="62">
        <v>42</v>
      </c>
      <c r="E111" s="149">
        <v>1045.03</v>
      </c>
      <c r="F111" s="81">
        <f t="shared" si="15"/>
        <v>43891.26</v>
      </c>
      <c r="G111" s="81">
        <f t="shared" si="16"/>
        <v>52669.51</v>
      </c>
    </row>
    <row r="112" spans="1:9" ht="41.4" x14ac:dyDescent="0.3">
      <c r="A112" s="59">
        <f>A111+1</f>
        <v>91</v>
      </c>
      <c r="B112" s="60" t="s">
        <v>425</v>
      </c>
      <c r="C112" s="59" t="s">
        <v>182</v>
      </c>
      <c r="D112" s="62">
        <v>6</v>
      </c>
      <c r="E112" s="149">
        <v>1960.07</v>
      </c>
      <c r="F112" s="81">
        <f t="shared" si="15"/>
        <v>11760.42</v>
      </c>
      <c r="G112" s="81">
        <f t="shared" si="16"/>
        <v>14112.5</v>
      </c>
    </row>
    <row r="113" spans="1:8" ht="41.4" x14ac:dyDescent="0.3">
      <c r="A113" s="59">
        <f t="shared" ref="A113:A116" si="18">A112+1</f>
        <v>92</v>
      </c>
      <c r="B113" s="60" t="s">
        <v>426</v>
      </c>
      <c r="C113" s="59" t="s">
        <v>207</v>
      </c>
      <c r="D113" s="62">
        <v>2</v>
      </c>
      <c r="E113" s="149">
        <v>1871.48</v>
      </c>
      <c r="F113" s="81">
        <f t="shared" si="15"/>
        <v>3742.96</v>
      </c>
      <c r="G113" s="81">
        <f t="shared" si="16"/>
        <v>4491.55</v>
      </c>
    </row>
    <row r="114" spans="1:8" ht="41.4" x14ac:dyDescent="0.3">
      <c r="A114" s="59">
        <f t="shared" si="18"/>
        <v>93</v>
      </c>
      <c r="B114" s="60" t="s">
        <v>427</v>
      </c>
      <c r="C114" s="59" t="s">
        <v>207</v>
      </c>
      <c r="D114" s="62">
        <v>2</v>
      </c>
      <c r="E114" s="149">
        <v>6085.16</v>
      </c>
      <c r="F114" s="81">
        <f t="shared" si="15"/>
        <v>12170.32</v>
      </c>
      <c r="G114" s="81">
        <f t="shared" si="16"/>
        <v>14604.38</v>
      </c>
    </row>
    <row r="115" spans="1:8" ht="27.6" x14ac:dyDescent="0.3">
      <c r="A115" s="59">
        <f t="shared" si="18"/>
        <v>94</v>
      </c>
      <c r="B115" s="60" t="s">
        <v>388</v>
      </c>
      <c r="C115" s="59" t="s">
        <v>207</v>
      </c>
      <c r="D115" s="62">
        <v>1</v>
      </c>
      <c r="E115" s="149">
        <v>3397.31</v>
      </c>
      <c r="F115" s="81">
        <f t="shared" si="15"/>
        <v>3397.31</v>
      </c>
      <c r="G115" s="81">
        <f t="shared" si="16"/>
        <v>4076.77</v>
      </c>
    </row>
    <row r="116" spans="1:8" ht="30" customHeight="1" x14ac:dyDescent="0.3">
      <c r="A116" s="59">
        <f t="shared" si="18"/>
        <v>95</v>
      </c>
      <c r="B116" s="60" t="s">
        <v>389</v>
      </c>
      <c r="C116" s="59" t="s">
        <v>463</v>
      </c>
      <c r="D116" s="62">
        <v>1</v>
      </c>
      <c r="E116" s="149">
        <v>30624.26</v>
      </c>
      <c r="F116" s="81">
        <f t="shared" si="15"/>
        <v>30624.26</v>
      </c>
      <c r="G116" s="81">
        <f t="shared" si="16"/>
        <v>36749.11</v>
      </c>
    </row>
    <row r="117" spans="1:8" ht="22.5" customHeight="1" x14ac:dyDescent="0.3">
      <c r="A117" s="59"/>
      <c r="B117" s="58" t="s">
        <v>395</v>
      </c>
      <c r="C117" s="59"/>
      <c r="D117" s="62"/>
      <c r="E117" s="149"/>
      <c r="F117" s="81"/>
      <c r="G117" s="81"/>
    </row>
    <row r="118" spans="1:8" ht="15.6" x14ac:dyDescent="0.3">
      <c r="A118" s="59">
        <f>A116+1</f>
        <v>96</v>
      </c>
      <c r="B118" s="60" t="s">
        <v>428</v>
      </c>
      <c r="C118" s="59" t="s">
        <v>182</v>
      </c>
      <c r="D118" s="62">
        <v>42</v>
      </c>
      <c r="E118" s="149">
        <v>728.05</v>
      </c>
      <c r="F118" s="81">
        <f t="shared" si="15"/>
        <v>30578.1</v>
      </c>
      <c r="G118" s="81">
        <f t="shared" si="16"/>
        <v>36693.72</v>
      </c>
    </row>
    <row r="119" spans="1:8" ht="15.6" x14ac:dyDescent="0.3">
      <c r="A119" s="59">
        <f>A118+1</f>
        <v>97</v>
      </c>
      <c r="B119" s="60" t="s">
        <v>430</v>
      </c>
      <c r="C119" s="59" t="s">
        <v>218</v>
      </c>
      <c r="D119" s="63">
        <v>0.6</v>
      </c>
      <c r="E119" s="149">
        <v>436.17</v>
      </c>
      <c r="F119" s="81">
        <f t="shared" si="15"/>
        <v>261.7</v>
      </c>
      <c r="G119" s="81">
        <f t="shared" si="16"/>
        <v>314.04000000000002</v>
      </c>
    </row>
    <row r="120" spans="1:8" ht="15.6" x14ac:dyDescent="0.3">
      <c r="A120" s="59">
        <f>A119+1</f>
        <v>98</v>
      </c>
      <c r="B120" s="60" t="s">
        <v>429</v>
      </c>
      <c r="C120" s="59" t="s">
        <v>218</v>
      </c>
      <c r="D120" s="63">
        <v>0.6</v>
      </c>
      <c r="E120" s="149">
        <v>312.27999999999997</v>
      </c>
      <c r="F120" s="81">
        <f t="shared" si="15"/>
        <v>187.37</v>
      </c>
      <c r="G120" s="81">
        <f t="shared" si="16"/>
        <v>224.84</v>
      </c>
    </row>
    <row r="121" spans="1:8" ht="33.75" customHeight="1" x14ac:dyDescent="0.3">
      <c r="A121" s="134"/>
      <c r="B121" s="448" t="s">
        <v>280</v>
      </c>
      <c r="C121" s="449"/>
      <c r="D121" s="450"/>
      <c r="E121" s="135"/>
      <c r="F121" s="136"/>
      <c r="G121" s="146"/>
    </row>
    <row r="122" spans="1:8" x14ac:dyDescent="0.3">
      <c r="A122" s="59"/>
      <c r="B122" s="58" t="s">
        <v>247</v>
      </c>
      <c r="C122" s="59"/>
      <c r="D122" s="62"/>
      <c r="E122" s="144"/>
      <c r="F122" s="141"/>
      <c r="G122" s="147"/>
    </row>
    <row r="123" spans="1:8" ht="27.6" x14ac:dyDescent="0.3">
      <c r="A123" s="59">
        <f>A120+1</f>
        <v>99</v>
      </c>
      <c r="B123" s="60" t="s">
        <v>369</v>
      </c>
      <c r="C123" s="59" t="s">
        <v>181</v>
      </c>
      <c r="D123" s="62">
        <v>835</v>
      </c>
      <c r="E123" s="149">
        <v>90.47</v>
      </c>
      <c r="F123" s="81">
        <f t="shared" ref="F123:F139" si="19">ROUND(E123*D123,2)</f>
        <v>75542.45</v>
      </c>
      <c r="G123" s="81">
        <f t="shared" ref="G123:G139" si="20">ROUND(F123*1.2,2)</f>
        <v>90650.94</v>
      </c>
      <c r="H123">
        <v>325</v>
      </c>
    </row>
    <row r="124" spans="1:8" ht="15.6" x14ac:dyDescent="0.3">
      <c r="A124" s="59">
        <f>A123+1</f>
        <v>100</v>
      </c>
      <c r="B124" s="60" t="s">
        <v>370</v>
      </c>
      <c r="C124" s="59" t="s">
        <v>181</v>
      </c>
      <c r="D124" s="62">
        <v>25</v>
      </c>
      <c r="E124" s="149">
        <v>1860.11</v>
      </c>
      <c r="F124" s="81">
        <f t="shared" si="19"/>
        <v>46502.75</v>
      </c>
      <c r="G124" s="81">
        <f t="shared" si="20"/>
        <v>55803.3</v>
      </c>
      <c r="H124">
        <v>1777</v>
      </c>
    </row>
    <row r="125" spans="1:8" ht="15.6" x14ac:dyDescent="0.3">
      <c r="A125" s="59">
        <f>A124+1</f>
        <v>101</v>
      </c>
      <c r="B125" s="60" t="s">
        <v>371</v>
      </c>
      <c r="C125" s="59" t="s">
        <v>181</v>
      </c>
      <c r="D125" s="62">
        <v>9</v>
      </c>
      <c r="E125" s="149">
        <v>1155.67</v>
      </c>
      <c r="F125" s="81">
        <f t="shared" si="19"/>
        <v>10401.030000000001</v>
      </c>
      <c r="G125" s="81">
        <f t="shared" si="20"/>
        <v>12481.24</v>
      </c>
    </row>
    <row r="126" spans="1:8" ht="15.6" x14ac:dyDescent="0.3">
      <c r="A126" s="59">
        <f t="shared" ref="A126:A132" si="21">A125+1</f>
        <v>102</v>
      </c>
      <c r="B126" s="60" t="s">
        <v>250</v>
      </c>
      <c r="C126" s="59" t="s">
        <v>181</v>
      </c>
      <c r="D126" s="62">
        <v>2</v>
      </c>
      <c r="E126" s="149">
        <v>1456.66</v>
      </c>
      <c r="F126" s="81">
        <f t="shared" si="19"/>
        <v>2913.32</v>
      </c>
      <c r="G126" s="81">
        <f t="shared" si="20"/>
        <v>3495.98</v>
      </c>
      <c r="H126">
        <v>1379</v>
      </c>
    </row>
    <row r="127" spans="1:8" ht="15.6" x14ac:dyDescent="0.3">
      <c r="A127" s="59">
        <f t="shared" si="21"/>
        <v>103</v>
      </c>
      <c r="B127" s="60" t="s">
        <v>372</v>
      </c>
      <c r="C127" s="59" t="s">
        <v>181</v>
      </c>
      <c r="D127" s="62">
        <v>9</v>
      </c>
      <c r="E127" s="149">
        <v>856.54</v>
      </c>
      <c r="F127" s="81">
        <f t="shared" si="19"/>
        <v>7708.86</v>
      </c>
      <c r="G127" s="81">
        <f t="shared" si="20"/>
        <v>9250.6299999999992</v>
      </c>
      <c r="H127">
        <v>1379</v>
      </c>
    </row>
    <row r="128" spans="1:8" ht="15.6" x14ac:dyDescent="0.3">
      <c r="A128" s="59">
        <f t="shared" si="21"/>
        <v>104</v>
      </c>
      <c r="B128" s="60" t="s">
        <v>410</v>
      </c>
      <c r="C128" s="59" t="s">
        <v>181</v>
      </c>
      <c r="D128" s="62">
        <v>805</v>
      </c>
      <c r="E128" s="149">
        <v>9.73</v>
      </c>
      <c r="F128" s="81">
        <f t="shared" si="19"/>
        <v>7832.65</v>
      </c>
      <c r="G128" s="81">
        <f t="shared" si="20"/>
        <v>9399.18</v>
      </c>
      <c r="H128">
        <v>125</v>
      </c>
    </row>
    <row r="129" spans="1:9" ht="15.6" x14ac:dyDescent="0.3">
      <c r="A129" s="59">
        <f t="shared" si="21"/>
        <v>105</v>
      </c>
      <c r="B129" s="60" t="s">
        <v>245</v>
      </c>
      <c r="C129" s="59" t="s">
        <v>181</v>
      </c>
      <c r="D129" s="62">
        <v>805</v>
      </c>
      <c r="E129" s="149">
        <v>197.58</v>
      </c>
      <c r="F129" s="81">
        <f t="shared" si="19"/>
        <v>159051.9</v>
      </c>
      <c r="G129" s="81">
        <f t="shared" si="20"/>
        <v>190862.28</v>
      </c>
      <c r="H129">
        <v>198</v>
      </c>
    </row>
    <row r="130" spans="1:9" ht="15.6" x14ac:dyDescent="0.3">
      <c r="A130" s="59">
        <f t="shared" si="21"/>
        <v>106</v>
      </c>
      <c r="B130" s="60" t="s">
        <v>411</v>
      </c>
      <c r="C130" s="59" t="s">
        <v>181</v>
      </c>
      <c r="D130" s="62">
        <v>42</v>
      </c>
      <c r="E130" s="149">
        <v>856.54</v>
      </c>
      <c r="F130" s="81">
        <f t="shared" si="19"/>
        <v>35974.68</v>
      </c>
      <c r="G130" s="81">
        <f t="shared" si="20"/>
        <v>43169.62</v>
      </c>
      <c r="H130">
        <v>899</v>
      </c>
    </row>
    <row r="131" spans="1:9" ht="27.6" x14ac:dyDescent="0.3">
      <c r="A131" s="59">
        <f t="shared" si="21"/>
        <v>107</v>
      </c>
      <c r="B131" s="60" t="s">
        <v>412</v>
      </c>
      <c r="C131" s="59" t="s">
        <v>218</v>
      </c>
      <c r="D131" s="63">
        <v>20.8</v>
      </c>
      <c r="E131" s="149">
        <v>67.760000000000005</v>
      </c>
      <c r="F131" s="81">
        <f t="shared" si="19"/>
        <v>1409.41</v>
      </c>
      <c r="G131" s="81">
        <f t="shared" si="20"/>
        <v>1691.29</v>
      </c>
      <c r="H131">
        <v>325</v>
      </c>
    </row>
    <row r="132" spans="1:9" ht="27.6" x14ac:dyDescent="0.3">
      <c r="A132" s="59">
        <f t="shared" si="21"/>
        <v>108</v>
      </c>
      <c r="B132" s="60" t="s">
        <v>374</v>
      </c>
      <c r="C132" s="59" t="s">
        <v>218</v>
      </c>
      <c r="D132" s="63">
        <v>20.8</v>
      </c>
      <c r="E132" s="149">
        <v>312.27999999999997</v>
      </c>
      <c r="F132" s="81">
        <f t="shared" si="19"/>
        <v>6495.42</v>
      </c>
      <c r="G132" s="81">
        <f t="shared" si="20"/>
        <v>7794.5</v>
      </c>
      <c r="H132">
        <v>3460</v>
      </c>
      <c r="I132" s="169" t="s">
        <v>461</v>
      </c>
    </row>
    <row r="133" spans="1:9" ht="22.5" customHeight="1" x14ac:dyDescent="0.3">
      <c r="A133" s="59"/>
      <c r="B133" s="58" t="s">
        <v>251</v>
      </c>
      <c r="C133" s="59"/>
      <c r="D133" s="63"/>
      <c r="E133" s="149"/>
      <c r="F133" s="81"/>
      <c r="G133" s="81"/>
    </row>
    <row r="134" spans="1:9" ht="27.6" x14ac:dyDescent="0.3">
      <c r="A134" s="59">
        <f>A132+1</f>
        <v>109</v>
      </c>
      <c r="B134" s="60" t="s">
        <v>424</v>
      </c>
      <c r="C134" s="59" t="s">
        <v>182</v>
      </c>
      <c r="D134" s="62">
        <v>23</v>
      </c>
      <c r="E134" s="149">
        <v>1045.03</v>
      </c>
      <c r="F134" s="81">
        <f t="shared" si="19"/>
        <v>24035.69</v>
      </c>
      <c r="G134" s="81">
        <f t="shared" si="20"/>
        <v>28842.83</v>
      </c>
    </row>
    <row r="135" spans="1:9" ht="41.4" x14ac:dyDescent="0.3">
      <c r="A135" s="59">
        <f>A134+1</f>
        <v>110</v>
      </c>
      <c r="B135" s="60" t="s">
        <v>431</v>
      </c>
      <c r="C135" s="59" t="s">
        <v>182</v>
      </c>
      <c r="D135" s="62">
        <v>6</v>
      </c>
      <c r="E135" s="149">
        <v>1960.07</v>
      </c>
      <c r="F135" s="81">
        <f t="shared" si="19"/>
        <v>11760.42</v>
      </c>
      <c r="G135" s="81">
        <f t="shared" si="20"/>
        <v>14112.5</v>
      </c>
    </row>
    <row r="136" spans="1:9" ht="41.4" x14ac:dyDescent="0.3">
      <c r="A136" s="59">
        <f t="shared" ref="A136:A139" si="22">A135+1</f>
        <v>111</v>
      </c>
      <c r="B136" s="60" t="s">
        <v>426</v>
      </c>
      <c r="C136" s="59" t="s">
        <v>207</v>
      </c>
      <c r="D136" s="62">
        <v>4</v>
      </c>
      <c r="E136" s="149">
        <v>1871.49</v>
      </c>
      <c r="F136" s="81">
        <f t="shared" si="19"/>
        <v>7485.96</v>
      </c>
      <c r="G136" s="81">
        <f t="shared" si="20"/>
        <v>8983.15</v>
      </c>
    </row>
    <row r="137" spans="1:9" ht="41.4" x14ac:dyDescent="0.3">
      <c r="A137" s="59">
        <f t="shared" si="22"/>
        <v>112</v>
      </c>
      <c r="B137" s="60" t="s">
        <v>427</v>
      </c>
      <c r="C137" s="59" t="s">
        <v>207</v>
      </c>
      <c r="D137" s="62">
        <v>4</v>
      </c>
      <c r="E137" s="149">
        <v>6085.15</v>
      </c>
      <c r="F137" s="81">
        <f t="shared" si="19"/>
        <v>24340.6</v>
      </c>
      <c r="G137" s="81">
        <f t="shared" si="20"/>
        <v>29208.720000000001</v>
      </c>
    </row>
    <row r="138" spans="1:9" ht="27.6" x14ac:dyDescent="0.3">
      <c r="A138" s="59">
        <f t="shared" si="22"/>
        <v>113</v>
      </c>
      <c r="B138" s="60" t="s">
        <v>388</v>
      </c>
      <c r="C138" s="59" t="s">
        <v>207</v>
      </c>
      <c r="D138" s="62">
        <v>1</v>
      </c>
      <c r="E138" s="149">
        <v>3397.31</v>
      </c>
      <c r="F138" s="81">
        <f t="shared" si="19"/>
        <v>3397.31</v>
      </c>
      <c r="G138" s="81">
        <f t="shared" si="20"/>
        <v>4076.77</v>
      </c>
    </row>
    <row r="139" spans="1:9" ht="27.6" x14ac:dyDescent="0.3">
      <c r="A139" s="59">
        <f t="shared" si="22"/>
        <v>114</v>
      </c>
      <c r="B139" s="60" t="s">
        <v>389</v>
      </c>
      <c r="C139" s="59" t="s">
        <v>463</v>
      </c>
      <c r="D139" s="62">
        <v>1</v>
      </c>
      <c r="E139" s="149">
        <v>30624.26</v>
      </c>
      <c r="F139" s="81">
        <f t="shared" si="19"/>
        <v>30624.26</v>
      </c>
      <c r="G139" s="81">
        <f t="shared" si="20"/>
        <v>36749.11</v>
      </c>
    </row>
    <row r="140" spans="1:9" ht="34.5" customHeight="1" x14ac:dyDescent="0.3">
      <c r="A140" s="134"/>
      <c r="B140" s="448" t="s">
        <v>281</v>
      </c>
      <c r="C140" s="449"/>
      <c r="D140" s="450"/>
      <c r="E140" s="135"/>
      <c r="F140" s="136"/>
      <c r="G140" s="146"/>
    </row>
    <row r="141" spans="1:9" ht="25.5" customHeight="1" x14ac:dyDescent="0.3">
      <c r="A141" s="59"/>
      <c r="B141" s="58" t="s">
        <v>247</v>
      </c>
      <c r="C141" s="59"/>
      <c r="D141" s="62"/>
      <c r="E141" s="73"/>
      <c r="F141" s="141"/>
      <c r="G141" s="147"/>
    </row>
    <row r="142" spans="1:9" ht="27.6" x14ac:dyDescent="0.3">
      <c r="A142" s="59">
        <f>A139+1</f>
        <v>115</v>
      </c>
      <c r="B142" s="60" t="s">
        <v>369</v>
      </c>
      <c r="C142" s="59" t="s">
        <v>181</v>
      </c>
      <c r="D142" s="62">
        <v>845</v>
      </c>
      <c r="E142" s="149">
        <v>90.47</v>
      </c>
      <c r="F142" s="81">
        <f t="shared" ref="F142:F162" si="23">ROUND(E142*D142,2)</f>
        <v>76447.149999999994</v>
      </c>
      <c r="G142" s="81">
        <f t="shared" ref="G142:G162" si="24">ROUND(F142*1.2,2)</f>
        <v>91736.58</v>
      </c>
      <c r="H142">
        <v>325</v>
      </c>
    </row>
    <row r="143" spans="1:9" ht="15.6" x14ac:dyDescent="0.3">
      <c r="A143" s="59">
        <f>A142+1</f>
        <v>116</v>
      </c>
      <c r="B143" s="60" t="s">
        <v>370</v>
      </c>
      <c r="C143" s="59" t="s">
        <v>181</v>
      </c>
      <c r="D143" s="62">
        <v>25</v>
      </c>
      <c r="E143" s="149">
        <v>1860.11</v>
      </c>
      <c r="F143" s="81">
        <f t="shared" si="23"/>
        <v>46502.75</v>
      </c>
      <c r="G143" s="81">
        <f t="shared" si="24"/>
        <v>55803.3</v>
      </c>
      <c r="H143">
        <v>1777</v>
      </c>
    </row>
    <row r="144" spans="1:9" ht="15.6" x14ac:dyDescent="0.3">
      <c r="A144" s="59">
        <f>A143+1</f>
        <v>117</v>
      </c>
      <c r="B144" s="60" t="s">
        <v>371</v>
      </c>
      <c r="C144" s="59" t="s">
        <v>181</v>
      </c>
      <c r="D144" s="62">
        <v>37</v>
      </c>
      <c r="E144" s="149">
        <v>1155.67</v>
      </c>
      <c r="F144" s="81">
        <f t="shared" si="23"/>
        <v>42759.79</v>
      </c>
      <c r="G144" s="81">
        <f t="shared" si="24"/>
        <v>51311.75</v>
      </c>
    </row>
    <row r="145" spans="1:9" ht="15.6" x14ac:dyDescent="0.3">
      <c r="A145" s="59">
        <f t="shared" ref="A145:A151" si="25">A144+1</f>
        <v>118</v>
      </c>
      <c r="B145" s="60" t="s">
        <v>250</v>
      </c>
      <c r="C145" s="59" t="s">
        <v>181</v>
      </c>
      <c r="D145" s="62">
        <v>5</v>
      </c>
      <c r="E145" s="149">
        <v>1456.65</v>
      </c>
      <c r="F145" s="81">
        <f t="shared" si="23"/>
        <v>7283.25</v>
      </c>
      <c r="G145" s="81">
        <f t="shared" si="24"/>
        <v>8739.9</v>
      </c>
      <c r="H145">
        <v>1379</v>
      </c>
    </row>
    <row r="146" spans="1:9" ht="15.6" x14ac:dyDescent="0.3">
      <c r="A146" s="59">
        <f t="shared" si="25"/>
        <v>119</v>
      </c>
      <c r="B146" s="60" t="s">
        <v>372</v>
      </c>
      <c r="C146" s="59" t="s">
        <v>181</v>
      </c>
      <c r="D146" s="62">
        <v>37</v>
      </c>
      <c r="E146" s="149">
        <v>856.54</v>
      </c>
      <c r="F146" s="81">
        <f t="shared" si="23"/>
        <v>31691.98</v>
      </c>
      <c r="G146" s="81">
        <f t="shared" si="24"/>
        <v>38030.379999999997</v>
      </c>
      <c r="H146">
        <v>1379</v>
      </c>
    </row>
    <row r="147" spans="1:9" ht="15.6" x14ac:dyDescent="0.3">
      <c r="A147" s="59">
        <f t="shared" si="25"/>
        <v>120</v>
      </c>
      <c r="B147" s="60" t="s">
        <v>410</v>
      </c>
      <c r="C147" s="59" t="s">
        <v>181</v>
      </c>
      <c r="D147" s="62">
        <v>761</v>
      </c>
      <c r="E147" s="149">
        <v>9.73</v>
      </c>
      <c r="F147" s="81">
        <f t="shared" si="23"/>
        <v>7404.53</v>
      </c>
      <c r="G147" s="81">
        <f t="shared" si="24"/>
        <v>8885.44</v>
      </c>
      <c r="H147">
        <v>125</v>
      </c>
    </row>
    <row r="148" spans="1:9" ht="15.6" x14ac:dyDescent="0.3">
      <c r="A148" s="59">
        <f t="shared" si="25"/>
        <v>121</v>
      </c>
      <c r="B148" s="60" t="s">
        <v>245</v>
      </c>
      <c r="C148" s="59" t="s">
        <v>181</v>
      </c>
      <c r="D148" s="62">
        <v>761</v>
      </c>
      <c r="E148" s="149">
        <v>197.58</v>
      </c>
      <c r="F148" s="81">
        <f t="shared" si="23"/>
        <v>150358.38</v>
      </c>
      <c r="G148" s="81">
        <f t="shared" si="24"/>
        <v>180430.06</v>
      </c>
      <c r="H148">
        <v>198</v>
      </c>
    </row>
    <row r="149" spans="1:9" ht="15.6" x14ac:dyDescent="0.3">
      <c r="A149" s="59">
        <f t="shared" si="25"/>
        <v>122</v>
      </c>
      <c r="B149" s="60" t="s">
        <v>411</v>
      </c>
      <c r="C149" s="59" t="s">
        <v>181</v>
      </c>
      <c r="D149" s="62">
        <v>40</v>
      </c>
      <c r="E149" s="149">
        <v>856.54</v>
      </c>
      <c r="F149" s="81">
        <f t="shared" si="23"/>
        <v>34261.599999999999</v>
      </c>
      <c r="G149" s="81">
        <f t="shared" si="24"/>
        <v>41113.919999999998</v>
      </c>
      <c r="H149">
        <v>899</v>
      </c>
    </row>
    <row r="150" spans="1:9" ht="27.6" x14ac:dyDescent="0.3">
      <c r="A150" s="59">
        <f t="shared" si="25"/>
        <v>123</v>
      </c>
      <c r="B150" s="60" t="s">
        <v>412</v>
      </c>
      <c r="C150" s="59" t="s">
        <v>218</v>
      </c>
      <c r="D150" s="63">
        <v>110.4</v>
      </c>
      <c r="E150" s="149">
        <v>67.760000000000005</v>
      </c>
      <c r="F150" s="81">
        <f t="shared" si="23"/>
        <v>7480.7</v>
      </c>
      <c r="G150" s="81">
        <f t="shared" si="24"/>
        <v>8976.84</v>
      </c>
      <c r="H150">
        <v>325</v>
      </c>
    </row>
    <row r="151" spans="1:9" ht="27.6" x14ac:dyDescent="0.3">
      <c r="A151" s="59">
        <f t="shared" si="25"/>
        <v>124</v>
      </c>
      <c r="B151" s="60" t="s">
        <v>374</v>
      </c>
      <c r="C151" s="59" t="s">
        <v>218</v>
      </c>
      <c r="D151" s="63">
        <v>110.4</v>
      </c>
      <c r="E151" s="149">
        <v>312.27999999999997</v>
      </c>
      <c r="F151" s="81">
        <f t="shared" si="23"/>
        <v>34475.71</v>
      </c>
      <c r="G151" s="81">
        <f t="shared" si="24"/>
        <v>41370.85</v>
      </c>
      <c r="H151">
        <v>3460</v>
      </c>
      <c r="I151" s="169" t="s">
        <v>461</v>
      </c>
    </row>
    <row r="152" spans="1:9" ht="22.5" customHeight="1" x14ac:dyDescent="0.3">
      <c r="A152" s="59"/>
      <c r="B152" s="58" t="s">
        <v>251</v>
      </c>
      <c r="C152" s="59"/>
      <c r="D152" s="62"/>
      <c r="E152" s="149"/>
      <c r="F152" s="81"/>
      <c r="G152" s="81"/>
    </row>
    <row r="153" spans="1:9" ht="27.6" x14ac:dyDescent="0.3">
      <c r="A153" s="59">
        <f>A151+1</f>
        <v>125</v>
      </c>
      <c r="B153" s="60" t="s">
        <v>432</v>
      </c>
      <c r="C153" s="59" t="s">
        <v>182</v>
      </c>
      <c r="D153" s="62">
        <v>31</v>
      </c>
      <c r="E153" s="149">
        <v>4746.51</v>
      </c>
      <c r="F153" s="81">
        <f t="shared" si="23"/>
        <v>147141.81</v>
      </c>
      <c r="G153" s="81">
        <f t="shared" si="24"/>
        <v>176570.17</v>
      </c>
    </row>
    <row r="154" spans="1:9" ht="41.4" x14ac:dyDescent="0.3">
      <c r="A154" s="59">
        <f t="shared" ref="A154:A162" si="26">A153+1</f>
        <v>126</v>
      </c>
      <c r="B154" s="60" t="s">
        <v>433</v>
      </c>
      <c r="C154" s="59" t="s">
        <v>182</v>
      </c>
      <c r="D154" s="62">
        <v>6</v>
      </c>
      <c r="E154" s="149">
        <v>8366.0300000000007</v>
      </c>
      <c r="F154" s="81">
        <f t="shared" si="23"/>
        <v>50196.18</v>
      </c>
      <c r="G154" s="81">
        <f t="shared" si="24"/>
        <v>60235.42</v>
      </c>
    </row>
    <row r="155" spans="1:9" ht="41.4" x14ac:dyDescent="0.3">
      <c r="A155" s="59">
        <f t="shared" si="26"/>
        <v>127</v>
      </c>
      <c r="B155" s="60" t="s">
        <v>434</v>
      </c>
      <c r="C155" s="59" t="s">
        <v>207</v>
      </c>
      <c r="D155" s="62">
        <v>2</v>
      </c>
      <c r="E155" s="149">
        <v>8222.4699999999993</v>
      </c>
      <c r="F155" s="81">
        <f t="shared" si="23"/>
        <v>16444.939999999999</v>
      </c>
      <c r="G155" s="81">
        <f t="shared" si="24"/>
        <v>19733.93</v>
      </c>
    </row>
    <row r="156" spans="1:9" ht="41.4" x14ac:dyDescent="0.3">
      <c r="A156" s="59">
        <f t="shared" si="26"/>
        <v>128</v>
      </c>
      <c r="B156" s="60" t="s">
        <v>435</v>
      </c>
      <c r="C156" s="59" t="s">
        <v>207</v>
      </c>
      <c r="D156" s="62">
        <v>2</v>
      </c>
      <c r="E156" s="149">
        <v>19742.93</v>
      </c>
      <c r="F156" s="81">
        <f t="shared" si="23"/>
        <v>39485.86</v>
      </c>
      <c r="G156" s="81">
        <f t="shared" si="24"/>
        <v>47383.03</v>
      </c>
    </row>
    <row r="157" spans="1:9" ht="27.6" x14ac:dyDescent="0.3">
      <c r="A157" s="59">
        <f t="shared" si="26"/>
        <v>129</v>
      </c>
      <c r="B157" s="60" t="s">
        <v>436</v>
      </c>
      <c r="C157" s="59" t="s">
        <v>207</v>
      </c>
      <c r="D157" s="62">
        <v>1</v>
      </c>
      <c r="E157" s="149">
        <v>17698.82</v>
      </c>
      <c r="F157" s="81">
        <f t="shared" si="23"/>
        <v>17698.82</v>
      </c>
      <c r="G157" s="81">
        <f t="shared" si="24"/>
        <v>21238.58</v>
      </c>
    </row>
    <row r="158" spans="1:9" ht="27.6" x14ac:dyDescent="0.3">
      <c r="A158" s="59">
        <f t="shared" si="26"/>
        <v>130</v>
      </c>
      <c r="B158" s="60" t="s">
        <v>389</v>
      </c>
      <c r="C158" s="59" t="s">
        <v>463</v>
      </c>
      <c r="D158" s="62">
        <v>1</v>
      </c>
      <c r="E158" s="149">
        <v>124950.66</v>
      </c>
      <c r="F158" s="81">
        <f t="shared" si="23"/>
        <v>124950.66</v>
      </c>
      <c r="G158" s="81">
        <f t="shared" si="24"/>
        <v>149940.79</v>
      </c>
    </row>
    <row r="159" spans="1:9" ht="23.25" customHeight="1" x14ac:dyDescent="0.3">
      <c r="A159" s="59"/>
      <c r="B159" s="58" t="s">
        <v>395</v>
      </c>
      <c r="C159" s="59"/>
      <c r="D159" s="62"/>
      <c r="E159" s="149"/>
      <c r="F159" s="81"/>
      <c r="G159" s="81"/>
    </row>
    <row r="160" spans="1:9" ht="15.6" x14ac:dyDescent="0.3">
      <c r="A160" s="59">
        <f>A158+1</f>
        <v>131</v>
      </c>
      <c r="B160" s="60" t="s">
        <v>437</v>
      </c>
      <c r="C160" s="59" t="s">
        <v>182</v>
      </c>
      <c r="D160" s="62">
        <v>31</v>
      </c>
      <c r="E160" s="149">
        <v>2354.06</v>
      </c>
      <c r="F160" s="81">
        <f t="shared" si="23"/>
        <v>72975.86</v>
      </c>
      <c r="G160" s="81">
        <f t="shared" si="24"/>
        <v>87571.03</v>
      </c>
    </row>
    <row r="161" spans="1:9" ht="15.6" x14ac:dyDescent="0.3">
      <c r="A161" s="59">
        <f t="shared" si="26"/>
        <v>132</v>
      </c>
      <c r="B161" s="60" t="s">
        <v>438</v>
      </c>
      <c r="C161" s="59" t="s">
        <v>218</v>
      </c>
      <c r="D161" s="62">
        <v>31</v>
      </c>
      <c r="E161" s="149">
        <v>436.17</v>
      </c>
      <c r="F161" s="81">
        <f t="shared" si="23"/>
        <v>13521.27</v>
      </c>
      <c r="G161" s="81">
        <f t="shared" si="24"/>
        <v>16225.52</v>
      </c>
    </row>
    <row r="162" spans="1:9" ht="15.6" x14ac:dyDescent="0.3">
      <c r="A162" s="59">
        <f t="shared" si="26"/>
        <v>133</v>
      </c>
      <c r="B162" s="67" t="s">
        <v>422</v>
      </c>
      <c r="C162" s="59" t="s">
        <v>218</v>
      </c>
      <c r="D162" s="62">
        <v>31</v>
      </c>
      <c r="E162" s="149">
        <v>312.27999999999997</v>
      </c>
      <c r="F162" s="81">
        <f t="shared" si="23"/>
        <v>9680.68</v>
      </c>
      <c r="G162" s="81">
        <f t="shared" si="24"/>
        <v>11616.82</v>
      </c>
    </row>
    <row r="163" spans="1:9" ht="32.25" customHeight="1" x14ac:dyDescent="0.3">
      <c r="A163" s="134"/>
      <c r="B163" s="448" t="s">
        <v>282</v>
      </c>
      <c r="C163" s="449"/>
      <c r="D163" s="450"/>
      <c r="E163" s="135"/>
      <c r="F163" s="136"/>
      <c r="G163" s="146"/>
    </row>
    <row r="164" spans="1:9" x14ac:dyDescent="0.3">
      <c r="A164" s="59"/>
      <c r="B164" s="58" t="s">
        <v>247</v>
      </c>
      <c r="C164" s="59"/>
      <c r="D164" s="62"/>
      <c r="E164" s="144"/>
      <c r="F164" s="141"/>
      <c r="G164" s="147"/>
    </row>
    <row r="165" spans="1:9" ht="27.6" x14ac:dyDescent="0.3">
      <c r="A165" s="59">
        <f>A162+1</f>
        <v>134</v>
      </c>
      <c r="B165" s="60" t="s">
        <v>369</v>
      </c>
      <c r="C165" s="59" t="s">
        <v>181</v>
      </c>
      <c r="D165" s="62">
        <v>177</v>
      </c>
      <c r="E165" s="149">
        <v>90.47</v>
      </c>
      <c r="F165" s="81">
        <f t="shared" ref="F165:F185" si="27">ROUND(E165*D165,2)</f>
        <v>16013.19</v>
      </c>
      <c r="G165" s="81">
        <f t="shared" ref="G165:G185" si="28">ROUND(F165*1.2,2)</f>
        <v>19215.830000000002</v>
      </c>
      <c r="H165">
        <v>325</v>
      </c>
    </row>
    <row r="166" spans="1:9" ht="15.6" x14ac:dyDescent="0.3">
      <c r="A166" s="59">
        <f>A165+1</f>
        <v>135</v>
      </c>
      <c r="B166" s="60" t="s">
        <v>370</v>
      </c>
      <c r="C166" s="59" t="s">
        <v>181</v>
      </c>
      <c r="D166" s="62">
        <v>5</v>
      </c>
      <c r="E166" s="149">
        <v>1860.11</v>
      </c>
      <c r="F166" s="81">
        <f t="shared" si="27"/>
        <v>9300.5499999999993</v>
      </c>
      <c r="G166" s="81">
        <f t="shared" si="28"/>
        <v>11160.66</v>
      </c>
      <c r="H166">
        <v>1777</v>
      </c>
    </row>
    <row r="167" spans="1:9" ht="15.6" x14ac:dyDescent="0.3">
      <c r="A167" s="59">
        <f t="shared" ref="A167:A174" si="29">A166+1</f>
        <v>136</v>
      </c>
      <c r="B167" s="60" t="s">
        <v>371</v>
      </c>
      <c r="C167" s="59" t="s">
        <v>181</v>
      </c>
      <c r="D167" s="62">
        <v>23</v>
      </c>
      <c r="E167" s="149">
        <v>1155.67</v>
      </c>
      <c r="F167" s="81">
        <f t="shared" si="27"/>
        <v>26580.41</v>
      </c>
      <c r="G167" s="81">
        <f t="shared" si="28"/>
        <v>31896.49</v>
      </c>
    </row>
    <row r="168" spans="1:9" ht="15.6" x14ac:dyDescent="0.3">
      <c r="A168" s="59">
        <f t="shared" si="29"/>
        <v>137</v>
      </c>
      <c r="B168" s="60" t="s">
        <v>250</v>
      </c>
      <c r="C168" s="59" t="s">
        <v>181</v>
      </c>
      <c r="D168" s="62">
        <v>3</v>
      </c>
      <c r="E168" s="149">
        <v>1456.66</v>
      </c>
      <c r="F168" s="81">
        <f t="shared" si="27"/>
        <v>4369.9799999999996</v>
      </c>
      <c r="G168" s="81">
        <f t="shared" si="28"/>
        <v>5243.98</v>
      </c>
      <c r="H168">
        <v>1379</v>
      </c>
    </row>
    <row r="169" spans="1:9" ht="15.6" x14ac:dyDescent="0.3">
      <c r="A169" s="59">
        <f t="shared" si="29"/>
        <v>138</v>
      </c>
      <c r="B169" s="60" t="s">
        <v>372</v>
      </c>
      <c r="C169" s="59" t="s">
        <v>181</v>
      </c>
      <c r="D169" s="63">
        <v>23</v>
      </c>
      <c r="E169" s="149">
        <v>856.54</v>
      </c>
      <c r="F169" s="81">
        <f t="shared" si="27"/>
        <v>19700.419999999998</v>
      </c>
      <c r="G169" s="81">
        <f t="shared" si="28"/>
        <v>23640.5</v>
      </c>
      <c r="H169">
        <v>1379</v>
      </c>
    </row>
    <row r="170" spans="1:9" ht="15.6" x14ac:dyDescent="0.3">
      <c r="A170" s="59">
        <f t="shared" si="29"/>
        <v>139</v>
      </c>
      <c r="B170" s="60" t="s">
        <v>410</v>
      </c>
      <c r="C170" s="59" t="s">
        <v>181</v>
      </c>
      <c r="D170" s="62">
        <v>138</v>
      </c>
      <c r="E170" s="149">
        <v>9.73</v>
      </c>
      <c r="F170" s="81">
        <f t="shared" si="27"/>
        <v>1342.74</v>
      </c>
      <c r="G170" s="81">
        <f t="shared" si="28"/>
        <v>1611.29</v>
      </c>
      <c r="H170">
        <v>125</v>
      </c>
    </row>
    <row r="171" spans="1:9" ht="15.6" x14ac:dyDescent="0.3">
      <c r="A171" s="59">
        <f t="shared" si="29"/>
        <v>140</v>
      </c>
      <c r="B171" s="60" t="s">
        <v>245</v>
      </c>
      <c r="C171" s="59" t="s">
        <v>181</v>
      </c>
      <c r="D171" s="62">
        <v>138</v>
      </c>
      <c r="E171" s="149">
        <v>197.58</v>
      </c>
      <c r="F171" s="81">
        <f t="shared" si="27"/>
        <v>27266.04</v>
      </c>
      <c r="G171" s="81">
        <f t="shared" si="28"/>
        <v>32719.25</v>
      </c>
      <c r="H171">
        <v>198</v>
      </c>
    </row>
    <row r="172" spans="1:9" ht="15.6" x14ac:dyDescent="0.3">
      <c r="A172" s="59">
        <f t="shared" si="29"/>
        <v>141</v>
      </c>
      <c r="B172" s="60" t="s">
        <v>411</v>
      </c>
      <c r="C172" s="59" t="s">
        <v>181</v>
      </c>
      <c r="D172" s="62">
        <v>7</v>
      </c>
      <c r="E172" s="149">
        <v>856.54</v>
      </c>
      <c r="F172" s="81">
        <f t="shared" si="27"/>
        <v>5995.78</v>
      </c>
      <c r="G172" s="81">
        <f t="shared" si="28"/>
        <v>7194.94</v>
      </c>
      <c r="H172">
        <v>899</v>
      </c>
    </row>
    <row r="173" spans="1:9" ht="27.6" x14ac:dyDescent="0.3">
      <c r="A173" s="59">
        <f t="shared" si="29"/>
        <v>142</v>
      </c>
      <c r="B173" s="60" t="s">
        <v>412</v>
      </c>
      <c r="C173" s="59" t="s">
        <v>218</v>
      </c>
      <c r="D173" s="63">
        <v>59.2</v>
      </c>
      <c r="E173" s="149">
        <v>67.760000000000005</v>
      </c>
      <c r="F173" s="81">
        <f t="shared" si="27"/>
        <v>4011.39</v>
      </c>
      <c r="G173" s="81">
        <f t="shared" si="28"/>
        <v>4813.67</v>
      </c>
      <c r="H173">
        <v>325</v>
      </c>
    </row>
    <row r="174" spans="1:9" ht="27.6" x14ac:dyDescent="0.3">
      <c r="A174" s="59">
        <f t="shared" si="29"/>
        <v>143</v>
      </c>
      <c r="B174" s="60" t="s">
        <v>374</v>
      </c>
      <c r="C174" s="59" t="s">
        <v>218</v>
      </c>
      <c r="D174" s="63">
        <v>59.2</v>
      </c>
      <c r="E174" s="149">
        <v>312.27999999999997</v>
      </c>
      <c r="F174" s="81">
        <f t="shared" si="27"/>
        <v>18486.98</v>
      </c>
      <c r="G174" s="81">
        <f t="shared" si="28"/>
        <v>22184.38</v>
      </c>
      <c r="H174">
        <v>3460</v>
      </c>
      <c r="I174" s="169" t="s">
        <v>461</v>
      </c>
    </row>
    <row r="175" spans="1:9" ht="26.25" customHeight="1" x14ac:dyDescent="0.3">
      <c r="A175" s="59"/>
      <c r="B175" s="58" t="s">
        <v>251</v>
      </c>
      <c r="C175" s="59"/>
      <c r="D175" s="62"/>
      <c r="E175" s="149"/>
      <c r="F175" s="81"/>
      <c r="G175" s="81"/>
    </row>
    <row r="176" spans="1:9" ht="27.6" x14ac:dyDescent="0.3">
      <c r="A176" s="59">
        <f>A174+1</f>
        <v>144</v>
      </c>
      <c r="B176" s="60" t="s">
        <v>439</v>
      </c>
      <c r="C176" s="59" t="s">
        <v>182</v>
      </c>
      <c r="D176" s="62">
        <v>31</v>
      </c>
      <c r="E176" s="149">
        <v>2864.48</v>
      </c>
      <c r="F176" s="81">
        <f t="shared" si="27"/>
        <v>88798.88</v>
      </c>
      <c r="G176" s="81">
        <f t="shared" si="28"/>
        <v>106558.66</v>
      </c>
    </row>
    <row r="177" spans="1:8" ht="41.4" x14ac:dyDescent="0.3">
      <c r="A177" s="59">
        <f>A176+1</f>
        <v>145</v>
      </c>
      <c r="B177" s="60" t="s">
        <v>440</v>
      </c>
      <c r="C177" s="59" t="s">
        <v>182</v>
      </c>
      <c r="D177" s="62">
        <v>6</v>
      </c>
      <c r="E177" s="149">
        <v>4021.61</v>
      </c>
      <c r="F177" s="81">
        <f t="shared" si="27"/>
        <v>24129.66</v>
      </c>
      <c r="G177" s="81">
        <f t="shared" si="28"/>
        <v>28955.59</v>
      </c>
    </row>
    <row r="178" spans="1:8" ht="41.4" x14ac:dyDescent="0.3">
      <c r="A178" s="59">
        <f t="shared" ref="A178:A181" si="30">A177+1</f>
        <v>146</v>
      </c>
      <c r="B178" s="60" t="s">
        <v>441</v>
      </c>
      <c r="C178" s="59" t="s">
        <v>207</v>
      </c>
      <c r="D178" s="62">
        <v>2</v>
      </c>
      <c r="E178" s="149">
        <v>5203.95</v>
      </c>
      <c r="F178" s="81">
        <f t="shared" si="27"/>
        <v>10407.9</v>
      </c>
      <c r="G178" s="81">
        <f t="shared" si="28"/>
        <v>12489.48</v>
      </c>
    </row>
    <row r="179" spans="1:8" ht="41.4" x14ac:dyDescent="0.3">
      <c r="A179" s="59">
        <f t="shared" si="30"/>
        <v>147</v>
      </c>
      <c r="B179" s="60" t="s">
        <v>442</v>
      </c>
      <c r="C179" s="59" t="s">
        <v>207</v>
      </c>
      <c r="D179" s="62">
        <v>2</v>
      </c>
      <c r="E179" s="149">
        <v>12511.09</v>
      </c>
      <c r="F179" s="81">
        <f t="shared" si="27"/>
        <v>25022.18</v>
      </c>
      <c r="G179" s="81">
        <f t="shared" si="28"/>
        <v>30026.62</v>
      </c>
    </row>
    <row r="180" spans="1:8" ht="27.6" x14ac:dyDescent="0.3">
      <c r="A180" s="59">
        <f t="shared" si="30"/>
        <v>148</v>
      </c>
      <c r="B180" s="60" t="s">
        <v>388</v>
      </c>
      <c r="C180" s="59" t="s">
        <v>207</v>
      </c>
      <c r="D180" s="63">
        <v>1</v>
      </c>
      <c r="E180" s="149">
        <v>9227.06</v>
      </c>
      <c r="F180" s="81">
        <f t="shared" si="27"/>
        <v>9227.06</v>
      </c>
      <c r="G180" s="81">
        <f t="shared" si="28"/>
        <v>11072.47</v>
      </c>
    </row>
    <row r="181" spans="1:8" ht="27.6" x14ac:dyDescent="0.3">
      <c r="A181" s="59">
        <f t="shared" si="30"/>
        <v>149</v>
      </c>
      <c r="B181" s="60" t="s">
        <v>389</v>
      </c>
      <c r="C181" s="59" t="s">
        <v>463</v>
      </c>
      <c r="D181" s="62">
        <v>1</v>
      </c>
      <c r="E181" s="149">
        <v>70121.429999999993</v>
      </c>
      <c r="F181" s="81">
        <f t="shared" si="27"/>
        <v>70121.429999999993</v>
      </c>
      <c r="G181" s="81">
        <f t="shared" si="28"/>
        <v>84145.72</v>
      </c>
    </row>
    <row r="182" spans="1:8" ht="21.75" customHeight="1" x14ac:dyDescent="0.3">
      <c r="A182" s="59"/>
      <c r="B182" s="58" t="s">
        <v>395</v>
      </c>
      <c r="C182" s="59"/>
      <c r="D182" s="62"/>
      <c r="E182" s="149"/>
      <c r="F182" s="81"/>
      <c r="G182" s="81"/>
    </row>
    <row r="183" spans="1:8" ht="15.6" x14ac:dyDescent="0.3">
      <c r="A183" s="59">
        <f>A181+1</f>
        <v>150</v>
      </c>
      <c r="B183" s="60" t="s">
        <v>443</v>
      </c>
      <c r="C183" s="59" t="s">
        <v>182</v>
      </c>
      <c r="D183" s="62">
        <v>31</v>
      </c>
      <c r="E183" s="149">
        <v>1334.42</v>
      </c>
      <c r="F183" s="81">
        <f t="shared" si="27"/>
        <v>41367.019999999997</v>
      </c>
      <c r="G183" s="81">
        <f t="shared" si="28"/>
        <v>49640.42</v>
      </c>
    </row>
    <row r="184" spans="1:8" ht="15.6" x14ac:dyDescent="0.3">
      <c r="A184" s="59">
        <f>A183+1</f>
        <v>151</v>
      </c>
      <c r="B184" s="60" t="s">
        <v>438</v>
      </c>
      <c r="C184" s="59" t="s">
        <v>218</v>
      </c>
      <c r="D184" s="62">
        <v>14</v>
      </c>
      <c r="E184" s="149">
        <v>436.17</v>
      </c>
      <c r="F184" s="81">
        <f t="shared" si="27"/>
        <v>6106.38</v>
      </c>
      <c r="G184" s="81">
        <f t="shared" si="28"/>
        <v>7327.66</v>
      </c>
    </row>
    <row r="185" spans="1:8" ht="15.6" x14ac:dyDescent="0.3">
      <c r="A185" s="59">
        <f>A184+1</f>
        <v>152</v>
      </c>
      <c r="B185" s="60" t="s">
        <v>429</v>
      </c>
      <c r="C185" s="59" t="s">
        <v>218</v>
      </c>
      <c r="D185" s="62">
        <v>14</v>
      </c>
      <c r="E185" s="149">
        <v>312.27999999999997</v>
      </c>
      <c r="F185" s="81">
        <f t="shared" si="27"/>
        <v>4371.92</v>
      </c>
      <c r="G185" s="81">
        <f t="shared" si="28"/>
        <v>5246.3</v>
      </c>
    </row>
    <row r="186" spans="1:8" ht="29.25" customHeight="1" x14ac:dyDescent="0.3">
      <c r="A186" s="134"/>
      <c r="B186" s="448" t="s">
        <v>283</v>
      </c>
      <c r="C186" s="449"/>
      <c r="D186" s="450"/>
      <c r="E186" s="135"/>
      <c r="F186" s="136"/>
      <c r="G186" s="146"/>
    </row>
    <row r="187" spans="1:8" x14ac:dyDescent="0.3">
      <c r="A187" s="59"/>
      <c r="B187" s="58" t="s">
        <v>247</v>
      </c>
      <c r="C187" s="59"/>
      <c r="D187" s="62"/>
      <c r="E187" s="144"/>
      <c r="F187" s="141"/>
      <c r="G187" s="147"/>
    </row>
    <row r="188" spans="1:8" ht="27.6" x14ac:dyDescent="0.3">
      <c r="A188" s="59">
        <f>A185+1</f>
        <v>153</v>
      </c>
      <c r="B188" s="60" t="s">
        <v>369</v>
      </c>
      <c r="C188" s="59" t="s">
        <v>181</v>
      </c>
      <c r="D188" s="62">
        <v>595</v>
      </c>
      <c r="E188" s="149">
        <v>90.47</v>
      </c>
      <c r="F188" s="81">
        <f t="shared" ref="F188:F208" si="31">ROUND(E188*D188,2)</f>
        <v>53829.65</v>
      </c>
      <c r="G188" s="81">
        <f t="shared" ref="G188" si="32">ROUND(F188*1.2,2)</f>
        <v>64595.58</v>
      </c>
      <c r="H188">
        <v>325</v>
      </c>
    </row>
    <row r="189" spans="1:8" ht="15.6" x14ac:dyDescent="0.3">
      <c r="A189" s="59">
        <f>A188+1</f>
        <v>154</v>
      </c>
      <c r="B189" s="60" t="s">
        <v>370</v>
      </c>
      <c r="C189" s="59" t="s">
        <v>181</v>
      </c>
      <c r="D189" s="62">
        <v>18</v>
      </c>
      <c r="E189" s="149">
        <v>1860.11</v>
      </c>
      <c r="F189" s="81">
        <f t="shared" si="31"/>
        <v>33481.980000000003</v>
      </c>
      <c r="G189" s="81">
        <f t="shared" ref="G189:G197" si="33">ROUND(F189*1.2,2)</f>
        <v>40178.379999999997</v>
      </c>
      <c r="H189">
        <v>1777</v>
      </c>
    </row>
    <row r="190" spans="1:8" ht="15.6" x14ac:dyDescent="0.3">
      <c r="A190" s="59">
        <f t="shared" ref="A190:A197" si="34">A189+1</f>
        <v>155</v>
      </c>
      <c r="B190" s="60" t="s">
        <v>371</v>
      </c>
      <c r="C190" s="59" t="s">
        <v>181</v>
      </c>
      <c r="D190" s="62">
        <v>13</v>
      </c>
      <c r="E190" s="149">
        <v>1155.67</v>
      </c>
      <c r="F190" s="81">
        <f t="shared" si="31"/>
        <v>15023.71</v>
      </c>
      <c r="G190" s="81">
        <f t="shared" si="33"/>
        <v>18028.45</v>
      </c>
    </row>
    <row r="191" spans="1:8" ht="15.6" x14ac:dyDescent="0.3">
      <c r="A191" s="59">
        <f t="shared" si="34"/>
        <v>156</v>
      </c>
      <c r="B191" s="60" t="s">
        <v>250</v>
      </c>
      <c r="C191" s="59" t="s">
        <v>181</v>
      </c>
      <c r="D191" s="62">
        <v>2</v>
      </c>
      <c r="E191" s="149">
        <v>1456.66</v>
      </c>
      <c r="F191" s="81">
        <f t="shared" si="31"/>
        <v>2913.32</v>
      </c>
      <c r="G191" s="81">
        <f t="shared" si="33"/>
        <v>3495.98</v>
      </c>
      <c r="H191">
        <v>1379</v>
      </c>
    </row>
    <row r="192" spans="1:8" ht="15.6" x14ac:dyDescent="0.3">
      <c r="A192" s="59">
        <f t="shared" si="34"/>
        <v>157</v>
      </c>
      <c r="B192" s="60" t="s">
        <v>372</v>
      </c>
      <c r="C192" s="59" t="s">
        <v>181</v>
      </c>
      <c r="D192" s="62">
        <v>13</v>
      </c>
      <c r="E192" s="149">
        <v>856.54</v>
      </c>
      <c r="F192" s="81">
        <f t="shared" si="31"/>
        <v>11135.02</v>
      </c>
      <c r="G192" s="81">
        <f t="shared" si="33"/>
        <v>13362.02</v>
      </c>
      <c r="H192">
        <v>1379</v>
      </c>
    </row>
    <row r="193" spans="1:9" ht="15.6" x14ac:dyDescent="0.3">
      <c r="A193" s="59">
        <f t="shared" si="34"/>
        <v>158</v>
      </c>
      <c r="B193" s="60" t="s">
        <v>410</v>
      </c>
      <c r="C193" s="59" t="s">
        <v>181</v>
      </c>
      <c r="D193" s="63">
        <v>560.5</v>
      </c>
      <c r="E193" s="149">
        <v>9.73</v>
      </c>
      <c r="F193" s="81">
        <f t="shared" si="31"/>
        <v>5453.67</v>
      </c>
      <c r="G193" s="81">
        <f t="shared" si="33"/>
        <v>6544.4</v>
      </c>
      <c r="H193">
        <v>125</v>
      </c>
    </row>
    <row r="194" spans="1:9" ht="15.6" x14ac:dyDescent="0.3">
      <c r="A194" s="59">
        <f t="shared" si="34"/>
        <v>159</v>
      </c>
      <c r="B194" s="60" t="s">
        <v>245</v>
      </c>
      <c r="C194" s="59" t="s">
        <v>181</v>
      </c>
      <c r="D194" s="63">
        <v>560.5</v>
      </c>
      <c r="E194" s="149">
        <v>197.58</v>
      </c>
      <c r="F194" s="81">
        <f t="shared" si="31"/>
        <v>110743.59</v>
      </c>
      <c r="G194" s="81">
        <f t="shared" si="33"/>
        <v>132892.31</v>
      </c>
      <c r="H194">
        <v>198</v>
      </c>
    </row>
    <row r="195" spans="1:9" ht="15.6" x14ac:dyDescent="0.3">
      <c r="A195" s="59">
        <f t="shared" si="34"/>
        <v>160</v>
      </c>
      <c r="B195" s="60" t="s">
        <v>411</v>
      </c>
      <c r="C195" s="59" t="s">
        <v>181</v>
      </c>
      <c r="D195" s="63">
        <v>29.5</v>
      </c>
      <c r="E195" s="149">
        <v>856.54</v>
      </c>
      <c r="F195" s="81">
        <f t="shared" si="31"/>
        <v>25267.93</v>
      </c>
      <c r="G195" s="81">
        <f t="shared" si="33"/>
        <v>30321.52</v>
      </c>
      <c r="H195">
        <v>899</v>
      </c>
    </row>
    <row r="196" spans="1:9" ht="27.6" x14ac:dyDescent="0.3">
      <c r="A196" s="59">
        <f t="shared" si="34"/>
        <v>161</v>
      </c>
      <c r="B196" s="60" t="s">
        <v>412</v>
      </c>
      <c r="C196" s="59" t="s">
        <v>218</v>
      </c>
      <c r="D196" s="63">
        <v>36.799999999999997</v>
      </c>
      <c r="E196" s="149">
        <v>67.760000000000005</v>
      </c>
      <c r="F196" s="81">
        <f t="shared" si="31"/>
        <v>2493.5700000000002</v>
      </c>
      <c r="G196" s="81">
        <f t="shared" si="33"/>
        <v>2992.28</v>
      </c>
      <c r="H196">
        <v>325</v>
      </c>
    </row>
    <row r="197" spans="1:9" ht="27.6" x14ac:dyDescent="0.3">
      <c r="A197" s="59">
        <f t="shared" si="34"/>
        <v>162</v>
      </c>
      <c r="B197" s="60" t="s">
        <v>374</v>
      </c>
      <c r="C197" s="59" t="s">
        <v>218</v>
      </c>
      <c r="D197" s="63">
        <v>36.799999999999997</v>
      </c>
      <c r="E197" s="149">
        <v>312.27999999999997</v>
      </c>
      <c r="F197" s="81">
        <f t="shared" si="31"/>
        <v>11491.9</v>
      </c>
      <c r="G197" s="81">
        <f t="shared" si="33"/>
        <v>13790.28</v>
      </c>
      <c r="H197">
        <v>3460</v>
      </c>
      <c r="I197" s="169" t="s">
        <v>461</v>
      </c>
    </row>
    <row r="198" spans="1:9" ht="23.25" customHeight="1" x14ac:dyDescent="0.3">
      <c r="A198" s="59"/>
      <c r="B198" s="58" t="s">
        <v>251</v>
      </c>
      <c r="C198" s="59"/>
      <c r="D198" s="61"/>
      <c r="E198" s="149"/>
      <c r="F198" s="81"/>
      <c r="G198" s="81"/>
    </row>
    <row r="199" spans="1:9" ht="27.6" x14ac:dyDescent="0.3">
      <c r="A199" s="59">
        <f>A197+1</f>
        <v>163</v>
      </c>
      <c r="B199" s="60" t="s">
        <v>439</v>
      </c>
      <c r="C199" s="59" t="s">
        <v>182</v>
      </c>
      <c r="D199" s="62">
        <v>21</v>
      </c>
      <c r="E199" s="149">
        <v>2864.48</v>
      </c>
      <c r="F199" s="81">
        <f t="shared" si="31"/>
        <v>60154.080000000002</v>
      </c>
      <c r="G199" s="81">
        <f t="shared" ref="G199:G208" si="35">ROUND(F199*1.2,2)</f>
        <v>72184.899999999994</v>
      </c>
    </row>
    <row r="200" spans="1:9" ht="41.4" x14ac:dyDescent="0.3">
      <c r="A200" s="59">
        <f>A199+1</f>
        <v>164</v>
      </c>
      <c r="B200" s="60" t="s">
        <v>440</v>
      </c>
      <c r="C200" s="59" t="s">
        <v>182</v>
      </c>
      <c r="D200" s="62">
        <v>6</v>
      </c>
      <c r="E200" s="149">
        <v>4021.61</v>
      </c>
      <c r="F200" s="81">
        <f t="shared" si="31"/>
        <v>24129.66</v>
      </c>
      <c r="G200" s="81">
        <f t="shared" si="35"/>
        <v>28955.59</v>
      </c>
    </row>
    <row r="201" spans="1:9" ht="41.4" x14ac:dyDescent="0.3">
      <c r="A201" s="59">
        <f t="shared" ref="A201:A204" si="36">A200+1</f>
        <v>165</v>
      </c>
      <c r="B201" s="60" t="s">
        <v>441</v>
      </c>
      <c r="C201" s="59" t="s">
        <v>207</v>
      </c>
      <c r="D201" s="62">
        <v>2</v>
      </c>
      <c r="E201" s="149">
        <v>5203.95</v>
      </c>
      <c r="F201" s="81">
        <f t="shared" si="31"/>
        <v>10407.9</v>
      </c>
      <c r="G201" s="81">
        <f t="shared" si="35"/>
        <v>12489.48</v>
      </c>
    </row>
    <row r="202" spans="1:9" ht="41.4" x14ac:dyDescent="0.3">
      <c r="A202" s="59">
        <f t="shared" si="36"/>
        <v>166</v>
      </c>
      <c r="B202" s="60" t="s">
        <v>442</v>
      </c>
      <c r="C202" s="59" t="s">
        <v>207</v>
      </c>
      <c r="D202" s="62">
        <v>2</v>
      </c>
      <c r="E202" s="149">
        <v>12511.09</v>
      </c>
      <c r="F202" s="81">
        <f t="shared" si="31"/>
        <v>25022.18</v>
      </c>
      <c r="G202" s="81">
        <f t="shared" si="35"/>
        <v>30026.62</v>
      </c>
    </row>
    <row r="203" spans="1:9" ht="27.6" x14ac:dyDescent="0.3">
      <c r="A203" s="59">
        <f t="shared" si="36"/>
        <v>167</v>
      </c>
      <c r="B203" s="60" t="s">
        <v>388</v>
      </c>
      <c r="C203" s="59" t="s">
        <v>207</v>
      </c>
      <c r="D203" s="62">
        <v>1</v>
      </c>
      <c r="E203" s="149">
        <v>9227.06</v>
      </c>
      <c r="F203" s="81">
        <f t="shared" si="31"/>
        <v>9227.06</v>
      </c>
      <c r="G203" s="81">
        <f t="shared" si="35"/>
        <v>11072.47</v>
      </c>
    </row>
    <row r="204" spans="1:9" ht="22.5" customHeight="1" x14ac:dyDescent="0.3">
      <c r="A204" s="59">
        <f t="shared" si="36"/>
        <v>168</v>
      </c>
      <c r="B204" s="60" t="s">
        <v>389</v>
      </c>
      <c r="C204" s="59" t="s">
        <v>463</v>
      </c>
      <c r="D204" s="62">
        <v>1</v>
      </c>
      <c r="E204" s="149">
        <v>70121.429999999993</v>
      </c>
      <c r="F204" s="81">
        <f t="shared" si="31"/>
        <v>70121.429999999993</v>
      </c>
      <c r="G204" s="81">
        <f t="shared" si="35"/>
        <v>84145.72</v>
      </c>
    </row>
    <row r="205" spans="1:9" ht="23.25" customHeight="1" x14ac:dyDescent="0.3">
      <c r="A205" s="59"/>
      <c r="B205" s="58" t="s">
        <v>395</v>
      </c>
      <c r="C205" s="59"/>
      <c r="D205" s="62"/>
      <c r="E205" s="149"/>
      <c r="F205" s="81"/>
      <c r="G205" s="81"/>
    </row>
    <row r="206" spans="1:9" ht="19.5" customHeight="1" x14ac:dyDescent="0.3">
      <c r="A206" s="59">
        <f>A204+1</f>
        <v>169</v>
      </c>
      <c r="B206" s="60" t="s">
        <v>443</v>
      </c>
      <c r="C206" s="59" t="s">
        <v>182</v>
      </c>
      <c r="D206" s="62">
        <v>21</v>
      </c>
      <c r="E206" s="149">
        <v>1334.42</v>
      </c>
      <c r="F206" s="81">
        <f t="shared" si="31"/>
        <v>28022.82</v>
      </c>
      <c r="G206" s="81">
        <f t="shared" si="35"/>
        <v>33627.379999999997</v>
      </c>
    </row>
    <row r="207" spans="1:9" ht="19.5" customHeight="1" x14ac:dyDescent="0.3">
      <c r="A207" s="59">
        <f>A206+1</f>
        <v>170</v>
      </c>
      <c r="B207" s="60" t="s">
        <v>438</v>
      </c>
      <c r="C207" s="59" t="s">
        <v>218</v>
      </c>
      <c r="D207" s="62">
        <v>8</v>
      </c>
      <c r="E207" s="149">
        <v>436.17</v>
      </c>
      <c r="F207" s="81">
        <f t="shared" si="31"/>
        <v>3489.36</v>
      </c>
      <c r="G207" s="81">
        <f t="shared" si="35"/>
        <v>4187.2299999999996</v>
      </c>
    </row>
    <row r="208" spans="1:9" ht="15.6" x14ac:dyDescent="0.3">
      <c r="A208" s="59">
        <f>A207+1</f>
        <v>171</v>
      </c>
      <c r="B208" s="60" t="s">
        <v>429</v>
      </c>
      <c r="C208" s="59" t="s">
        <v>218</v>
      </c>
      <c r="D208" s="62">
        <v>8</v>
      </c>
      <c r="E208" s="149">
        <v>312.27999999999997</v>
      </c>
      <c r="F208" s="81">
        <f t="shared" si="31"/>
        <v>2498.2399999999998</v>
      </c>
      <c r="G208" s="81">
        <f t="shared" si="35"/>
        <v>2997.89</v>
      </c>
    </row>
    <row r="209" spans="1:9" ht="29.25" customHeight="1" x14ac:dyDescent="0.3">
      <c r="A209" s="134"/>
      <c r="B209" s="448" t="s">
        <v>284</v>
      </c>
      <c r="C209" s="449"/>
      <c r="D209" s="450"/>
      <c r="E209" s="135"/>
      <c r="F209" s="136"/>
      <c r="G209" s="146"/>
    </row>
    <row r="210" spans="1:9" x14ac:dyDescent="0.3">
      <c r="A210" s="59"/>
      <c r="B210" s="58" t="s">
        <v>247</v>
      </c>
      <c r="C210" s="59"/>
      <c r="D210" s="61"/>
      <c r="E210" s="144"/>
      <c r="F210" s="141"/>
      <c r="G210" s="147"/>
    </row>
    <row r="211" spans="1:9" ht="27.6" x14ac:dyDescent="0.3">
      <c r="A211" s="59">
        <f>A208+1</f>
        <v>172</v>
      </c>
      <c r="B211" s="60" t="s">
        <v>369</v>
      </c>
      <c r="C211" s="59" t="s">
        <v>181</v>
      </c>
      <c r="D211" s="62">
        <v>1779</v>
      </c>
      <c r="E211" s="149">
        <v>90.47</v>
      </c>
      <c r="F211" s="81">
        <f t="shared" ref="F211:F231" si="37">ROUND(E211*D211,2)</f>
        <v>160946.13</v>
      </c>
      <c r="G211" s="81">
        <f t="shared" ref="G211:G220" si="38">ROUND(F211*1.2,2)</f>
        <v>193135.35999999999</v>
      </c>
      <c r="H211">
        <v>325</v>
      </c>
    </row>
    <row r="212" spans="1:9" ht="15.6" x14ac:dyDescent="0.3">
      <c r="A212" s="59">
        <f>A211+1</f>
        <v>173</v>
      </c>
      <c r="B212" s="60" t="s">
        <v>370</v>
      </c>
      <c r="C212" s="59" t="s">
        <v>181</v>
      </c>
      <c r="D212" s="62">
        <v>53</v>
      </c>
      <c r="E212" s="149">
        <v>1860.11</v>
      </c>
      <c r="F212" s="81">
        <f t="shared" si="37"/>
        <v>98585.83</v>
      </c>
      <c r="G212" s="81">
        <f t="shared" si="38"/>
        <v>118303</v>
      </c>
      <c r="H212">
        <v>1777</v>
      </c>
    </row>
    <row r="213" spans="1:9" ht="15.6" x14ac:dyDescent="0.3">
      <c r="A213" s="59">
        <f t="shared" ref="A213:A220" si="39">A212+1</f>
        <v>174</v>
      </c>
      <c r="B213" s="60" t="s">
        <v>371</v>
      </c>
      <c r="C213" s="59" t="s">
        <v>181</v>
      </c>
      <c r="D213" s="62">
        <v>40</v>
      </c>
      <c r="E213" s="149">
        <v>1155.67</v>
      </c>
      <c r="F213" s="81">
        <f t="shared" si="37"/>
        <v>46226.8</v>
      </c>
      <c r="G213" s="81">
        <f t="shared" si="38"/>
        <v>55472.160000000003</v>
      </c>
    </row>
    <row r="214" spans="1:9" ht="15.6" x14ac:dyDescent="0.3">
      <c r="A214" s="59">
        <f t="shared" si="39"/>
        <v>175</v>
      </c>
      <c r="B214" s="60" t="s">
        <v>250</v>
      </c>
      <c r="C214" s="59" t="s">
        <v>181</v>
      </c>
      <c r="D214" s="62">
        <v>6</v>
      </c>
      <c r="E214" s="149">
        <v>1456.65</v>
      </c>
      <c r="F214" s="81">
        <f t="shared" si="37"/>
        <v>8739.9</v>
      </c>
      <c r="G214" s="81">
        <f t="shared" si="38"/>
        <v>10487.88</v>
      </c>
      <c r="H214">
        <v>1379</v>
      </c>
    </row>
    <row r="215" spans="1:9" ht="15.6" x14ac:dyDescent="0.3">
      <c r="A215" s="59">
        <f t="shared" si="39"/>
        <v>176</v>
      </c>
      <c r="B215" s="60" t="s">
        <v>372</v>
      </c>
      <c r="C215" s="59" t="s">
        <v>181</v>
      </c>
      <c r="D215" s="62">
        <v>40</v>
      </c>
      <c r="E215" s="149">
        <v>856.54</v>
      </c>
      <c r="F215" s="81">
        <f t="shared" si="37"/>
        <v>34261.599999999999</v>
      </c>
      <c r="G215" s="81">
        <f t="shared" si="38"/>
        <v>41113.919999999998</v>
      </c>
      <c r="H215">
        <v>1379</v>
      </c>
    </row>
    <row r="216" spans="1:9" ht="15.6" x14ac:dyDescent="0.3">
      <c r="A216" s="59">
        <f t="shared" si="39"/>
        <v>177</v>
      </c>
      <c r="B216" s="60" t="s">
        <v>410</v>
      </c>
      <c r="C216" s="59" t="s">
        <v>181</v>
      </c>
      <c r="D216" s="63">
        <v>1681.5</v>
      </c>
      <c r="E216" s="149">
        <v>9.73</v>
      </c>
      <c r="F216" s="81">
        <f t="shared" si="37"/>
        <v>16361</v>
      </c>
      <c r="G216" s="81">
        <f t="shared" si="38"/>
        <v>19633.2</v>
      </c>
      <c r="H216">
        <v>125</v>
      </c>
    </row>
    <row r="217" spans="1:9" ht="15.6" x14ac:dyDescent="0.3">
      <c r="A217" s="59">
        <f t="shared" si="39"/>
        <v>178</v>
      </c>
      <c r="B217" s="60" t="s">
        <v>245</v>
      </c>
      <c r="C217" s="59" t="s">
        <v>181</v>
      </c>
      <c r="D217" s="63">
        <v>1681.5</v>
      </c>
      <c r="E217" s="149">
        <v>197.58</v>
      </c>
      <c r="F217" s="81">
        <f t="shared" si="37"/>
        <v>332230.77</v>
      </c>
      <c r="G217" s="81">
        <f t="shared" si="38"/>
        <v>398676.92</v>
      </c>
      <c r="H217">
        <v>198</v>
      </c>
    </row>
    <row r="218" spans="1:9" ht="15.6" x14ac:dyDescent="0.3">
      <c r="A218" s="59">
        <f t="shared" si="39"/>
        <v>179</v>
      </c>
      <c r="B218" s="60" t="s">
        <v>411</v>
      </c>
      <c r="C218" s="59" t="s">
        <v>181</v>
      </c>
      <c r="D218" s="61">
        <v>88.5</v>
      </c>
      <c r="E218" s="149">
        <v>856.54</v>
      </c>
      <c r="F218" s="81">
        <f t="shared" si="37"/>
        <v>75803.789999999994</v>
      </c>
      <c r="G218" s="81">
        <f t="shared" si="38"/>
        <v>90964.55</v>
      </c>
      <c r="H218">
        <v>899</v>
      </c>
    </row>
    <row r="219" spans="1:9" ht="27.6" x14ac:dyDescent="0.3">
      <c r="A219" s="59">
        <f t="shared" si="39"/>
        <v>180</v>
      </c>
      <c r="B219" s="60" t="s">
        <v>412</v>
      </c>
      <c r="C219" s="59" t="s">
        <v>218</v>
      </c>
      <c r="D219" s="63">
        <v>99.2</v>
      </c>
      <c r="E219" s="149">
        <v>67.760000000000005</v>
      </c>
      <c r="F219" s="81">
        <f t="shared" si="37"/>
        <v>6721.79</v>
      </c>
      <c r="G219" s="81">
        <f t="shared" ref="G219" si="40">ROUND(F219*1.2,2)</f>
        <v>8066.15</v>
      </c>
      <c r="H219">
        <v>325</v>
      </c>
    </row>
    <row r="220" spans="1:9" ht="27.6" x14ac:dyDescent="0.3">
      <c r="A220" s="59">
        <f t="shared" si="39"/>
        <v>181</v>
      </c>
      <c r="B220" s="60" t="s">
        <v>374</v>
      </c>
      <c r="C220" s="59" t="s">
        <v>218</v>
      </c>
      <c r="D220" s="63">
        <v>99.2</v>
      </c>
      <c r="E220" s="149">
        <v>312.27999999999997</v>
      </c>
      <c r="F220" s="81">
        <f t="shared" si="37"/>
        <v>30978.18</v>
      </c>
      <c r="G220" s="81">
        <f t="shared" si="38"/>
        <v>37173.82</v>
      </c>
      <c r="H220">
        <v>3460</v>
      </c>
      <c r="I220" s="169" t="s">
        <v>461</v>
      </c>
    </row>
    <row r="221" spans="1:9" ht="15.6" x14ac:dyDescent="0.3">
      <c r="A221" s="59"/>
      <c r="B221" s="58" t="s">
        <v>251</v>
      </c>
      <c r="C221" s="59"/>
      <c r="D221" s="61"/>
      <c r="E221" s="149"/>
      <c r="F221" s="81"/>
      <c r="G221" s="81"/>
    </row>
    <row r="222" spans="1:9" ht="27.6" x14ac:dyDescent="0.3">
      <c r="A222" s="59">
        <f>A220+1</f>
        <v>182</v>
      </c>
      <c r="B222" s="60" t="s">
        <v>439</v>
      </c>
      <c r="C222" s="59" t="s">
        <v>182</v>
      </c>
      <c r="D222" s="62">
        <v>49</v>
      </c>
      <c r="E222" s="149">
        <v>2864.48</v>
      </c>
      <c r="F222" s="81">
        <f t="shared" si="37"/>
        <v>140359.51999999999</v>
      </c>
      <c r="G222" s="81">
        <f t="shared" ref="G222:G227" si="41">ROUND(F222*1.2,2)</f>
        <v>168431.42</v>
      </c>
    </row>
    <row r="223" spans="1:9" ht="41.4" x14ac:dyDescent="0.3">
      <c r="A223" s="59">
        <f>A222+1</f>
        <v>183</v>
      </c>
      <c r="B223" s="60" t="s">
        <v>440</v>
      </c>
      <c r="C223" s="59" t="s">
        <v>182</v>
      </c>
      <c r="D223" s="62">
        <v>6</v>
      </c>
      <c r="E223" s="149">
        <v>4021.61</v>
      </c>
      <c r="F223" s="81">
        <f t="shared" si="37"/>
        <v>24129.66</v>
      </c>
      <c r="G223" s="81">
        <f t="shared" si="41"/>
        <v>28955.59</v>
      </c>
    </row>
    <row r="224" spans="1:9" ht="41.4" x14ac:dyDescent="0.3">
      <c r="A224" s="59">
        <f t="shared" ref="A224:A227" si="42">A223+1</f>
        <v>184</v>
      </c>
      <c r="B224" s="60" t="s">
        <v>441</v>
      </c>
      <c r="C224" s="59" t="s">
        <v>207</v>
      </c>
      <c r="D224" s="62">
        <v>2</v>
      </c>
      <c r="E224" s="149">
        <v>5203.95</v>
      </c>
      <c r="F224" s="81">
        <f t="shared" si="37"/>
        <v>10407.9</v>
      </c>
      <c r="G224" s="81">
        <f t="shared" si="41"/>
        <v>12489.48</v>
      </c>
    </row>
    <row r="225" spans="1:9" ht="41.4" x14ac:dyDescent="0.3">
      <c r="A225" s="59">
        <f t="shared" si="42"/>
        <v>185</v>
      </c>
      <c r="B225" s="60" t="s">
        <v>442</v>
      </c>
      <c r="C225" s="59" t="s">
        <v>207</v>
      </c>
      <c r="D225" s="62">
        <v>2</v>
      </c>
      <c r="E225" s="149">
        <v>12511.09</v>
      </c>
      <c r="F225" s="81">
        <f t="shared" si="37"/>
        <v>25022.18</v>
      </c>
      <c r="G225" s="81">
        <f t="shared" si="41"/>
        <v>30026.62</v>
      </c>
    </row>
    <row r="226" spans="1:9" ht="27.6" x14ac:dyDescent="0.3">
      <c r="A226" s="59">
        <f t="shared" si="42"/>
        <v>186</v>
      </c>
      <c r="B226" s="60" t="s">
        <v>388</v>
      </c>
      <c r="C226" s="59" t="s">
        <v>207</v>
      </c>
      <c r="D226" s="62">
        <v>1</v>
      </c>
      <c r="E226" s="149">
        <v>9227.06</v>
      </c>
      <c r="F226" s="81">
        <f t="shared" si="37"/>
        <v>9227.06</v>
      </c>
      <c r="G226" s="81">
        <f t="shared" si="41"/>
        <v>11072.47</v>
      </c>
    </row>
    <row r="227" spans="1:9" ht="27.6" x14ac:dyDescent="0.3">
      <c r="A227" s="59">
        <f t="shared" si="42"/>
        <v>187</v>
      </c>
      <c r="B227" s="60" t="s">
        <v>389</v>
      </c>
      <c r="C227" s="59" t="s">
        <v>463</v>
      </c>
      <c r="D227" s="62">
        <v>1</v>
      </c>
      <c r="E227" s="149">
        <v>70121.429999999993</v>
      </c>
      <c r="F227" s="81">
        <f t="shared" si="37"/>
        <v>70121.429999999993</v>
      </c>
      <c r="G227" s="81">
        <f t="shared" si="41"/>
        <v>84145.72</v>
      </c>
    </row>
    <row r="228" spans="1:9" ht="15.6" x14ac:dyDescent="0.3">
      <c r="A228" s="59"/>
      <c r="B228" s="58" t="s">
        <v>395</v>
      </c>
      <c r="C228" s="59"/>
      <c r="D228" s="61"/>
      <c r="E228" s="149"/>
      <c r="F228" s="81"/>
      <c r="G228" s="81"/>
    </row>
    <row r="229" spans="1:9" ht="15.6" x14ac:dyDescent="0.3">
      <c r="A229" s="59">
        <f>A227+1</f>
        <v>188</v>
      </c>
      <c r="B229" s="60" t="s">
        <v>443</v>
      </c>
      <c r="C229" s="59" t="s">
        <v>182</v>
      </c>
      <c r="D229" s="62">
        <v>49</v>
      </c>
      <c r="E229" s="149">
        <v>1334.42</v>
      </c>
      <c r="F229" s="81">
        <f t="shared" si="37"/>
        <v>65386.58</v>
      </c>
      <c r="G229" s="81">
        <f t="shared" ref="G229:G231" si="43">ROUND(F229*1.2,2)</f>
        <v>78463.899999999994</v>
      </c>
    </row>
    <row r="230" spans="1:9" ht="15.6" x14ac:dyDescent="0.3">
      <c r="A230" s="59">
        <f>A229+1</f>
        <v>189</v>
      </c>
      <c r="B230" s="60" t="s">
        <v>438</v>
      </c>
      <c r="C230" s="59" t="s">
        <v>218</v>
      </c>
      <c r="D230" s="63">
        <v>18.7</v>
      </c>
      <c r="E230" s="149">
        <v>412.84</v>
      </c>
      <c r="F230" s="81">
        <f t="shared" si="37"/>
        <v>7720.11</v>
      </c>
      <c r="G230" s="81">
        <f t="shared" si="43"/>
        <v>9264.1299999999992</v>
      </c>
    </row>
    <row r="231" spans="1:9" ht="15.6" x14ac:dyDescent="0.3">
      <c r="A231" s="59">
        <f>A230+1</f>
        <v>190</v>
      </c>
      <c r="B231" s="60" t="s">
        <v>429</v>
      </c>
      <c r="C231" s="59" t="s">
        <v>218</v>
      </c>
      <c r="D231" s="63">
        <v>18.7</v>
      </c>
      <c r="E231" s="149">
        <v>312.27999999999997</v>
      </c>
      <c r="F231" s="81">
        <f t="shared" si="37"/>
        <v>5839.64</v>
      </c>
      <c r="G231" s="81">
        <f t="shared" si="43"/>
        <v>7007.57</v>
      </c>
    </row>
    <row r="232" spans="1:9" ht="23.25" customHeight="1" x14ac:dyDescent="0.3">
      <c r="A232" s="134"/>
      <c r="B232" s="448" t="s">
        <v>285</v>
      </c>
      <c r="C232" s="449"/>
      <c r="D232" s="450"/>
      <c r="E232" s="135"/>
      <c r="F232" s="136"/>
      <c r="G232" s="146"/>
    </row>
    <row r="233" spans="1:9" ht="22.5" customHeight="1" x14ac:dyDescent="0.3">
      <c r="A233" s="59"/>
      <c r="B233" s="58" t="s">
        <v>247</v>
      </c>
      <c r="C233" s="59"/>
      <c r="D233" s="61"/>
      <c r="E233" s="144"/>
      <c r="F233" s="141"/>
      <c r="G233" s="147"/>
    </row>
    <row r="234" spans="1:9" ht="15.6" x14ac:dyDescent="0.3">
      <c r="A234" s="59">
        <f>A231+1</f>
        <v>191</v>
      </c>
      <c r="B234" s="60" t="s">
        <v>246</v>
      </c>
      <c r="C234" s="59" t="s">
        <v>181</v>
      </c>
      <c r="D234" s="63">
        <v>10.8</v>
      </c>
      <c r="E234" s="149">
        <v>1550.1</v>
      </c>
      <c r="F234" s="81">
        <f t="shared" ref="F234:F237" si="44">ROUND(E234*D234,2)</f>
        <v>16741.080000000002</v>
      </c>
      <c r="G234" s="81">
        <f t="shared" ref="G234:G250" si="45">ROUND(F234*1.2,2)</f>
        <v>20089.3</v>
      </c>
      <c r="H234">
        <v>1777</v>
      </c>
    </row>
    <row r="235" spans="1:9" ht="15.6" x14ac:dyDescent="0.3">
      <c r="A235" s="59">
        <f>A234+1</f>
        <v>192</v>
      </c>
      <c r="B235" s="60" t="s">
        <v>444</v>
      </c>
      <c r="C235" s="59" t="s">
        <v>181</v>
      </c>
      <c r="D235" s="63">
        <v>6.7</v>
      </c>
      <c r="E235" s="149">
        <v>856.54</v>
      </c>
      <c r="F235" s="81">
        <f t="shared" si="44"/>
        <v>5738.82</v>
      </c>
      <c r="G235" s="81">
        <f t="shared" si="45"/>
        <v>6886.58</v>
      </c>
      <c r="H235">
        <v>899</v>
      </c>
    </row>
    <row r="236" spans="1:9" ht="15.6" x14ac:dyDescent="0.3">
      <c r="A236" s="59">
        <f t="shared" ref="A236:A237" si="46">A235+1</f>
        <v>193</v>
      </c>
      <c r="B236" s="60" t="s">
        <v>445</v>
      </c>
      <c r="C236" s="59" t="s">
        <v>181</v>
      </c>
      <c r="D236" s="63">
        <v>4.0999999999999996</v>
      </c>
      <c r="E236" s="149">
        <v>518.38</v>
      </c>
      <c r="F236" s="81">
        <f t="shared" si="44"/>
        <v>2125.36</v>
      </c>
      <c r="G236" s="81">
        <f t="shared" si="45"/>
        <v>2550.4299999999998</v>
      </c>
      <c r="H236">
        <v>325</v>
      </c>
    </row>
    <row r="237" spans="1:9" ht="15.6" x14ac:dyDescent="0.3">
      <c r="A237" s="59">
        <f t="shared" si="46"/>
        <v>194</v>
      </c>
      <c r="B237" s="60" t="s">
        <v>446</v>
      </c>
      <c r="C237" s="59" t="s">
        <v>218</v>
      </c>
      <c r="D237" s="61">
        <v>7.18</v>
      </c>
      <c r="E237" s="149">
        <v>312.27999999999997</v>
      </c>
      <c r="F237" s="81">
        <f t="shared" si="44"/>
        <v>2242.17</v>
      </c>
      <c r="G237" s="81">
        <f t="shared" si="45"/>
        <v>2690.6</v>
      </c>
      <c r="H237">
        <v>3460</v>
      </c>
      <c r="I237" s="169" t="s">
        <v>461</v>
      </c>
    </row>
    <row r="238" spans="1:9" ht="18.75" customHeight="1" x14ac:dyDescent="0.3">
      <c r="A238" s="59"/>
      <c r="B238" s="58" t="s">
        <v>447</v>
      </c>
      <c r="C238" s="59"/>
      <c r="D238" s="62"/>
      <c r="E238" s="149"/>
      <c r="F238" s="81"/>
      <c r="G238" s="81"/>
    </row>
    <row r="239" spans="1:9" ht="15.6" x14ac:dyDescent="0.3">
      <c r="A239" s="59">
        <f>A237+1</f>
        <v>195</v>
      </c>
      <c r="B239" s="60" t="s">
        <v>253</v>
      </c>
      <c r="C239" s="59" t="s">
        <v>182</v>
      </c>
      <c r="D239" s="62">
        <v>40</v>
      </c>
      <c r="E239" s="149">
        <v>162.32</v>
      </c>
      <c r="F239" s="81">
        <f t="shared" ref="F239:F245" si="47">ROUND(E239*D239,2)</f>
        <v>6492.8</v>
      </c>
      <c r="G239" s="81">
        <f t="shared" si="45"/>
        <v>7791.36</v>
      </c>
    </row>
    <row r="240" spans="1:9" ht="15.6" x14ac:dyDescent="0.3">
      <c r="A240" s="59">
        <f>A239+1</f>
        <v>196</v>
      </c>
      <c r="B240" s="60" t="s">
        <v>448</v>
      </c>
      <c r="C240" s="59" t="s">
        <v>207</v>
      </c>
      <c r="D240" s="62">
        <v>2</v>
      </c>
      <c r="E240" s="149">
        <v>1976.06</v>
      </c>
      <c r="F240" s="81">
        <f t="shared" si="47"/>
        <v>3952.12</v>
      </c>
      <c r="G240" s="81">
        <f t="shared" si="45"/>
        <v>4742.54</v>
      </c>
    </row>
    <row r="241" spans="1:8" ht="15.6" x14ac:dyDescent="0.3">
      <c r="A241" s="59">
        <f>A240+1</f>
        <v>197</v>
      </c>
      <c r="B241" s="60" t="s">
        <v>449</v>
      </c>
      <c r="C241" s="59" t="s">
        <v>182</v>
      </c>
      <c r="D241" s="62">
        <f>60+180</f>
        <v>240</v>
      </c>
      <c r="E241" s="149">
        <v>64.27</v>
      </c>
      <c r="F241" s="81">
        <f t="shared" si="47"/>
        <v>15424.8</v>
      </c>
      <c r="G241" s="81">
        <f t="shared" si="45"/>
        <v>18509.759999999998</v>
      </c>
    </row>
    <row r="242" spans="1:8" ht="15.6" x14ac:dyDescent="0.3">
      <c r="A242" s="59">
        <f t="shared" ref="A242:A245" si="48">A241+1</f>
        <v>198</v>
      </c>
      <c r="B242" s="60" t="s">
        <v>450</v>
      </c>
      <c r="C242" s="59" t="s">
        <v>182</v>
      </c>
      <c r="D242" s="62">
        <v>240</v>
      </c>
      <c r="E242" s="149">
        <v>151.6</v>
      </c>
      <c r="F242" s="81">
        <f t="shared" si="47"/>
        <v>36384</v>
      </c>
      <c r="G242" s="81">
        <f t="shared" si="45"/>
        <v>43660.800000000003</v>
      </c>
    </row>
    <row r="243" spans="1:8" ht="15.6" x14ac:dyDescent="0.3">
      <c r="A243" s="59">
        <f t="shared" si="48"/>
        <v>199</v>
      </c>
      <c r="B243" s="60" t="s">
        <v>451</v>
      </c>
      <c r="C243" s="59" t="s">
        <v>182</v>
      </c>
      <c r="D243" s="62">
        <v>40</v>
      </c>
      <c r="E243" s="149">
        <v>327.23</v>
      </c>
      <c r="F243" s="81">
        <f t="shared" si="47"/>
        <v>13089.2</v>
      </c>
      <c r="G243" s="81">
        <f t="shared" si="45"/>
        <v>15707.04</v>
      </c>
    </row>
    <row r="244" spans="1:8" ht="15.6" x14ac:dyDescent="0.3">
      <c r="A244" s="59">
        <f t="shared" si="48"/>
        <v>200</v>
      </c>
      <c r="B244" s="60" t="s">
        <v>452</v>
      </c>
      <c r="C244" s="59" t="s">
        <v>207</v>
      </c>
      <c r="D244" s="62">
        <v>4</v>
      </c>
      <c r="E244" s="149">
        <v>8752.73</v>
      </c>
      <c r="F244" s="81">
        <f t="shared" si="47"/>
        <v>35010.92</v>
      </c>
      <c r="G244" s="81">
        <f t="shared" si="45"/>
        <v>42013.1</v>
      </c>
    </row>
    <row r="245" spans="1:8" ht="15.6" x14ac:dyDescent="0.3">
      <c r="A245" s="59">
        <f t="shared" si="48"/>
        <v>201</v>
      </c>
      <c r="B245" s="60" t="s">
        <v>453</v>
      </c>
      <c r="C245" s="59" t="s">
        <v>182</v>
      </c>
      <c r="D245" s="62">
        <v>40</v>
      </c>
      <c r="E245" s="149">
        <v>18.45</v>
      </c>
      <c r="F245" s="81">
        <f t="shared" si="47"/>
        <v>738</v>
      </c>
      <c r="G245" s="81">
        <f t="shared" si="45"/>
        <v>885.6</v>
      </c>
    </row>
    <row r="246" spans="1:8" ht="21.75" customHeight="1" x14ac:dyDescent="0.3">
      <c r="A246" s="59"/>
      <c r="B246" s="58" t="s">
        <v>454</v>
      </c>
      <c r="C246" s="59"/>
      <c r="D246" s="61"/>
      <c r="E246" s="149"/>
      <c r="F246" s="81"/>
      <c r="G246" s="81"/>
    </row>
    <row r="247" spans="1:8" ht="27.6" x14ac:dyDescent="0.3">
      <c r="A247" s="59">
        <f>A245+1</f>
        <v>202</v>
      </c>
      <c r="B247" s="60" t="s">
        <v>455</v>
      </c>
      <c r="C247" s="59" t="s">
        <v>464</v>
      </c>
      <c r="D247" s="62">
        <v>4</v>
      </c>
      <c r="E247" s="149">
        <v>6257.28</v>
      </c>
      <c r="F247" s="81">
        <f t="shared" ref="F247:F250" si="49">ROUND(E247*D247,2)</f>
        <v>25029.119999999999</v>
      </c>
      <c r="G247" s="81">
        <f t="shared" si="45"/>
        <v>30034.94</v>
      </c>
    </row>
    <row r="248" spans="1:8" ht="27.6" x14ac:dyDescent="0.3">
      <c r="A248" s="59">
        <f>A247+1</f>
        <v>203</v>
      </c>
      <c r="B248" s="60" t="s">
        <v>456</v>
      </c>
      <c r="C248" s="59" t="s">
        <v>464</v>
      </c>
      <c r="D248" s="62">
        <v>4</v>
      </c>
      <c r="E248" s="149">
        <v>6257.28</v>
      </c>
      <c r="F248" s="81">
        <f t="shared" si="49"/>
        <v>25029.119999999999</v>
      </c>
      <c r="G248" s="81">
        <f t="shared" si="45"/>
        <v>30034.94</v>
      </c>
    </row>
    <row r="249" spans="1:8" ht="27.6" x14ac:dyDescent="0.3">
      <c r="A249" s="59">
        <f t="shared" ref="A249:A250" si="50">A248+1</f>
        <v>204</v>
      </c>
      <c r="B249" s="60" t="s">
        <v>457</v>
      </c>
      <c r="C249" s="59" t="s">
        <v>464</v>
      </c>
      <c r="D249" s="62">
        <v>4</v>
      </c>
      <c r="E249" s="149">
        <v>6257.28</v>
      </c>
      <c r="F249" s="81">
        <f t="shared" si="49"/>
        <v>25029.119999999999</v>
      </c>
      <c r="G249" s="81">
        <f t="shared" si="45"/>
        <v>30034.94</v>
      </c>
    </row>
    <row r="250" spans="1:8" ht="27.6" x14ac:dyDescent="0.3">
      <c r="A250" s="59">
        <f t="shared" si="50"/>
        <v>205</v>
      </c>
      <c r="B250" s="60" t="s">
        <v>458</v>
      </c>
      <c r="C250" s="59" t="s">
        <v>465</v>
      </c>
      <c r="D250" s="62">
        <v>3</v>
      </c>
      <c r="E250" s="149">
        <v>2329.08</v>
      </c>
      <c r="F250" s="81">
        <f t="shared" si="49"/>
        <v>6987.24</v>
      </c>
      <c r="G250" s="81">
        <f t="shared" si="45"/>
        <v>8384.69</v>
      </c>
    </row>
    <row r="251" spans="1:8" x14ac:dyDescent="0.3">
      <c r="A251" s="145"/>
      <c r="B251" s="452" t="s">
        <v>265</v>
      </c>
      <c r="C251" s="453"/>
      <c r="D251" s="453"/>
      <c r="E251" s="454"/>
      <c r="F251" s="138">
        <f>SUM(F6:F250)</f>
        <v>6681041.8199999994</v>
      </c>
      <c r="G251" s="138">
        <f>SUM(G6:G250)</f>
        <v>8017250.1500000004</v>
      </c>
    </row>
    <row r="252" spans="1:8" x14ac:dyDescent="0.3">
      <c r="A252" s="382" t="s">
        <v>266</v>
      </c>
      <c r="B252" s="383"/>
      <c r="C252" s="383"/>
      <c r="D252" s="383"/>
      <c r="E252" s="384"/>
      <c r="F252" s="171">
        <f>ROUND(F251*0.03,2)</f>
        <v>200431.25</v>
      </c>
      <c r="G252" s="171">
        <f>ROUND(G251*0.03,2)</f>
        <v>240517.5</v>
      </c>
      <c r="H252" s="52"/>
    </row>
    <row r="253" spans="1:8" x14ac:dyDescent="0.3">
      <c r="A253" s="382" t="s">
        <v>267</v>
      </c>
      <c r="B253" s="383"/>
      <c r="C253" s="383"/>
      <c r="D253" s="383"/>
      <c r="E253" s="384"/>
      <c r="F253" s="171">
        <f>F251+F252</f>
        <v>6881473.0699999994</v>
      </c>
      <c r="G253" s="171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3320312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377" t="s">
        <v>213</v>
      </c>
      <c r="B1" s="447" t="s">
        <v>188</v>
      </c>
      <c r="C1" s="377" t="s">
        <v>256</v>
      </c>
      <c r="D1" s="377" t="s">
        <v>189</v>
      </c>
      <c r="E1" s="446" t="s">
        <v>254</v>
      </c>
      <c r="F1" s="446"/>
      <c r="G1" s="446"/>
    </row>
    <row r="2" spans="1:7" s="54" customFormat="1" ht="27.6" x14ac:dyDescent="0.3">
      <c r="A2" s="377"/>
      <c r="B2" s="447"/>
      <c r="C2" s="377"/>
      <c r="D2" s="377"/>
      <c r="E2" s="76" t="s">
        <v>255</v>
      </c>
      <c r="F2" s="85" t="s">
        <v>184</v>
      </c>
      <c r="G2" s="85" t="s">
        <v>185</v>
      </c>
    </row>
    <row r="3" spans="1:7" ht="13.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9.5" customHeight="1" x14ac:dyDescent="0.3">
      <c r="A4" s="134"/>
      <c r="B4" s="385" t="s">
        <v>276</v>
      </c>
      <c r="C4" s="455"/>
      <c r="D4" s="386"/>
      <c r="E4" s="136"/>
      <c r="F4" s="137"/>
      <c r="G4" s="107"/>
    </row>
    <row r="5" spans="1:7" x14ac:dyDescent="0.3">
      <c r="A5" s="72">
        <v>1</v>
      </c>
      <c r="B5" s="60" t="s">
        <v>222</v>
      </c>
      <c r="C5" s="59" t="s">
        <v>181</v>
      </c>
      <c r="D5" s="63">
        <v>14.3</v>
      </c>
      <c r="E5" s="81">
        <v>1320</v>
      </c>
      <c r="F5" s="81">
        <f>ROUND(E5*D5,2)</f>
        <v>18876</v>
      </c>
      <c r="G5" s="81">
        <f>ROUND(F5*1.2,2)</f>
        <v>22651.200000000001</v>
      </c>
    </row>
    <row r="6" spans="1:7" x14ac:dyDescent="0.3">
      <c r="A6" s="72">
        <f>A5+1</f>
        <v>2</v>
      </c>
      <c r="B6" s="60" t="s">
        <v>286</v>
      </c>
      <c r="C6" s="59" t="s">
        <v>182</v>
      </c>
      <c r="D6" s="62">
        <v>31</v>
      </c>
      <c r="E6" s="81">
        <v>2640</v>
      </c>
      <c r="F6" s="81">
        <f t="shared" ref="F6:F31" si="0">ROUND(E6*D6,2)</f>
        <v>81840</v>
      </c>
      <c r="G6" s="81">
        <f t="shared" ref="G6:G31" si="1">ROUND(F6*1.2,2)</f>
        <v>98208</v>
      </c>
    </row>
    <row r="7" spans="1:7" x14ac:dyDescent="0.3">
      <c r="A7" s="72">
        <f>A6+1</f>
        <v>3</v>
      </c>
      <c r="B7" s="60" t="s">
        <v>287</v>
      </c>
      <c r="C7" s="59" t="s">
        <v>182</v>
      </c>
      <c r="D7" s="62">
        <v>6</v>
      </c>
      <c r="E7" s="81">
        <v>9680</v>
      </c>
      <c r="F7" s="81">
        <f t="shared" si="0"/>
        <v>58080</v>
      </c>
      <c r="G7" s="81">
        <f t="shared" si="1"/>
        <v>69696</v>
      </c>
    </row>
    <row r="8" spans="1:7" x14ac:dyDescent="0.3">
      <c r="A8" s="72">
        <f t="shared" ref="A8:A31" si="2">A7+1</f>
        <v>4</v>
      </c>
      <c r="B8" s="60" t="s">
        <v>288</v>
      </c>
      <c r="C8" s="59" t="s">
        <v>207</v>
      </c>
      <c r="D8" s="62">
        <v>2</v>
      </c>
      <c r="E8" s="81">
        <v>3300</v>
      </c>
      <c r="F8" s="81">
        <f t="shared" si="0"/>
        <v>6600</v>
      </c>
      <c r="G8" s="81">
        <f t="shared" si="1"/>
        <v>7920</v>
      </c>
    </row>
    <row r="9" spans="1:7" x14ac:dyDescent="0.3">
      <c r="A9" s="72">
        <f t="shared" si="2"/>
        <v>5</v>
      </c>
      <c r="B9" s="60" t="s">
        <v>289</v>
      </c>
      <c r="C9" s="59" t="s">
        <v>207</v>
      </c>
      <c r="D9" s="62">
        <v>2</v>
      </c>
      <c r="E9" s="81">
        <v>3410</v>
      </c>
      <c r="F9" s="81">
        <f t="shared" si="0"/>
        <v>6820</v>
      </c>
      <c r="G9" s="81">
        <f t="shared" si="1"/>
        <v>8184</v>
      </c>
    </row>
    <row r="10" spans="1:7" ht="27.6" x14ac:dyDescent="0.3">
      <c r="A10" s="72">
        <f t="shared" si="2"/>
        <v>6</v>
      </c>
      <c r="B10" s="60" t="s">
        <v>290</v>
      </c>
      <c r="C10" s="59" t="s">
        <v>207</v>
      </c>
      <c r="D10" s="62">
        <v>2</v>
      </c>
      <c r="E10" s="81">
        <v>3740</v>
      </c>
      <c r="F10" s="81">
        <f t="shared" si="0"/>
        <v>7480</v>
      </c>
      <c r="G10" s="81">
        <f t="shared" si="1"/>
        <v>8976</v>
      </c>
    </row>
    <row r="11" spans="1:7" x14ac:dyDescent="0.3">
      <c r="A11" s="72">
        <f t="shared" si="2"/>
        <v>7</v>
      </c>
      <c r="B11" s="60" t="s">
        <v>291</v>
      </c>
      <c r="C11" s="59" t="s">
        <v>219</v>
      </c>
      <c r="D11" s="65">
        <v>8.7479999999999993</v>
      </c>
      <c r="E11" s="81">
        <v>127</v>
      </c>
      <c r="F11" s="81">
        <f t="shared" si="0"/>
        <v>1111</v>
      </c>
      <c r="G11" s="81">
        <f t="shared" si="1"/>
        <v>1333.2</v>
      </c>
    </row>
    <row r="12" spans="1:7" x14ac:dyDescent="0.3">
      <c r="A12" s="72">
        <f t="shared" si="2"/>
        <v>8</v>
      </c>
      <c r="B12" s="60" t="s">
        <v>292</v>
      </c>
      <c r="C12" s="59" t="s">
        <v>219</v>
      </c>
      <c r="D12" s="65">
        <v>2.556</v>
      </c>
      <c r="E12" s="81">
        <v>147</v>
      </c>
      <c r="F12" s="81">
        <f t="shared" si="0"/>
        <v>375.73</v>
      </c>
      <c r="G12" s="81">
        <f t="shared" si="1"/>
        <v>450.88</v>
      </c>
    </row>
    <row r="13" spans="1:7" x14ac:dyDescent="0.3">
      <c r="A13" s="72">
        <f t="shared" si="2"/>
        <v>9</v>
      </c>
      <c r="B13" s="60" t="s">
        <v>293</v>
      </c>
      <c r="C13" s="59" t="s">
        <v>219</v>
      </c>
      <c r="D13" s="66">
        <v>1.2347999999999999</v>
      </c>
      <c r="E13" s="81">
        <v>197</v>
      </c>
      <c r="F13" s="81">
        <f t="shared" si="0"/>
        <v>243.26</v>
      </c>
      <c r="G13" s="81">
        <f t="shared" si="1"/>
        <v>291.91000000000003</v>
      </c>
    </row>
    <row r="14" spans="1:7" ht="27.6" x14ac:dyDescent="0.3">
      <c r="A14" s="72">
        <f t="shared" si="2"/>
        <v>10</v>
      </c>
      <c r="B14" s="60" t="s">
        <v>294</v>
      </c>
      <c r="C14" s="59" t="s">
        <v>207</v>
      </c>
      <c r="D14" s="62">
        <v>2</v>
      </c>
      <c r="E14" s="81">
        <v>3699</v>
      </c>
      <c r="F14" s="81">
        <f t="shared" si="0"/>
        <v>7398</v>
      </c>
      <c r="G14" s="81">
        <f t="shared" si="1"/>
        <v>8877.6</v>
      </c>
    </row>
    <row r="15" spans="1:7" x14ac:dyDescent="0.3">
      <c r="A15" s="72">
        <f t="shared" si="2"/>
        <v>11</v>
      </c>
      <c r="B15" s="60" t="s">
        <v>295</v>
      </c>
      <c r="C15" s="59" t="s">
        <v>207</v>
      </c>
      <c r="D15" s="62">
        <v>1</v>
      </c>
      <c r="E15" s="81">
        <v>18150</v>
      </c>
      <c r="F15" s="81">
        <f t="shared" si="0"/>
        <v>18150</v>
      </c>
      <c r="G15" s="81">
        <f t="shared" si="1"/>
        <v>21780</v>
      </c>
    </row>
    <row r="16" spans="1:7" ht="27.6" x14ac:dyDescent="0.3">
      <c r="A16" s="72">
        <f t="shared" si="2"/>
        <v>12</v>
      </c>
      <c r="B16" s="60" t="s">
        <v>296</v>
      </c>
      <c r="C16" s="59" t="s">
        <v>207</v>
      </c>
      <c r="D16" s="62">
        <v>3</v>
      </c>
      <c r="E16" s="81">
        <v>61</v>
      </c>
      <c r="F16" s="81">
        <f t="shared" si="0"/>
        <v>183</v>
      </c>
      <c r="G16" s="81">
        <f t="shared" si="1"/>
        <v>219.6</v>
      </c>
    </row>
    <row r="17" spans="1:8" x14ac:dyDescent="0.3">
      <c r="A17" s="72">
        <f t="shared" si="2"/>
        <v>13</v>
      </c>
      <c r="B17" s="60" t="s">
        <v>297</v>
      </c>
      <c r="C17" s="59" t="s">
        <v>207</v>
      </c>
      <c r="D17" s="62">
        <v>1</v>
      </c>
      <c r="E17" s="81">
        <v>10450</v>
      </c>
      <c r="F17" s="81">
        <f t="shared" si="0"/>
        <v>10450</v>
      </c>
      <c r="G17" s="81">
        <f t="shared" si="1"/>
        <v>12540</v>
      </c>
    </row>
    <row r="18" spans="1:8" x14ac:dyDescent="0.3">
      <c r="A18" s="72">
        <f t="shared" si="2"/>
        <v>14</v>
      </c>
      <c r="B18" s="60" t="s">
        <v>298</v>
      </c>
      <c r="C18" s="59" t="s">
        <v>207</v>
      </c>
      <c r="D18" s="62">
        <v>1</v>
      </c>
      <c r="E18" s="81">
        <v>3410</v>
      </c>
      <c r="F18" s="81">
        <f t="shared" si="0"/>
        <v>3410</v>
      </c>
      <c r="G18" s="81">
        <f t="shared" si="1"/>
        <v>4092</v>
      </c>
    </row>
    <row r="19" spans="1:8" x14ac:dyDescent="0.3">
      <c r="A19" s="72">
        <f t="shared" si="2"/>
        <v>15</v>
      </c>
      <c r="B19" s="60" t="s">
        <v>299</v>
      </c>
      <c r="C19" s="64" t="s">
        <v>181</v>
      </c>
      <c r="D19" s="62">
        <v>1</v>
      </c>
      <c r="E19" s="81">
        <v>3850</v>
      </c>
      <c r="F19" s="81">
        <f t="shared" si="0"/>
        <v>3850</v>
      </c>
      <c r="G19" s="81">
        <f t="shared" si="1"/>
        <v>4620</v>
      </c>
    </row>
    <row r="20" spans="1:8" x14ac:dyDescent="0.3">
      <c r="A20" s="72">
        <f t="shared" si="2"/>
        <v>16</v>
      </c>
      <c r="B20" s="60" t="s">
        <v>300</v>
      </c>
      <c r="C20" s="64" t="s">
        <v>207</v>
      </c>
      <c r="D20" s="68" t="s">
        <v>301</v>
      </c>
      <c r="E20" s="81">
        <v>4565</v>
      </c>
      <c r="F20" s="81">
        <f t="shared" si="0"/>
        <v>4565</v>
      </c>
      <c r="G20" s="81">
        <f t="shared" si="1"/>
        <v>5478</v>
      </c>
    </row>
    <row r="21" spans="1:8" x14ac:dyDescent="0.3">
      <c r="A21" s="72">
        <f t="shared" si="2"/>
        <v>17</v>
      </c>
      <c r="B21" s="60" t="s">
        <v>302</v>
      </c>
      <c r="C21" s="64" t="s">
        <v>207</v>
      </c>
      <c r="D21" s="68" t="s">
        <v>301</v>
      </c>
      <c r="E21" s="81">
        <v>4290</v>
      </c>
      <c r="F21" s="81">
        <f t="shared" si="0"/>
        <v>4290</v>
      </c>
      <c r="G21" s="81">
        <f t="shared" si="1"/>
        <v>5148</v>
      </c>
    </row>
    <row r="22" spans="1:8" x14ac:dyDescent="0.3">
      <c r="A22" s="72">
        <f t="shared" si="2"/>
        <v>18</v>
      </c>
      <c r="B22" s="60" t="s">
        <v>303</v>
      </c>
      <c r="C22" s="64" t="s">
        <v>207</v>
      </c>
      <c r="D22" s="68" t="s">
        <v>304</v>
      </c>
      <c r="E22" s="81">
        <v>5060</v>
      </c>
      <c r="F22" s="81">
        <f t="shared" si="0"/>
        <v>10120</v>
      </c>
      <c r="G22" s="81">
        <f t="shared" si="1"/>
        <v>12144</v>
      </c>
    </row>
    <row r="23" spans="1:8" x14ac:dyDescent="0.3">
      <c r="A23" s="72">
        <f t="shared" si="2"/>
        <v>19</v>
      </c>
      <c r="B23" s="60" t="s">
        <v>305</v>
      </c>
      <c r="C23" s="64" t="s">
        <v>207</v>
      </c>
      <c r="D23" s="68" t="s">
        <v>301</v>
      </c>
      <c r="E23" s="81">
        <v>4070.0000000000005</v>
      </c>
      <c r="F23" s="81">
        <f t="shared" si="0"/>
        <v>4070</v>
      </c>
      <c r="G23" s="81">
        <f t="shared" si="1"/>
        <v>4884</v>
      </c>
    </row>
    <row r="24" spans="1:8" x14ac:dyDescent="0.3">
      <c r="A24" s="72">
        <f t="shared" si="2"/>
        <v>20</v>
      </c>
      <c r="B24" s="60" t="s">
        <v>306</v>
      </c>
      <c r="C24" s="64" t="s">
        <v>207</v>
      </c>
      <c r="D24" s="68" t="s">
        <v>301</v>
      </c>
      <c r="E24" s="81">
        <v>6199</v>
      </c>
      <c r="F24" s="81">
        <f t="shared" si="0"/>
        <v>6199</v>
      </c>
      <c r="G24" s="81">
        <f t="shared" si="1"/>
        <v>7438.8</v>
      </c>
    </row>
    <row r="25" spans="1:8" x14ac:dyDescent="0.3">
      <c r="A25" s="72">
        <f t="shared" si="2"/>
        <v>21</v>
      </c>
      <c r="B25" s="60" t="s">
        <v>307</v>
      </c>
      <c r="C25" s="64" t="s">
        <v>207</v>
      </c>
      <c r="D25" s="68" t="s">
        <v>301</v>
      </c>
      <c r="E25" s="81">
        <v>15180</v>
      </c>
      <c r="F25" s="81">
        <f t="shared" si="0"/>
        <v>15180</v>
      </c>
      <c r="G25" s="81">
        <f t="shared" si="1"/>
        <v>18216</v>
      </c>
    </row>
    <row r="26" spans="1:8" x14ac:dyDescent="0.3">
      <c r="A26" s="72">
        <f t="shared" si="2"/>
        <v>22</v>
      </c>
      <c r="B26" s="60" t="s">
        <v>308</v>
      </c>
      <c r="C26" s="64" t="s">
        <v>219</v>
      </c>
      <c r="D26" s="68" t="s">
        <v>309</v>
      </c>
      <c r="E26" s="81">
        <v>702</v>
      </c>
      <c r="F26" s="81">
        <f t="shared" si="0"/>
        <v>16146</v>
      </c>
      <c r="G26" s="81">
        <f t="shared" si="1"/>
        <v>19375.2</v>
      </c>
    </row>
    <row r="27" spans="1:8" x14ac:dyDescent="0.3">
      <c r="A27" s="72">
        <f t="shared" si="2"/>
        <v>23</v>
      </c>
      <c r="B27" s="60" t="s">
        <v>310</v>
      </c>
      <c r="C27" s="64" t="s">
        <v>182</v>
      </c>
      <c r="D27" s="164">
        <f>6*0.245</f>
        <v>1.47</v>
      </c>
      <c r="E27" s="81">
        <v>319</v>
      </c>
      <c r="F27" s="81">
        <f t="shared" si="0"/>
        <v>468.93</v>
      </c>
      <c r="G27" s="81">
        <f t="shared" si="1"/>
        <v>562.72</v>
      </c>
    </row>
    <row r="28" spans="1:8" x14ac:dyDescent="0.3">
      <c r="A28" s="72">
        <f t="shared" si="2"/>
        <v>24</v>
      </c>
      <c r="B28" s="60" t="s">
        <v>311</v>
      </c>
      <c r="C28" s="64" t="s">
        <v>219</v>
      </c>
      <c r="D28" s="164">
        <f>0.3*6*3.1</f>
        <v>5.5799999999999992</v>
      </c>
      <c r="E28" s="81">
        <v>95</v>
      </c>
      <c r="F28" s="81">
        <f t="shared" si="0"/>
        <v>530.1</v>
      </c>
      <c r="G28" s="81">
        <f t="shared" si="1"/>
        <v>636.12</v>
      </c>
    </row>
    <row r="29" spans="1:8" x14ac:dyDescent="0.3">
      <c r="A29" s="72">
        <f t="shared" si="2"/>
        <v>25</v>
      </c>
      <c r="B29" s="60" t="s">
        <v>312</v>
      </c>
      <c r="C29" s="64" t="s">
        <v>219</v>
      </c>
      <c r="D29" s="68" t="s">
        <v>313</v>
      </c>
      <c r="E29" s="81">
        <v>250</v>
      </c>
      <c r="F29" s="81">
        <f t="shared" si="0"/>
        <v>1250</v>
      </c>
      <c r="G29" s="81">
        <f t="shared" si="1"/>
        <v>1500</v>
      </c>
    </row>
    <row r="30" spans="1:8" x14ac:dyDescent="0.3">
      <c r="A30" s="72">
        <f t="shared" si="2"/>
        <v>26</v>
      </c>
      <c r="B30" s="60" t="s">
        <v>221</v>
      </c>
      <c r="C30" s="64" t="s">
        <v>219</v>
      </c>
      <c r="D30" s="68" t="s">
        <v>314</v>
      </c>
      <c r="E30" s="81">
        <v>312</v>
      </c>
      <c r="F30" s="81">
        <f t="shared" si="0"/>
        <v>10608</v>
      </c>
      <c r="G30" s="81">
        <f t="shared" si="1"/>
        <v>12729.6</v>
      </c>
    </row>
    <row r="31" spans="1:8" x14ac:dyDescent="0.3">
      <c r="A31" s="72">
        <f t="shared" si="2"/>
        <v>27</v>
      </c>
      <c r="B31" s="60" t="s">
        <v>315</v>
      </c>
      <c r="C31" s="64" t="s">
        <v>181</v>
      </c>
      <c r="D31" s="68" t="s">
        <v>316</v>
      </c>
      <c r="E31" s="81">
        <v>1368</v>
      </c>
      <c r="F31" s="81">
        <f t="shared" si="0"/>
        <v>957.6</v>
      </c>
      <c r="G31" s="81">
        <f t="shared" si="1"/>
        <v>1149.1199999999999</v>
      </c>
      <c r="H31" s="168"/>
    </row>
    <row r="32" spans="1:8" ht="21.75" customHeight="1" x14ac:dyDescent="0.3">
      <c r="A32" s="134"/>
      <c r="B32" s="448" t="s">
        <v>277</v>
      </c>
      <c r="C32" s="449"/>
      <c r="D32" s="449"/>
      <c r="E32" s="136"/>
      <c r="F32" s="137"/>
      <c r="G32" s="107"/>
    </row>
    <row r="33" spans="1:8" x14ac:dyDescent="0.3">
      <c r="A33" s="59">
        <f>A31+1</f>
        <v>28</v>
      </c>
      <c r="B33" s="60" t="s">
        <v>222</v>
      </c>
      <c r="C33" s="59" t="s">
        <v>181</v>
      </c>
      <c r="D33" s="62">
        <v>47</v>
      </c>
      <c r="E33" s="81">
        <v>1320</v>
      </c>
      <c r="F33" s="81">
        <f t="shared" ref="F33:F45" si="3">ROUND(E33*D33,2)</f>
        <v>62040</v>
      </c>
      <c r="G33" s="81">
        <f t="shared" ref="G33:G45" si="4">ROUND(F33*1.2,2)</f>
        <v>74448</v>
      </c>
    </row>
    <row r="34" spans="1:8" x14ac:dyDescent="0.3">
      <c r="A34" s="59">
        <f t="shared" ref="A34:A45" si="5">A33+1</f>
        <v>29</v>
      </c>
      <c r="B34" s="60" t="s">
        <v>317</v>
      </c>
      <c r="C34" s="64" t="s">
        <v>182</v>
      </c>
      <c r="D34" s="68" t="s">
        <v>318</v>
      </c>
      <c r="E34" s="81">
        <v>1430</v>
      </c>
      <c r="F34" s="81">
        <f t="shared" si="3"/>
        <v>138710</v>
      </c>
      <c r="G34" s="81">
        <f t="shared" si="4"/>
        <v>166452</v>
      </c>
    </row>
    <row r="35" spans="1:8" x14ac:dyDescent="0.3">
      <c r="A35" s="59">
        <f t="shared" si="5"/>
        <v>30</v>
      </c>
      <c r="B35" s="60" t="s">
        <v>319</v>
      </c>
      <c r="C35" s="64" t="s">
        <v>182</v>
      </c>
      <c r="D35" s="68" t="s">
        <v>320</v>
      </c>
      <c r="E35" s="81">
        <v>8140</v>
      </c>
      <c r="F35" s="81">
        <f t="shared" si="3"/>
        <v>48840</v>
      </c>
      <c r="G35" s="81">
        <f t="shared" si="4"/>
        <v>58608</v>
      </c>
    </row>
    <row r="36" spans="1:8" x14ac:dyDescent="0.3">
      <c r="A36" s="59">
        <f t="shared" si="5"/>
        <v>31</v>
      </c>
      <c r="B36" s="60" t="s">
        <v>321</v>
      </c>
      <c r="C36" s="64" t="s">
        <v>178</v>
      </c>
      <c r="D36" s="68" t="s">
        <v>304</v>
      </c>
      <c r="E36" s="81">
        <v>2090</v>
      </c>
      <c r="F36" s="81">
        <f t="shared" si="3"/>
        <v>4180</v>
      </c>
      <c r="G36" s="81">
        <f t="shared" si="4"/>
        <v>5016</v>
      </c>
    </row>
    <row r="37" spans="1:8" x14ac:dyDescent="0.3">
      <c r="A37" s="59">
        <f t="shared" si="5"/>
        <v>32</v>
      </c>
      <c r="B37" s="60" t="s">
        <v>322</v>
      </c>
      <c r="C37" s="64" t="s">
        <v>178</v>
      </c>
      <c r="D37" s="68">
        <v>1</v>
      </c>
      <c r="E37" s="81">
        <v>4840</v>
      </c>
      <c r="F37" s="81">
        <f t="shared" si="3"/>
        <v>4840</v>
      </c>
      <c r="G37" s="81">
        <f t="shared" si="4"/>
        <v>5808</v>
      </c>
    </row>
    <row r="38" spans="1:8" ht="27.6" x14ac:dyDescent="0.3">
      <c r="A38" s="59">
        <f t="shared" si="5"/>
        <v>33</v>
      </c>
      <c r="B38" s="60" t="s">
        <v>323</v>
      </c>
      <c r="C38" s="64" t="s">
        <v>178</v>
      </c>
      <c r="D38" s="68">
        <v>1</v>
      </c>
      <c r="E38" s="81">
        <v>50</v>
      </c>
      <c r="F38" s="81">
        <f t="shared" si="3"/>
        <v>50</v>
      </c>
      <c r="G38" s="81">
        <f t="shared" si="4"/>
        <v>60</v>
      </c>
    </row>
    <row r="39" spans="1:8" x14ac:dyDescent="0.3">
      <c r="A39" s="59">
        <f t="shared" si="5"/>
        <v>34</v>
      </c>
      <c r="B39" s="60" t="s">
        <v>342</v>
      </c>
      <c r="C39" s="64" t="s">
        <v>178</v>
      </c>
      <c r="D39" s="68">
        <v>1</v>
      </c>
      <c r="E39" s="81">
        <v>5720</v>
      </c>
      <c r="F39" s="81">
        <f t="shared" si="3"/>
        <v>5720</v>
      </c>
      <c r="G39" s="81">
        <f t="shared" si="4"/>
        <v>6864</v>
      </c>
    </row>
    <row r="40" spans="1:8" x14ac:dyDescent="0.3">
      <c r="A40" s="59">
        <f t="shared" si="5"/>
        <v>35</v>
      </c>
      <c r="B40" s="60" t="s">
        <v>325</v>
      </c>
      <c r="C40" s="64" t="s">
        <v>219</v>
      </c>
      <c r="D40" s="165">
        <f>8*0.243</f>
        <v>1.944</v>
      </c>
      <c r="E40" s="81">
        <v>127</v>
      </c>
      <c r="F40" s="81">
        <f t="shared" si="3"/>
        <v>246.89</v>
      </c>
      <c r="G40" s="81">
        <f t="shared" si="4"/>
        <v>296.27</v>
      </c>
    </row>
    <row r="41" spans="1:8" x14ac:dyDescent="0.3">
      <c r="A41" s="59">
        <f t="shared" si="5"/>
        <v>36</v>
      </c>
      <c r="B41" s="60" t="s">
        <v>326</v>
      </c>
      <c r="C41" s="64" t="s">
        <v>219</v>
      </c>
      <c r="D41" s="165">
        <f>8*0.071</f>
        <v>0.56799999999999995</v>
      </c>
      <c r="E41" s="81">
        <v>147</v>
      </c>
      <c r="F41" s="81">
        <f t="shared" si="3"/>
        <v>83.5</v>
      </c>
      <c r="G41" s="81">
        <f t="shared" si="4"/>
        <v>100.2</v>
      </c>
    </row>
    <row r="42" spans="1:8" x14ac:dyDescent="0.3">
      <c r="A42" s="59">
        <f t="shared" si="5"/>
        <v>37</v>
      </c>
      <c r="B42" s="60" t="s">
        <v>327</v>
      </c>
      <c r="C42" s="64" t="s">
        <v>219</v>
      </c>
      <c r="D42" s="165">
        <f>16*0.0172</f>
        <v>0.2752</v>
      </c>
      <c r="E42" s="81">
        <v>197</v>
      </c>
      <c r="F42" s="81">
        <f t="shared" si="3"/>
        <v>54.21</v>
      </c>
      <c r="G42" s="81">
        <f t="shared" si="4"/>
        <v>65.05</v>
      </c>
    </row>
    <row r="43" spans="1:8" ht="27.6" x14ac:dyDescent="0.3">
      <c r="A43" s="59">
        <f t="shared" si="5"/>
        <v>38</v>
      </c>
      <c r="B43" s="60" t="s">
        <v>328</v>
      </c>
      <c r="C43" s="64" t="s">
        <v>178</v>
      </c>
      <c r="D43" s="68">
        <v>1</v>
      </c>
      <c r="E43" s="81">
        <v>2200</v>
      </c>
      <c r="F43" s="81">
        <f t="shared" si="3"/>
        <v>2200</v>
      </c>
      <c r="G43" s="81">
        <f t="shared" si="4"/>
        <v>2640</v>
      </c>
    </row>
    <row r="44" spans="1:8" x14ac:dyDescent="0.3">
      <c r="A44" s="59">
        <f t="shared" si="5"/>
        <v>39</v>
      </c>
      <c r="B44" s="60" t="s">
        <v>329</v>
      </c>
      <c r="C44" s="64" t="s">
        <v>178</v>
      </c>
      <c r="D44" s="68">
        <v>1</v>
      </c>
      <c r="E44" s="81">
        <v>6380</v>
      </c>
      <c r="F44" s="81">
        <f t="shared" si="3"/>
        <v>6380</v>
      </c>
      <c r="G44" s="81">
        <f t="shared" si="4"/>
        <v>7656</v>
      </c>
    </row>
    <row r="45" spans="1:8" x14ac:dyDescent="0.3">
      <c r="A45" s="59">
        <f t="shared" si="5"/>
        <v>40</v>
      </c>
      <c r="B45" s="60" t="s">
        <v>299</v>
      </c>
      <c r="C45" s="64" t="s">
        <v>181</v>
      </c>
      <c r="D45" s="68" t="s">
        <v>330</v>
      </c>
      <c r="E45" s="81">
        <v>3850</v>
      </c>
      <c r="F45" s="81">
        <f t="shared" si="3"/>
        <v>2348.5</v>
      </c>
      <c r="G45" s="81">
        <f t="shared" si="4"/>
        <v>2818.2</v>
      </c>
      <c r="H45" s="168"/>
    </row>
    <row r="46" spans="1:8" ht="21" customHeight="1" x14ac:dyDescent="0.3">
      <c r="A46" s="134"/>
      <c r="B46" s="385" t="s">
        <v>278</v>
      </c>
      <c r="C46" s="455"/>
      <c r="D46" s="455"/>
      <c r="E46" s="136"/>
      <c r="F46" s="137"/>
      <c r="G46" s="107"/>
    </row>
    <row r="47" spans="1:8" x14ac:dyDescent="0.3">
      <c r="A47" s="59">
        <f>A45+1</f>
        <v>41</v>
      </c>
      <c r="B47" s="60" t="s">
        <v>222</v>
      </c>
      <c r="C47" s="59" t="s">
        <v>181</v>
      </c>
      <c r="D47" s="62">
        <v>56</v>
      </c>
      <c r="E47" s="81">
        <v>1320</v>
      </c>
      <c r="F47" s="81">
        <f t="shared" ref="F47:F55" si="6">ROUND(E47*D47,2)</f>
        <v>73920</v>
      </c>
      <c r="G47" s="81">
        <f t="shared" ref="G47:G59" si="7">ROUND(F47*1.2,2)</f>
        <v>88704</v>
      </c>
    </row>
    <row r="48" spans="1:8" x14ac:dyDescent="0.3">
      <c r="A48" s="59">
        <f>A47+1</f>
        <v>42</v>
      </c>
      <c r="B48" s="60" t="s">
        <v>331</v>
      </c>
      <c r="C48" s="59" t="s">
        <v>182</v>
      </c>
      <c r="D48" s="68" t="s">
        <v>332</v>
      </c>
      <c r="E48" s="81">
        <v>2750</v>
      </c>
      <c r="F48" s="81">
        <f t="shared" si="6"/>
        <v>225500</v>
      </c>
      <c r="G48" s="81">
        <f t="shared" si="7"/>
        <v>270600</v>
      </c>
    </row>
    <row r="49" spans="1:8" x14ac:dyDescent="0.3">
      <c r="A49" s="59">
        <f t="shared" ref="A49:A59" si="8">A48+1</f>
        <v>43</v>
      </c>
      <c r="B49" s="60" t="s">
        <v>287</v>
      </c>
      <c r="C49" s="59" t="s">
        <v>182</v>
      </c>
      <c r="D49" s="68" t="s">
        <v>333</v>
      </c>
      <c r="E49" s="81">
        <v>9680</v>
      </c>
      <c r="F49" s="81">
        <f t="shared" si="6"/>
        <v>396880</v>
      </c>
      <c r="G49" s="81">
        <f t="shared" si="7"/>
        <v>476256</v>
      </c>
    </row>
    <row r="50" spans="1:8" x14ac:dyDescent="0.3">
      <c r="A50" s="59">
        <f t="shared" si="8"/>
        <v>44</v>
      </c>
      <c r="B50" s="60" t="s">
        <v>334</v>
      </c>
      <c r="C50" s="59" t="s">
        <v>207</v>
      </c>
      <c r="D50" s="68" t="s">
        <v>335</v>
      </c>
      <c r="E50" s="81">
        <v>3740</v>
      </c>
      <c r="F50" s="81">
        <f t="shared" si="6"/>
        <v>44880</v>
      </c>
      <c r="G50" s="81">
        <f t="shared" si="7"/>
        <v>53856</v>
      </c>
    </row>
    <row r="51" spans="1:8" x14ac:dyDescent="0.3">
      <c r="A51" s="59">
        <f t="shared" si="8"/>
        <v>45</v>
      </c>
      <c r="B51" s="60" t="s">
        <v>336</v>
      </c>
      <c r="C51" s="59" t="s">
        <v>178</v>
      </c>
      <c r="D51" s="62">
        <v>1</v>
      </c>
      <c r="E51" s="81">
        <v>7480</v>
      </c>
      <c r="F51" s="81">
        <f t="shared" si="6"/>
        <v>7480</v>
      </c>
      <c r="G51" s="81">
        <f t="shared" si="7"/>
        <v>8976</v>
      </c>
    </row>
    <row r="52" spans="1:8" x14ac:dyDescent="0.3">
      <c r="A52" s="59">
        <f t="shared" si="8"/>
        <v>46</v>
      </c>
      <c r="B52" s="60" t="s">
        <v>322</v>
      </c>
      <c r="C52" s="59" t="s">
        <v>207</v>
      </c>
      <c r="D52" s="62">
        <v>2</v>
      </c>
      <c r="E52" s="81">
        <v>4840</v>
      </c>
      <c r="F52" s="81">
        <f t="shared" si="6"/>
        <v>9680</v>
      </c>
      <c r="G52" s="81">
        <f t="shared" si="7"/>
        <v>11616</v>
      </c>
    </row>
    <row r="53" spans="1:8" ht="27.6" x14ac:dyDescent="0.3">
      <c r="A53" s="59">
        <f t="shared" si="8"/>
        <v>47</v>
      </c>
      <c r="B53" s="60" t="s">
        <v>337</v>
      </c>
      <c r="C53" s="59" t="s">
        <v>207</v>
      </c>
      <c r="D53" s="62">
        <v>2</v>
      </c>
      <c r="E53" s="81">
        <v>88</v>
      </c>
      <c r="F53" s="81">
        <f t="shared" si="6"/>
        <v>176</v>
      </c>
      <c r="G53" s="81">
        <f t="shared" si="7"/>
        <v>211.2</v>
      </c>
    </row>
    <row r="54" spans="1:8" x14ac:dyDescent="0.3">
      <c r="A54" s="59">
        <f t="shared" si="8"/>
        <v>48</v>
      </c>
      <c r="B54" s="60" t="s">
        <v>324</v>
      </c>
      <c r="C54" s="59" t="s">
        <v>207</v>
      </c>
      <c r="D54" s="62">
        <v>2</v>
      </c>
      <c r="E54" s="81">
        <v>5720</v>
      </c>
      <c r="F54" s="81">
        <f t="shared" si="6"/>
        <v>11440</v>
      </c>
      <c r="G54" s="81">
        <f t="shared" si="7"/>
        <v>13728</v>
      </c>
    </row>
    <row r="55" spans="1:8" x14ac:dyDescent="0.3">
      <c r="A55" s="59">
        <f t="shared" si="8"/>
        <v>49</v>
      </c>
      <c r="B55" s="60" t="s">
        <v>338</v>
      </c>
      <c r="C55" s="64" t="s">
        <v>219</v>
      </c>
      <c r="D55" s="165">
        <f>24*0.243</f>
        <v>5.8319999999999999</v>
      </c>
      <c r="E55" s="81">
        <v>127</v>
      </c>
      <c r="F55" s="81">
        <f t="shared" si="6"/>
        <v>740.66</v>
      </c>
      <c r="G55" s="81">
        <f t="shared" si="7"/>
        <v>888.79</v>
      </c>
    </row>
    <row r="56" spans="1:8" x14ac:dyDescent="0.3">
      <c r="A56" s="59">
        <f t="shared" si="8"/>
        <v>50</v>
      </c>
      <c r="B56" s="60" t="s">
        <v>339</v>
      </c>
      <c r="C56" s="64" t="s">
        <v>219</v>
      </c>
      <c r="D56" s="165">
        <f>24*0.071</f>
        <v>1.7039999999999997</v>
      </c>
      <c r="E56" s="81">
        <v>147</v>
      </c>
      <c r="F56" s="81">
        <f t="shared" ref="F56:F59" si="9">ROUND(E56*D56,2)</f>
        <v>250.49</v>
      </c>
      <c r="G56" s="81">
        <f t="shared" si="7"/>
        <v>300.58999999999997</v>
      </c>
    </row>
    <row r="57" spans="1:8" x14ac:dyDescent="0.3">
      <c r="A57" s="59">
        <f t="shared" si="8"/>
        <v>51</v>
      </c>
      <c r="B57" s="60" t="s">
        <v>340</v>
      </c>
      <c r="C57" s="64" t="s">
        <v>219</v>
      </c>
      <c r="D57" s="165">
        <f>48*0.0172</f>
        <v>0.8256</v>
      </c>
      <c r="E57" s="81">
        <v>197</v>
      </c>
      <c r="F57" s="81">
        <f t="shared" si="9"/>
        <v>162.63999999999999</v>
      </c>
      <c r="G57" s="81">
        <f t="shared" si="7"/>
        <v>195.17</v>
      </c>
    </row>
    <row r="58" spans="1:8" ht="27.6" x14ac:dyDescent="0.3">
      <c r="A58" s="59">
        <f t="shared" si="8"/>
        <v>52</v>
      </c>
      <c r="B58" s="60" t="s">
        <v>341</v>
      </c>
      <c r="C58" s="59" t="s">
        <v>207</v>
      </c>
      <c r="D58" s="68">
        <v>2</v>
      </c>
      <c r="E58" s="81">
        <v>4730</v>
      </c>
      <c r="F58" s="81">
        <f t="shared" si="9"/>
        <v>9460</v>
      </c>
      <c r="G58" s="81">
        <f t="shared" si="7"/>
        <v>11352</v>
      </c>
    </row>
    <row r="59" spans="1:8" x14ac:dyDescent="0.3">
      <c r="A59" s="59">
        <f t="shared" si="8"/>
        <v>53</v>
      </c>
      <c r="B59" s="60" t="s">
        <v>299</v>
      </c>
      <c r="C59" s="59" t="s">
        <v>181</v>
      </c>
      <c r="D59" s="68" t="s">
        <v>320</v>
      </c>
      <c r="E59" s="81">
        <v>3850</v>
      </c>
      <c r="F59" s="81">
        <f t="shared" si="9"/>
        <v>23100</v>
      </c>
      <c r="G59" s="81">
        <f t="shared" si="7"/>
        <v>27720</v>
      </c>
      <c r="H59" s="168"/>
    </row>
    <row r="60" spans="1:8" ht="22.5" customHeight="1" x14ac:dyDescent="0.3">
      <c r="A60" s="134"/>
      <c r="B60" s="385" t="s">
        <v>279</v>
      </c>
      <c r="C60" s="455"/>
      <c r="D60" s="455"/>
      <c r="E60" s="136"/>
      <c r="F60" s="137"/>
      <c r="G60" s="107"/>
    </row>
    <row r="61" spans="1:8" x14ac:dyDescent="0.3">
      <c r="A61" s="59">
        <f>A59+1</f>
        <v>54</v>
      </c>
      <c r="B61" s="60" t="s">
        <v>222</v>
      </c>
      <c r="C61" s="59" t="s">
        <v>181</v>
      </c>
      <c r="D61" s="62">
        <v>19</v>
      </c>
      <c r="E61" s="81">
        <v>1320</v>
      </c>
      <c r="F61" s="81">
        <f t="shared" ref="F61:F66" si="10">ROUND(E61*D61,2)</f>
        <v>25080</v>
      </c>
      <c r="G61" s="81">
        <f t="shared" ref="G61:G66" si="11">ROUND(F61*1.2,2)</f>
        <v>30096</v>
      </c>
    </row>
    <row r="62" spans="1:8" ht="27.6" x14ac:dyDescent="0.3">
      <c r="A62" s="59">
        <f>A61+1</f>
        <v>55</v>
      </c>
      <c r="B62" s="60" t="s">
        <v>343</v>
      </c>
      <c r="C62" s="59" t="s">
        <v>182</v>
      </c>
      <c r="D62" s="68" t="s">
        <v>344</v>
      </c>
      <c r="E62" s="81">
        <v>1430</v>
      </c>
      <c r="F62" s="81">
        <f t="shared" si="10"/>
        <v>60060</v>
      </c>
      <c r="G62" s="81">
        <f t="shared" si="11"/>
        <v>72072</v>
      </c>
    </row>
    <row r="63" spans="1:8" x14ac:dyDescent="0.3">
      <c r="A63" s="59">
        <f t="shared" ref="A63:A66" si="12">A62+1</f>
        <v>56</v>
      </c>
      <c r="B63" s="60" t="s">
        <v>345</v>
      </c>
      <c r="C63" s="59" t="s">
        <v>182</v>
      </c>
      <c r="D63" s="68" t="s">
        <v>320</v>
      </c>
      <c r="E63" s="81">
        <v>8140</v>
      </c>
      <c r="F63" s="81">
        <f t="shared" si="10"/>
        <v>48840</v>
      </c>
      <c r="G63" s="81">
        <f t="shared" si="11"/>
        <v>58608</v>
      </c>
    </row>
    <row r="64" spans="1:8" x14ac:dyDescent="0.3">
      <c r="A64" s="59">
        <f t="shared" si="12"/>
        <v>57</v>
      </c>
      <c r="B64" s="60" t="s">
        <v>346</v>
      </c>
      <c r="C64" s="59" t="s">
        <v>207</v>
      </c>
      <c r="D64" s="68">
        <v>2</v>
      </c>
      <c r="E64" s="81">
        <v>2090</v>
      </c>
      <c r="F64" s="81">
        <f t="shared" si="10"/>
        <v>4180</v>
      </c>
      <c r="G64" s="81">
        <f t="shared" si="11"/>
        <v>5016</v>
      </c>
    </row>
    <row r="65" spans="1:8" ht="33.75" customHeight="1" x14ac:dyDescent="0.3">
      <c r="A65" s="59">
        <f t="shared" si="12"/>
        <v>58</v>
      </c>
      <c r="B65" s="60" t="s">
        <v>347</v>
      </c>
      <c r="C65" s="59" t="s">
        <v>207</v>
      </c>
      <c r="D65" s="68">
        <v>2</v>
      </c>
      <c r="E65" s="81">
        <v>2420</v>
      </c>
      <c r="F65" s="81">
        <f t="shared" si="10"/>
        <v>4840</v>
      </c>
      <c r="G65" s="81">
        <f t="shared" si="11"/>
        <v>5808</v>
      </c>
    </row>
    <row r="66" spans="1:8" x14ac:dyDescent="0.3">
      <c r="A66" s="59">
        <f t="shared" si="12"/>
        <v>59</v>
      </c>
      <c r="B66" s="60" t="s">
        <v>299</v>
      </c>
      <c r="C66" s="59" t="s">
        <v>181</v>
      </c>
      <c r="D66" s="68" t="s">
        <v>301</v>
      </c>
      <c r="E66" s="81">
        <v>3850</v>
      </c>
      <c r="F66" s="81">
        <f t="shared" si="10"/>
        <v>3850</v>
      </c>
      <c r="G66" s="81">
        <f t="shared" si="11"/>
        <v>4620</v>
      </c>
      <c r="H66" s="168"/>
    </row>
    <row r="67" spans="1:8" ht="23.25" customHeight="1" x14ac:dyDescent="0.3">
      <c r="A67" s="134"/>
      <c r="B67" s="385" t="s">
        <v>280</v>
      </c>
      <c r="C67" s="455"/>
      <c r="D67" s="455"/>
      <c r="E67" s="136"/>
      <c r="F67" s="137"/>
      <c r="G67" s="107"/>
    </row>
    <row r="68" spans="1:8" ht="18.75" customHeight="1" x14ac:dyDescent="0.3">
      <c r="A68" s="59">
        <f>A66+1</f>
        <v>60</v>
      </c>
      <c r="B68" s="60" t="s">
        <v>222</v>
      </c>
      <c r="C68" s="59" t="s">
        <v>181</v>
      </c>
      <c r="D68" s="62">
        <v>11</v>
      </c>
      <c r="E68" s="81">
        <v>1320</v>
      </c>
      <c r="F68" s="81">
        <f t="shared" ref="F68:F73" si="13">ROUND(E68*D68,2)</f>
        <v>14520</v>
      </c>
      <c r="G68" s="81">
        <f t="shared" ref="G68:G73" si="14">ROUND(F68*1.2,2)</f>
        <v>17424</v>
      </c>
    </row>
    <row r="69" spans="1:8" ht="15.75" customHeight="1" x14ac:dyDescent="0.3">
      <c r="A69" s="59">
        <f>A68+1</f>
        <v>61</v>
      </c>
      <c r="B69" s="60" t="s">
        <v>348</v>
      </c>
      <c r="C69" s="59" t="s">
        <v>182</v>
      </c>
      <c r="D69" s="68" t="s">
        <v>309</v>
      </c>
      <c r="E69" s="81">
        <v>1430</v>
      </c>
      <c r="F69" s="81">
        <f t="shared" si="13"/>
        <v>32890</v>
      </c>
      <c r="G69" s="81">
        <f t="shared" si="14"/>
        <v>39468</v>
      </c>
    </row>
    <row r="70" spans="1:8" ht="18" customHeight="1" x14ac:dyDescent="0.3">
      <c r="A70" s="59">
        <f t="shared" ref="A70:A73" si="15">A69+1</f>
        <v>62</v>
      </c>
      <c r="B70" s="60" t="s">
        <v>345</v>
      </c>
      <c r="C70" s="59" t="s">
        <v>182</v>
      </c>
      <c r="D70" s="68" t="s">
        <v>320</v>
      </c>
      <c r="E70" s="81">
        <v>8140</v>
      </c>
      <c r="F70" s="81">
        <f t="shared" si="13"/>
        <v>48840</v>
      </c>
      <c r="G70" s="81">
        <f t="shared" si="14"/>
        <v>58608</v>
      </c>
    </row>
    <row r="71" spans="1:8" ht="19.5" customHeight="1" x14ac:dyDescent="0.3">
      <c r="A71" s="59">
        <f t="shared" si="15"/>
        <v>63</v>
      </c>
      <c r="B71" s="60" t="s">
        <v>346</v>
      </c>
      <c r="C71" s="59" t="s">
        <v>207</v>
      </c>
      <c r="D71" s="68" t="s">
        <v>304</v>
      </c>
      <c r="E71" s="81">
        <v>2090</v>
      </c>
      <c r="F71" s="81">
        <f t="shared" si="13"/>
        <v>4180</v>
      </c>
      <c r="G71" s="81">
        <f t="shared" si="14"/>
        <v>5016</v>
      </c>
    </row>
    <row r="72" spans="1:8" ht="27.6" x14ac:dyDescent="0.3">
      <c r="A72" s="59">
        <f t="shared" si="15"/>
        <v>64</v>
      </c>
      <c r="B72" s="60" t="s">
        <v>349</v>
      </c>
      <c r="C72" s="59" t="s">
        <v>207</v>
      </c>
      <c r="D72" s="68">
        <v>4</v>
      </c>
      <c r="E72" s="81">
        <v>2420</v>
      </c>
      <c r="F72" s="81">
        <f t="shared" si="13"/>
        <v>9680</v>
      </c>
      <c r="G72" s="81">
        <f t="shared" si="14"/>
        <v>11616</v>
      </c>
    </row>
    <row r="73" spans="1:8" x14ac:dyDescent="0.3">
      <c r="A73" s="59">
        <f t="shared" si="15"/>
        <v>65</v>
      </c>
      <c r="B73" s="60" t="s">
        <v>299</v>
      </c>
      <c r="C73" s="59" t="s">
        <v>181</v>
      </c>
      <c r="D73" s="68" t="s">
        <v>301</v>
      </c>
      <c r="E73" s="81">
        <v>3850</v>
      </c>
      <c r="F73" s="81">
        <f t="shared" si="13"/>
        <v>3850</v>
      </c>
      <c r="G73" s="81">
        <f t="shared" si="14"/>
        <v>4620</v>
      </c>
      <c r="H73" s="168"/>
    </row>
    <row r="74" spans="1:8" ht="21.75" customHeight="1" x14ac:dyDescent="0.3">
      <c r="A74" s="134"/>
      <c r="B74" s="385" t="s">
        <v>281</v>
      </c>
      <c r="C74" s="455"/>
      <c r="D74" s="455"/>
      <c r="E74" s="136"/>
      <c r="F74" s="137"/>
      <c r="G74" s="107"/>
    </row>
    <row r="75" spans="1:8" x14ac:dyDescent="0.3">
      <c r="A75" s="59">
        <f>A73+1</f>
        <v>66</v>
      </c>
      <c r="B75" s="60" t="s">
        <v>222</v>
      </c>
      <c r="C75" s="59" t="s">
        <v>181</v>
      </c>
      <c r="D75" s="62">
        <v>42</v>
      </c>
      <c r="E75" s="81">
        <v>1320</v>
      </c>
      <c r="F75" s="81">
        <f t="shared" ref="F75:F80" si="16">ROUND(E75*D75,2)</f>
        <v>55440</v>
      </c>
      <c r="G75" s="81">
        <f t="shared" ref="G75:G80" si="17">ROUND(F75*1.2,2)</f>
        <v>66528</v>
      </c>
    </row>
    <row r="76" spans="1:8" x14ac:dyDescent="0.3">
      <c r="A76" s="59">
        <f>A75+1</f>
        <v>67</v>
      </c>
      <c r="B76" s="60" t="s">
        <v>350</v>
      </c>
      <c r="C76" s="59" t="s">
        <v>182</v>
      </c>
      <c r="D76" s="68" t="s">
        <v>351</v>
      </c>
      <c r="E76" s="81">
        <v>16500</v>
      </c>
      <c r="F76" s="81">
        <f t="shared" si="16"/>
        <v>511500</v>
      </c>
      <c r="G76" s="81">
        <f t="shared" si="17"/>
        <v>613800</v>
      </c>
    </row>
    <row r="77" spans="1:8" x14ac:dyDescent="0.3">
      <c r="A77" s="59">
        <f t="shared" ref="A77:A80" si="18">A76+1</f>
        <v>68</v>
      </c>
      <c r="B77" s="60" t="s">
        <v>352</v>
      </c>
      <c r="C77" s="59" t="s">
        <v>182</v>
      </c>
      <c r="D77" s="68" t="s">
        <v>320</v>
      </c>
      <c r="E77" s="81">
        <v>19800</v>
      </c>
      <c r="F77" s="81">
        <f t="shared" si="16"/>
        <v>118800</v>
      </c>
      <c r="G77" s="81">
        <f t="shared" si="17"/>
        <v>142560</v>
      </c>
    </row>
    <row r="78" spans="1:8" x14ac:dyDescent="0.3">
      <c r="A78" s="59">
        <f t="shared" si="18"/>
        <v>69</v>
      </c>
      <c r="B78" s="60" t="s">
        <v>353</v>
      </c>
      <c r="C78" s="59" t="s">
        <v>207</v>
      </c>
      <c r="D78" s="68">
        <v>2</v>
      </c>
      <c r="E78" s="81">
        <v>10340</v>
      </c>
      <c r="F78" s="81">
        <f t="shared" si="16"/>
        <v>20680</v>
      </c>
      <c r="G78" s="81">
        <f t="shared" si="17"/>
        <v>24816</v>
      </c>
    </row>
    <row r="79" spans="1:8" ht="27.6" x14ac:dyDescent="0.3">
      <c r="A79" s="59">
        <f t="shared" si="18"/>
        <v>70</v>
      </c>
      <c r="B79" s="60" t="s">
        <v>354</v>
      </c>
      <c r="C79" s="59" t="s">
        <v>207</v>
      </c>
      <c r="D79" s="68">
        <v>2</v>
      </c>
      <c r="E79" s="81">
        <v>70923</v>
      </c>
      <c r="F79" s="81">
        <f t="shared" si="16"/>
        <v>141846</v>
      </c>
      <c r="G79" s="81">
        <f t="shared" si="17"/>
        <v>170215.2</v>
      </c>
    </row>
    <row r="80" spans="1:8" x14ac:dyDescent="0.3">
      <c r="A80" s="59">
        <f t="shared" si="18"/>
        <v>71</v>
      </c>
      <c r="B80" s="60" t="s">
        <v>299</v>
      </c>
      <c r="C80" s="59" t="s">
        <v>181</v>
      </c>
      <c r="D80" s="68" t="s">
        <v>304</v>
      </c>
      <c r="E80" s="81">
        <v>3850</v>
      </c>
      <c r="F80" s="81">
        <f t="shared" si="16"/>
        <v>7700</v>
      </c>
      <c r="G80" s="81">
        <f t="shared" si="17"/>
        <v>9240</v>
      </c>
      <c r="H80" s="168"/>
    </row>
    <row r="81" spans="1:8" ht="21" customHeight="1" x14ac:dyDescent="0.3">
      <c r="A81" s="134"/>
      <c r="B81" s="385" t="s">
        <v>282</v>
      </c>
      <c r="C81" s="455"/>
      <c r="D81" s="455"/>
      <c r="E81" s="136"/>
      <c r="F81" s="137"/>
      <c r="G81" s="107"/>
    </row>
    <row r="82" spans="1:8" x14ac:dyDescent="0.3">
      <c r="A82" s="59">
        <f>A80+1</f>
        <v>72</v>
      </c>
      <c r="B82" s="60" t="s">
        <v>222</v>
      </c>
      <c r="C82" s="59" t="s">
        <v>181</v>
      </c>
      <c r="D82" s="62">
        <v>26</v>
      </c>
      <c r="E82" s="81">
        <v>1320</v>
      </c>
      <c r="F82" s="81">
        <f t="shared" ref="F82:F87" si="19">ROUND(E82*D82,2)</f>
        <v>34320</v>
      </c>
      <c r="G82" s="81">
        <f t="shared" ref="G82:G87" si="20">ROUND(F82*1.2,2)</f>
        <v>41184</v>
      </c>
    </row>
    <row r="83" spans="1:8" x14ac:dyDescent="0.3">
      <c r="A83" s="59">
        <f>A82+1</f>
        <v>73</v>
      </c>
      <c r="B83" s="60" t="s">
        <v>355</v>
      </c>
      <c r="C83" s="59" t="s">
        <v>182</v>
      </c>
      <c r="D83" s="68" t="s">
        <v>351</v>
      </c>
      <c r="E83" s="81">
        <v>7480</v>
      </c>
      <c r="F83" s="81">
        <f t="shared" si="19"/>
        <v>231880</v>
      </c>
      <c r="G83" s="81">
        <f t="shared" si="20"/>
        <v>278256</v>
      </c>
    </row>
    <row r="84" spans="1:8" x14ac:dyDescent="0.3">
      <c r="A84" s="59">
        <f t="shared" ref="A84:A87" si="21">A83+1</f>
        <v>74</v>
      </c>
      <c r="B84" s="60" t="s">
        <v>356</v>
      </c>
      <c r="C84" s="59" t="s">
        <v>182</v>
      </c>
      <c r="D84" s="68" t="s">
        <v>320</v>
      </c>
      <c r="E84" s="81">
        <v>11110</v>
      </c>
      <c r="F84" s="81">
        <f t="shared" si="19"/>
        <v>66660</v>
      </c>
      <c r="G84" s="81">
        <f t="shared" si="20"/>
        <v>79992</v>
      </c>
    </row>
    <row r="85" spans="1:8" x14ac:dyDescent="0.3">
      <c r="A85" s="59">
        <f t="shared" si="21"/>
        <v>75</v>
      </c>
      <c r="B85" s="60" t="s">
        <v>357</v>
      </c>
      <c r="C85" s="59" t="s">
        <v>207</v>
      </c>
      <c r="D85" s="68">
        <v>2</v>
      </c>
      <c r="E85" s="81">
        <v>7260</v>
      </c>
      <c r="F85" s="81">
        <f t="shared" si="19"/>
        <v>14520</v>
      </c>
      <c r="G85" s="81">
        <f t="shared" si="20"/>
        <v>17424</v>
      </c>
    </row>
    <row r="86" spans="1:8" ht="27.6" x14ac:dyDescent="0.3">
      <c r="A86" s="59">
        <f t="shared" si="21"/>
        <v>76</v>
      </c>
      <c r="B86" s="60" t="s">
        <v>358</v>
      </c>
      <c r="C86" s="59" t="s">
        <v>207</v>
      </c>
      <c r="D86" s="68">
        <v>2</v>
      </c>
      <c r="E86" s="81">
        <v>14014</v>
      </c>
      <c r="F86" s="81">
        <f t="shared" si="19"/>
        <v>28028</v>
      </c>
      <c r="G86" s="81">
        <f t="shared" si="20"/>
        <v>33633.599999999999</v>
      </c>
    </row>
    <row r="87" spans="1:8" x14ac:dyDescent="0.3">
      <c r="A87" s="59">
        <f t="shared" si="21"/>
        <v>77</v>
      </c>
      <c r="B87" s="60" t="s">
        <v>299</v>
      </c>
      <c r="C87" s="59" t="s">
        <v>181</v>
      </c>
      <c r="D87" s="68" t="s">
        <v>301</v>
      </c>
      <c r="E87" s="81">
        <v>3850</v>
      </c>
      <c r="F87" s="81">
        <f t="shared" si="19"/>
        <v>3850</v>
      </c>
      <c r="G87" s="81">
        <f t="shared" si="20"/>
        <v>4620</v>
      </c>
      <c r="H87" s="168"/>
    </row>
    <row r="88" spans="1:8" ht="24.75" customHeight="1" x14ac:dyDescent="0.3">
      <c r="A88" s="134"/>
      <c r="B88" s="385" t="s">
        <v>283</v>
      </c>
      <c r="C88" s="455"/>
      <c r="D88" s="455"/>
      <c r="E88" s="136"/>
      <c r="F88" s="137"/>
      <c r="G88" s="107"/>
    </row>
    <row r="89" spans="1:8" x14ac:dyDescent="0.3">
      <c r="A89" s="59">
        <f>A87+1</f>
        <v>78</v>
      </c>
      <c r="B89" s="60" t="s">
        <v>222</v>
      </c>
      <c r="C89" s="59" t="s">
        <v>181</v>
      </c>
      <c r="D89" s="62">
        <v>15</v>
      </c>
      <c r="E89" s="81">
        <v>1320</v>
      </c>
      <c r="F89" s="81">
        <f t="shared" ref="F89" si="22">ROUND(E89*D89,2)</f>
        <v>19800</v>
      </c>
      <c r="G89" s="81">
        <f t="shared" ref="G89" si="23">ROUND(F89*1.2,2)</f>
        <v>23760</v>
      </c>
    </row>
    <row r="90" spans="1:8" x14ac:dyDescent="0.3">
      <c r="A90" s="59">
        <f>A89+1</f>
        <v>79</v>
      </c>
      <c r="B90" s="60" t="s">
        <v>355</v>
      </c>
      <c r="C90" s="59" t="s">
        <v>182</v>
      </c>
      <c r="D90" s="68" t="s">
        <v>359</v>
      </c>
      <c r="E90" s="81">
        <v>7480</v>
      </c>
      <c r="F90" s="81">
        <f t="shared" ref="F90:F93" si="24">ROUND(E90*D90,2)</f>
        <v>157080</v>
      </c>
      <c r="G90" s="81">
        <f t="shared" ref="G90:G93" si="25">ROUND(F90*1.2,2)</f>
        <v>188496</v>
      </c>
    </row>
    <row r="91" spans="1:8" x14ac:dyDescent="0.3">
      <c r="A91" s="59">
        <f t="shared" ref="A91:A94" si="26">A90+1</f>
        <v>80</v>
      </c>
      <c r="B91" s="60" t="s">
        <v>356</v>
      </c>
      <c r="C91" s="59" t="s">
        <v>182</v>
      </c>
      <c r="D91" s="68" t="s">
        <v>320</v>
      </c>
      <c r="E91" s="81">
        <v>11110</v>
      </c>
      <c r="F91" s="81">
        <f t="shared" si="24"/>
        <v>66660</v>
      </c>
      <c r="G91" s="81">
        <f t="shared" si="25"/>
        <v>79992</v>
      </c>
    </row>
    <row r="92" spans="1:8" x14ac:dyDescent="0.3">
      <c r="A92" s="59">
        <f t="shared" si="26"/>
        <v>81</v>
      </c>
      <c r="B92" s="60" t="s">
        <v>357</v>
      </c>
      <c r="C92" s="59" t="s">
        <v>207</v>
      </c>
      <c r="D92" s="68">
        <v>2</v>
      </c>
      <c r="E92" s="81">
        <v>7260</v>
      </c>
      <c r="F92" s="81">
        <f t="shared" si="24"/>
        <v>14520</v>
      </c>
      <c r="G92" s="81">
        <f t="shared" si="25"/>
        <v>17424</v>
      </c>
    </row>
    <row r="93" spans="1:8" ht="32.25" customHeight="1" x14ac:dyDescent="0.3">
      <c r="A93" s="59">
        <f t="shared" si="26"/>
        <v>82</v>
      </c>
      <c r="B93" s="60" t="s">
        <v>358</v>
      </c>
      <c r="C93" s="59" t="s">
        <v>207</v>
      </c>
      <c r="D93" s="68">
        <v>2</v>
      </c>
      <c r="E93" s="81">
        <v>14014</v>
      </c>
      <c r="F93" s="81">
        <f t="shared" si="24"/>
        <v>28028</v>
      </c>
      <c r="G93" s="81">
        <f t="shared" si="25"/>
        <v>33633.599999999999</v>
      </c>
    </row>
    <row r="94" spans="1:8" ht="21" customHeight="1" x14ac:dyDescent="0.3">
      <c r="A94" s="59">
        <f t="shared" si="26"/>
        <v>83</v>
      </c>
      <c r="B94" s="60" t="s">
        <v>299</v>
      </c>
      <c r="C94" s="59" t="s">
        <v>181</v>
      </c>
      <c r="D94" s="68" t="s">
        <v>301</v>
      </c>
      <c r="E94" s="81">
        <v>3850</v>
      </c>
      <c r="F94" s="81">
        <f t="shared" ref="F94" si="27">ROUND(E94*D94,2)</f>
        <v>3850</v>
      </c>
      <c r="G94" s="81">
        <f t="shared" ref="G94" si="28">ROUND(F94*1.2,2)</f>
        <v>4620</v>
      </c>
      <c r="H94" s="168"/>
    </row>
    <row r="95" spans="1:8" ht="23.25" customHeight="1" x14ac:dyDescent="0.3">
      <c r="A95" s="134"/>
      <c r="B95" s="385" t="s">
        <v>284</v>
      </c>
      <c r="C95" s="455"/>
      <c r="D95" s="455"/>
      <c r="E95" s="136"/>
      <c r="F95" s="137"/>
      <c r="G95" s="107"/>
    </row>
    <row r="96" spans="1:8" x14ac:dyDescent="0.3">
      <c r="A96" s="59">
        <f>A94+1</f>
        <v>84</v>
      </c>
      <c r="B96" s="60" t="s">
        <v>222</v>
      </c>
      <c r="C96" s="59" t="s">
        <v>181</v>
      </c>
      <c r="D96" s="62">
        <v>46</v>
      </c>
      <c r="E96" s="81">
        <v>1320</v>
      </c>
      <c r="F96" s="81">
        <f t="shared" ref="F96" si="29">ROUND(E96*D96,2)</f>
        <v>60720</v>
      </c>
      <c r="G96" s="81">
        <f t="shared" ref="G96" si="30">ROUND(F96*1.2,2)</f>
        <v>72864</v>
      </c>
    </row>
    <row r="97" spans="1:8" x14ac:dyDescent="0.3">
      <c r="A97" s="59">
        <f>A96+1</f>
        <v>85</v>
      </c>
      <c r="B97" s="60" t="s">
        <v>355</v>
      </c>
      <c r="C97" s="59" t="s">
        <v>182</v>
      </c>
      <c r="D97" s="68" t="s">
        <v>360</v>
      </c>
      <c r="E97" s="81">
        <v>7480</v>
      </c>
      <c r="F97" s="81">
        <f t="shared" ref="F97:F100" si="31">ROUND(E97*D97,2)</f>
        <v>366520</v>
      </c>
      <c r="G97" s="81">
        <f t="shared" ref="G97:G100" si="32">ROUND(F97*1.2,2)</f>
        <v>439824</v>
      </c>
    </row>
    <row r="98" spans="1:8" x14ac:dyDescent="0.3">
      <c r="A98" s="59">
        <f t="shared" ref="A98:A101" si="33">A97+1</f>
        <v>86</v>
      </c>
      <c r="B98" s="60" t="s">
        <v>356</v>
      </c>
      <c r="C98" s="59" t="s">
        <v>182</v>
      </c>
      <c r="D98" s="68" t="s">
        <v>320</v>
      </c>
      <c r="E98" s="81">
        <v>11110</v>
      </c>
      <c r="F98" s="81">
        <f t="shared" si="31"/>
        <v>66660</v>
      </c>
      <c r="G98" s="81">
        <f t="shared" si="32"/>
        <v>79992</v>
      </c>
    </row>
    <row r="99" spans="1:8" x14ac:dyDescent="0.3">
      <c r="A99" s="59">
        <f t="shared" si="33"/>
        <v>87</v>
      </c>
      <c r="B99" s="60" t="s">
        <v>357</v>
      </c>
      <c r="C99" s="59" t="s">
        <v>207</v>
      </c>
      <c r="D99" s="68">
        <v>2</v>
      </c>
      <c r="E99" s="81">
        <v>7260</v>
      </c>
      <c r="F99" s="81">
        <f t="shared" si="31"/>
        <v>14520</v>
      </c>
      <c r="G99" s="81">
        <f t="shared" si="32"/>
        <v>17424</v>
      </c>
    </row>
    <row r="100" spans="1:8" ht="27.6" x14ac:dyDescent="0.3">
      <c r="A100" s="59">
        <f t="shared" si="33"/>
        <v>88</v>
      </c>
      <c r="B100" s="60" t="s">
        <v>358</v>
      </c>
      <c r="C100" s="59" t="s">
        <v>207</v>
      </c>
      <c r="D100" s="68">
        <v>2</v>
      </c>
      <c r="E100" s="81">
        <v>14014</v>
      </c>
      <c r="F100" s="81">
        <f t="shared" si="31"/>
        <v>28028</v>
      </c>
      <c r="G100" s="81">
        <f t="shared" si="32"/>
        <v>33633.599999999999</v>
      </c>
    </row>
    <row r="101" spans="1:8" x14ac:dyDescent="0.3">
      <c r="A101" s="59">
        <f t="shared" si="33"/>
        <v>89</v>
      </c>
      <c r="B101" s="60" t="s">
        <v>299</v>
      </c>
      <c r="C101" s="59" t="s">
        <v>181</v>
      </c>
      <c r="D101" s="68" t="s">
        <v>301</v>
      </c>
      <c r="E101" s="81">
        <v>3850</v>
      </c>
      <c r="F101" s="81">
        <f t="shared" ref="F101" si="34">ROUND(E101*D101,2)</f>
        <v>3850</v>
      </c>
      <c r="G101" s="81">
        <f t="shared" ref="G101" si="35">ROUND(F101*1.2,2)</f>
        <v>4620</v>
      </c>
      <c r="H101" s="168"/>
    </row>
    <row r="102" spans="1:8" ht="19.5" customHeight="1" x14ac:dyDescent="0.3">
      <c r="A102" s="134"/>
      <c r="B102" s="385" t="s">
        <v>285</v>
      </c>
      <c r="C102" s="455"/>
      <c r="D102" s="455"/>
      <c r="E102" s="136"/>
      <c r="F102" s="137"/>
      <c r="G102" s="107"/>
    </row>
    <row r="103" spans="1:8" x14ac:dyDescent="0.3">
      <c r="A103" s="59">
        <f>A101+1</f>
        <v>90</v>
      </c>
      <c r="B103" s="60" t="s">
        <v>361</v>
      </c>
      <c r="C103" s="59" t="s">
        <v>182</v>
      </c>
      <c r="D103" s="68" t="s">
        <v>362</v>
      </c>
      <c r="E103" s="81">
        <v>396</v>
      </c>
      <c r="F103" s="81">
        <f t="shared" ref="F103" si="36">ROUND(E103*D103,2)</f>
        <v>15840</v>
      </c>
      <c r="G103" s="81">
        <f t="shared" ref="G103" si="37">ROUND(F103*1.2,2)</f>
        <v>19008</v>
      </c>
    </row>
    <row r="104" spans="1:8" x14ac:dyDescent="0.3">
      <c r="A104" s="59">
        <f>A103+1</f>
        <v>91</v>
      </c>
      <c r="B104" s="60" t="s">
        <v>363</v>
      </c>
      <c r="C104" s="59" t="s">
        <v>207</v>
      </c>
      <c r="D104" s="68" t="s">
        <v>301</v>
      </c>
      <c r="E104" s="81">
        <v>8030</v>
      </c>
      <c r="F104" s="81">
        <f t="shared" ref="F104:F107" si="38">ROUND(E104*D104,2)</f>
        <v>8030</v>
      </c>
      <c r="G104" s="81">
        <f t="shared" ref="G104:G107" si="39">ROUND(F104*1.2,2)</f>
        <v>9636</v>
      </c>
    </row>
    <row r="105" spans="1:8" x14ac:dyDescent="0.3">
      <c r="A105" s="59">
        <f t="shared" ref="A105:A108" si="40">A104+1</f>
        <v>92</v>
      </c>
      <c r="B105" s="60" t="s">
        <v>161</v>
      </c>
      <c r="C105" s="59" t="s">
        <v>181</v>
      </c>
      <c r="D105" s="68" t="s">
        <v>364</v>
      </c>
      <c r="E105" s="81">
        <v>1320</v>
      </c>
      <c r="F105" s="81">
        <f t="shared" si="38"/>
        <v>22044</v>
      </c>
      <c r="G105" s="81">
        <f t="shared" si="39"/>
        <v>26452.799999999999</v>
      </c>
    </row>
    <row r="106" spans="1:8" ht="21.75" customHeight="1" x14ac:dyDescent="0.3">
      <c r="A106" s="59">
        <f t="shared" si="40"/>
        <v>93</v>
      </c>
      <c r="B106" s="60" t="s">
        <v>365</v>
      </c>
      <c r="C106" s="59" t="s">
        <v>182</v>
      </c>
      <c r="D106" s="68" t="s">
        <v>366</v>
      </c>
      <c r="E106" s="163">
        <v>1091</v>
      </c>
      <c r="F106" s="81">
        <f t="shared" si="38"/>
        <v>327300</v>
      </c>
      <c r="G106" s="81">
        <f t="shared" si="39"/>
        <v>392760</v>
      </c>
      <c r="H106" s="170"/>
    </row>
    <row r="107" spans="1:8" x14ac:dyDescent="0.3">
      <c r="A107" s="59">
        <f t="shared" si="40"/>
        <v>94</v>
      </c>
      <c r="B107" s="60" t="s">
        <v>367</v>
      </c>
      <c r="C107" s="59" t="s">
        <v>207</v>
      </c>
      <c r="D107" s="68">
        <v>4</v>
      </c>
      <c r="E107" s="81">
        <v>7480</v>
      </c>
      <c r="F107" s="81">
        <f t="shared" si="38"/>
        <v>29920</v>
      </c>
      <c r="G107" s="81">
        <f t="shared" si="39"/>
        <v>35904</v>
      </c>
    </row>
    <row r="108" spans="1:8" x14ac:dyDescent="0.3">
      <c r="A108" s="59">
        <f t="shared" si="40"/>
        <v>95</v>
      </c>
      <c r="B108" s="60" t="s">
        <v>368</v>
      </c>
      <c r="C108" s="59" t="s">
        <v>182</v>
      </c>
      <c r="D108" s="68" t="s">
        <v>362</v>
      </c>
      <c r="E108" s="81">
        <v>26</v>
      </c>
      <c r="F108" s="81">
        <f>ROUND(E108*D108,2)</f>
        <v>1040</v>
      </c>
      <c r="G108" s="81">
        <f>ROUND(F108*1.2,2)</f>
        <v>1248</v>
      </c>
    </row>
    <row r="109" spans="1:8" x14ac:dyDescent="0.3">
      <c r="A109" s="139"/>
      <c r="B109" s="456" t="s">
        <v>265</v>
      </c>
      <c r="C109" s="457"/>
      <c r="D109" s="457"/>
      <c r="E109" s="458"/>
      <c r="F109" s="138">
        <f>SUM(F5:F108)</f>
        <v>4109058.51</v>
      </c>
      <c r="G109" s="138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6640625" customWidth="1"/>
    <col min="3" max="3" width="8.5546875" bestFit="1" customWidth="1"/>
    <col min="4" max="4" width="8.33203125" bestFit="1" customWidth="1"/>
    <col min="5" max="5" width="13.33203125" customWidth="1"/>
    <col min="6" max="6" width="15" customWidth="1"/>
    <col min="7" max="7" width="15.33203125" style="52" customWidth="1"/>
  </cols>
  <sheetData>
    <row r="1" spans="1:7" x14ac:dyDescent="0.3">
      <c r="A1" s="465" t="s">
        <v>213</v>
      </c>
      <c r="B1" s="387" t="s">
        <v>214</v>
      </c>
      <c r="C1" s="387" t="s">
        <v>215</v>
      </c>
      <c r="D1" s="387" t="s">
        <v>216</v>
      </c>
      <c r="E1" s="459" t="s">
        <v>254</v>
      </c>
      <c r="F1" s="460"/>
      <c r="G1" s="460"/>
    </row>
    <row r="2" spans="1:7" x14ac:dyDescent="0.3">
      <c r="A2" s="465"/>
      <c r="B2" s="387"/>
      <c r="C2" s="387"/>
      <c r="D2" s="387"/>
      <c r="E2" s="387" t="s">
        <v>243</v>
      </c>
      <c r="F2" s="387" t="s">
        <v>236</v>
      </c>
      <c r="G2" s="462" t="s">
        <v>223</v>
      </c>
    </row>
    <row r="3" spans="1:7" ht="31.2" customHeight="1" x14ac:dyDescent="0.3">
      <c r="A3" s="465"/>
      <c r="B3" s="387"/>
      <c r="C3" s="387"/>
      <c r="D3" s="387"/>
      <c r="E3" s="387"/>
      <c r="F3" s="387"/>
      <c r="G3" s="462"/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64" t="s">
        <v>193</v>
      </c>
      <c r="B5" s="464"/>
      <c r="C5" s="464"/>
      <c r="D5" s="464"/>
      <c r="E5" s="122"/>
      <c r="F5" s="122"/>
      <c r="G5" s="113"/>
    </row>
    <row r="6" spans="1:7" x14ac:dyDescent="0.3">
      <c r="A6" s="463" t="s">
        <v>194</v>
      </c>
      <c r="B6" s="463"/>
      <c r="C6" s="463"/>
      <c r="D6" s="463"/>
      <c r="E6" s="123"/>
      <c r="F6" s="123"/>
      <c r="G6" s="111"/>
    </row>
    <row r="7" spans="1:7" x14ac:dyDescent="0.3">
      <c r="A7" s="100">
        <v>1</v>
      </c>
      <c r="B7" s="112" t="s">
        <v>195</v>
      </c>
      <c r="C7" s="105" t="s">
        <v>181</v>
      </c>
      <c r="D7" s="129">
        <f>79.62</f>
        <v>79.62</v>
      </c>
      <c r="E7" s="125">
        <v>8650</v>
      </c>
      <c r="F7" s="81">
        <f>ROUND(E7*D7,2)</f>
        <v>688713</v>
      </c>
      <c r="G7" s="81">
        <f>ROUND(F7*1.2,2)</f>
        <v>826455.6</v>
      </c>
    </row>
    <row r="8" spans="1:7" x14ac:dyDescent="0.3">
      <c r="A8" s="100">
        <f>A7+1</f>
        <v>2</v>
      </c>
      <c r="B8" s="112" t="s">
        <v>196</v>
      </c>
      <c r="C8" s="105" t="s">
        <v>181</v>
      </c>
      <c r="D8" s="129">
        <v>308.73</v>
      </c>
      <c r="E8" s="125">
        <v>12450</v>
      </c>
      <c r="F8" s="81">
        <f>ROUND(E8*D8,2)</f>
        <v>3843688.5</v>
      </c>
      <c r="G8" s="81">
        <f>ROUND(F8*1.2,2)</f>
        <v>4612426.2</v>
      </c>
    </row>
    <row r="9" spans="1:7" ht="21.75" customHeight="1" x14ac:dyDescent="0.3">
      <c r="A9" s="100">
        <f t="shared" ref="A9:A10" si="0">A8+1</f>
        <v>3</v>
      </c>
      <c r="B9" s="112" t="s">
        <v>197</v>
      </c>
      <c r="C9" s="105" t="s">
        <v>181</v>
      </c>
      <c r="D9" s="129">
        <f>196.74</f>
        <v>196.74</v>
      </c>
      <c r="E9" s="125">
        <v>5165</v>
      </c>
      <c r="F9" s="81">
        <f>ROUND(E9*D9,2)</f>
        <v>1016162.1</v>
      </c>
      <c r="G9" s="81">
        <f>ROUND(F9*1.2,2)</f>
        <v>1219394.52</v>
      </c>
    </row>
    <row r="10" spans="1:7" ht="27.6" x14ac:dyDescent="0.3">
      <c r="A10" s="100">
        <f t="shared" si="0"/>
        <v>4</v>
      </c>
      <c r="B10" s="114" t="s">
        <v>198</v>
      </c>
      <c r="C10" s="105"/>
      <c r="D10" s="108"/>
      <c r="E10" s="124"/>
      <c r="F10" s="125"/>
      <c r="G10" s="109"/>
    </row>
    <row r="11" spans="1:7" x14ac:dyDescent="0.3">
      <c r="A11" s="115">
        <v>4.0999999999999996</v>
      </c>
      <c r="B11" s="112" t="s">
        <v>199</v>
      </c>
      <c r="C11" s="105" t="s">
        <v>181</v>
      </c>
      <c r="D11" s="108">
        <v>151</v>
      </c>
      <c r="E11" s="125">
        <v>1611</v>
      </c>
      <c r="F11" s="81">
        <f>ROUND(E11*D11,2)</f>
        <v>243261</v>
      </c>
      <c r="G11" s="81">
        <f>ROUND(F11*1.2,2)</f>
        <v>291913.2</v>
      </c>
    </row>
    <row r="12" spans="1:7" x14ac:dyDescent="0.3">
      <c r="A12" s="115">
        <v>4.2</v>
      </c>
      <c r="B12" s="112" t="s">
        <v>200</v>
      </c>
      <c r="C12" s="105" t="s">
        <v>181</v>
      </c>
      <c r="D12" s="108">
        <v>163</v>
      </c>
      <c r="E12" s="125">
        <v>1496</v>
      </c>
      <c r="F12" s="81">
        <f>ROUND(E12*D12,2)</f>
        <v>243848</v>
      </c>
      <c r="G12" s="81">
        <f>ROUND(F12*1.2,2)</f>
        <v>292617.59999999998</v>
      </c>
    </row>
    <row r="13" spans="1:7" x14ac:dyDescent="0.3">
      <c r="A13" s="115">
        <v>4.3</v>
      </c>
      <c r="B13" s="112" t="s">
        <v>201</v>
      </c>
      <c r="C13" s="105" t="s">
        <v>182</v>
      </c>
      <c r="D13" s="110">
        <v>226.24</v>
      </c>
      <c r="E13" s="125">
        <v>30</v>
      </c>
      <c r="F13" s="81">
        <f>ROUND(E13*D13,2)</f>
        <v>6787.2</v>
      </c>
      <c r="G13" s="81">
        <f>ROUND(F13*1.2,2)</f>
        <v>8144.64</v>
      </c>
    </row>
    <row r="14" spans="1:7" x14ac:dyDescent="0.3">
      <c r="A14" s="463" t="s">
        <v>202</v>
      </c>
      <c r="B14" s="463"/>
      <c r="C14" s="463"/>
      <c r="D14" s="463"/>
      <c r="E14" s="123"/>
      <c r="F14" s="123"/>
      <c r="G14" s="111"/>
    </row>
    <row r="15" spans="1:7" ht="68.25" customHeight="1" x14ac:dyDescent="0.3">
      <c r="A15" s="100">
        <f>A10+1</f>
        <v>5</v>
      </c>
      <c r="B15" s="112" t="s">
        <v>203</v>
      </c>
      <c r="C15" s="105" t="s">
        <v>182</v>
      </c>
      <c r="D15" s="110">
        <v>226.24</v>
      </c>
      <c r="E15" s="125">
        <v>1587</v>
      </c>
      <c r="F15" s="81">
        <f t="shared" ref="F15:F17" si="1">ROUND(E15*D15,2)</f>
        <v>359042.88</v>
      </c>
      <c r="G15" s="81">
        <f t="shared" ref="G15:G17" si="2">ROUND(F15*1.2,2)</f>
        <v>430851.46</v>
      </c>
    </row>
    <row r="16" spans="1:7" ht="21" customHeight="1" x14ac:dyDescent="0.3">
      <c r="A16" s="100">
        <f>A15+1</f>
        <v>6</v>
      </c>
      <c r="B16" s="112" t="s">
        <v>205</v>
      </c>
      <c r="C16" s="105" t="s">
        <v>182</v>
      </c>
      <c r="D16" s="110">
        <v>226.24</v>
      </c>
      <c r="E16" s="125">
        <v>4200</v>
      </c>
      <c r="F16" s="81">
        <f t="shared" si="1"/>
        <v>950208</v>
      </c>
      <c r="G16" s="81">
        <f t="shared" si="2"/>
        <v>1140249.6000000001</v>
      </c>
    </row>
    <row r="17" spans="1:7" ht="22.5" customHeight="1" x14ac:dyDescent="0.3">
      <c r="A17" s="100">
        <f>A16+1</f>
        <v>7</v>
      </c>
      <c r="B17" s="112" t="s">
        <v>206</v>
      </c>
      <c r="C17" s="105" t="s">
        <v>207</v>
      </c>
      <c r="D17" s="108">
        <v>1</v>
      </c>
      <c r="E17" s="124">
        <v>80000</v>
      </c>
      <c r="F17" s="81">
        <f t="shared" si="1"/>
        <v>80000</v>
      </c>
      <c r="G17" s="81">
        <f t="shared" si="2"/>
        <v>96000</v>
      </c>
    </row>
    <row r="18" spans="1:7" x14ac:dyDescent="0.3">
      <c r="A18" s="464" t="s">
        <v>208</v>
      </c>
      <c r="B18" s="464"/>
      <c r="C18" s="464"/>
      <c r="D18" s="464"/>
      <c r="E18" s="122"/>
      <c r="F18" s="122"/>
      <c r="G18" s="113"/>
    </row>
    <row r="19" spans="1:7" x14ac:dyDescent="0.3">
      <c r="A19" s="463" t="s">
        <v>194</v>
      </c>
      <c r="B19" s="463"/>
      <c r="C19" s="463"/>
      <c r="D19" s="463"/>
      <c r="E19" s="123"/>
      <c r="F19" s="123"/>
      <c r="G19" s="111"/>
    </row>
    <row r="20" spans="1:7" x14ac:dyDescent="0.3">
      <c r="A20" s="100">
        <f>A17+1</f>
        <v>8</v>
      </c>
      <c r="B20" s="112" t="s">
        <v>195</v>
      </c>
      <c r="C20" s="105" t="s">
        <v>181</v>
      </c>
      <c r="D20" s="129">
        <f>79.62</f>
        <v>79.62</v>
      </c>
      <c r="E20" s="125">
        <v>8650</v>
      </c>
      <c r="F20" s="81">
        <f>ROUND(E20*D20,2)</f>
        <v>688713</v>
      </c>
      <c r="G20" s="81">
        <f>ROUND(F20*1.2,2)</f>
        <v>826455.6</v>
      </c>
    </row>
    <row r="21" spans="1:7" x14ac:dyDescent="0.3">
      <c r="A21" s="100">
        <f>A20+1</f>
        <v>9</v>
      </c>
      <c r="B21" s="112" t="s">
        <v>196</v>
      </c>
      <c r="C21" s="105" t="s">
        <v>181</v>
      </c>
      <c r="D21" s="129">
        <v>308.73</v>
      </c>
      <c r="E21" s="125">
        <v>12450</v>
      </c>
      <c r="F21" s="81">
        <f>ROUND(E21*D21,2)</f>
        <v>3843688.5</v>
      </c>
      <c r="G21" s="81">
        <f>ROUND(F21*1.2,2)</f>
        <v>4612426.2</v>
      </c>
    </row>
    <row r="22" spans="1:7" ht="24" customHeight="1" x14ac:dyDescent="0.3">
      <c r="A22" s="100">
        <f t="shared" ref="A22:A23" si="3">A21+1</f>
        <v>10</v>
      </c>
      <c r="B22" s="112" t="s">
        <v>197</v>
      </c>
      <c r="C22" s="105" t="s">
        <v>181</v>
      </c>
      <c r="D22" s="129">
        <f>196.74</f>
        <v>196.74</v>
      </c>
      <c r="E22" s="125">
        <v>5165</v>
      </c>
      <c r="F22" s="81">
        <f>ROUND(E22*D22,2)</f>
        <v>1016162.1</v>
      </c>
      <c r="G22" s="81">
        <f>ROUND(F22*1.2,2)</f>
        <v>1219394.52</v>
      </c>
    </row>
    <row r="23" spans="1:7" ht="29.25" customHeight="1" x14ac:dyDescent="0.3">
      <c r="A23" s="100">
        <f t="shared" si="3"/>
        <v>11</v>
      </c>
      <c r="B23" s="114" t="s">
        <v>198</v>
      </c>
      <c r="C23" s="105"/>
      <c r="D23" s="108"/>
      <c r="E23" s="124"/>
      <c r="F23" s="125"/>
      <c r="G23" s="109"/>
    </row>
    <row r="24" spans="1:7" x14ac:dyDescent="0.3">
      <c r="A24" s="115">
        <v>11.1</v>
      </c>
      <c r="B24" s="112" t="s">
        <v>199</v>
      </c>
      <c r="C24" s="105" t="s">
        <v>181</v>
      </c>
      <c r="D24" s="108">
        <v>151</v>
      </c>
      <c r="E24" s="125">
        <v>1611</v>
      </c>
      <c r="F24" s="81">
        <f>ROUND(E24*D24,2)</f>
        <v>243261</v>
      </c>
      <c r="G24" s="81">
        <f>ROUND(F24*1.2,2)</f>
        <v>291913.2</v>
      </c>
    </row>
    <row r="25" spans="1:7" x14ac:dyDescent="0.3">
      <c r="A25" s="115">
        <v>11.2</v>
      </c>
      <c r="B25" s="112" t="s">
        <v>200</v>
      </c>
      <c r="C25" s="105" t="s">
        <v>181</v>
      </c>
      <c r="D25" s="108">
        <v>163</v>
      </c>
      <c r="E25" s="125">
        <v>1496</v>
      </c>
      <c r="F25" s="81">
        <f>ROUND(E25*D25,2)</f>
        <v>243848</v>
      </c>
      <c r="G25" s="81">
        <f>ROUND(F25*1.2,2)</f>
        <v>292617.59999999998</v>
      </c>
    </row>
    <row r="26" spans="1:7" x14ac:dyDescent="0.3">
      <c r="A26" s="115">
        <v>11.3</v>
      </c>
      <c r="B26" s="112" t="s">
        <v>201</v>
      </c>
      <c r="C26" s="105" t="s">
        <v>182</v>
      </c>
      <c r="D26" s="110">
        <v>226.24</v>
      </c>
      <c r="E26" s="125">
        <v>30</v>
      </c>
      <c r="F26" s="81">
        <f>ROUND(E26*D26,2)</f>
        <v>6787.2</v>
      </c>
      <c r="G26" s="81">
        <f>ROUND(F26*1.2,2)</f>
        <v>8144.64</v>
      </c>
    </row>
    <row r="27" spans="1:7" x14ac:dyDescent="0.3">
      <c r="A27" s="463" t="s">
        <v>209</v>
      </c>
      <c r="B27" s="463"/>
      <c r="C27" s="463"/>
      <c r="D27" s="463"/>
      <c r="E27" s="123"/>
      <c r="F27" s="123"/>
      <c r="G27" s="111"/>
    </row>
    <row r="28" spans="1:7" ht="66.75" customHeight="1" x14ac:dyDescent="0.3">
      <c r="A28" s="100">
        <f>A23+1</f>
        <v>12</v>
      </c>
      <c r="B28" s="112" t="s">
        <v>203</v>
      </c>
      <c r="C28" s="105" t="s">
        <v>182</v>
      </c>
      <c r="D28" s="110">
        <v>226.24</v>
      </c>
      <c r="E28" s="125">
        <v>1587</v>
      </c>
      <c r="F28" s="81">
        <f t="shared" ref="F28:F30" si="4">ROUND(E28*D28,2)</f>
        <v>359042.88</v>
      </c>
      <c r="G28" s="81">
        <f t="shared" ref="G28:G30" si="5">ROUND(F28*1.2,2)</f>
        <v>430851.46</v>
      </c>
    </row>
    <row r="29" spans="1:7" ht="24" customHeight="1" x14ac:dyDescent="0.3">
      <c r="A29" s="100">
        <f>A28+1</f>
        <v>13</v>
      </c>
      <c r="B29" s="112" t="s">
        <v>205</v>
      </c>
      <c r="C29" s="105" t="s">
        <v>182</v>
      </c>
      <c r="D29" s="110">
        <v>226.24</v>
      </c>
      <c r="E29" s="125">
        <v>4200</v>
      </c>
      <c r="F29" s="81">
        <f t="shared" si="4"/>
        <v>950208</v>
      </c>
      <c r="G29" s="81">
        <f t="shared" si="5"/>
        <v>1140249.6000000001</v>
      </c>
    </row>
    <row r="30" spans="1:7" ht="22.5" customHeight="1" x14ac:dyDescent="0.3">
      <c r="A30" s="100">
        <f>A29+1</f>
        <v>14</v>
      </c>
      <c r="B30" s="112" t="s">
        <v>206</v>
      </c>
      <c r="C30" s="105" t="s">
        <v>207</v>
      </c>
      <c r="D30" s="108">
        <v>1</v>
      </c>
      <c r="E30" s="124">
        <v>80000</v>
      </c>
      <c r="F30" s="81">
        <f t="shared" si="4"/>
        <v>80000</v>
      </c>
      <c r="G30" s="81">
        <f t="shared" si="5"/>
        <v>96000</v>
      </c>
    </row>
    <row r="31" spans="1:7" x14ac:dyDescent="0.3">
      <c r="A31" s="464" t="s">
        <v>210</v>
      </c>
      <c r="B31" s="464"/>
      <c r="C31" s="464"/>
      <c r="D31" s="464"/>
      <c r="E31" s="122"/>
      <c r="F31" s="122"/>
      <c r="G31" s="113"/>
    </row>
    <row r="32" spans="1:7" x14ac:dyDescent="0.3">
      <c r="A32" s="463" t="s">
        <v>194</v>
      </c>
      <c r="B32" s="463"/>
      <c r="C32" s="463"/>
      <c r="D32" s="463"/>
      <c r="E32" s="123"/>
      <c r="F32" s="123"/>
      <c r="G32" s="109"/>
    </row>
    <row r="33" spans="1:7" x14ac:dyDescent="0.3">
      <c r="A33" s="100">
        <f>A30+1</f>
        <v>15</v>
      </c>
      <c r="B33" s="112" t="s">
        <v>195</v>
      </c>
      <c r="C33" s="105" t="s">
        <v>181</v>
      </c>
      <c r="D33" s="129">
        <v>55.04</v>
      </c>
      <c r="E33" s="125">
        <v>8650</v>
      </c>
      <c r="F33" s="81">
        <f>ROUND(E33*D33,2)</f>
        <v>476096</v>
      </c>
      <c r="G33" s="81">
        <f>ROUND(F33*1.2,2)</f>
        <v>571315.19999999995</v>
      </c>
    </row>
    <row r="34" spans="1:7" x14ac:dyDescent="0.3">
      <c r="A34" s="100">
        <f>A33+1</f>
        <v>16</v>
      </c>
      <c r="B34" s="112" t="s">
        <v>196</v>
      </c>
      <c r="C34" s="105" t="s">
        <v>181</v>
      </c>
      <c r="D34" s="129">
        <v>213.41</v>
      </c>
      <c r="E34" s="125">
        <v>12450</v>
      </c>
      <c r="F34" s="81">
        <f>ROUND(E34*D34,2)</f>
        <v>2656954.5</v>
      </c>
      <c r="G34" s="81">
        <f>ROUND(F34*1.2,2)</f>
        <v>3188345.4</v>
      </c>
    </row>
    <row r="35" spans="1:7" ht="23.25" customHeight="1" x14ac:dyDescent="0.3">
      <c r="A35" s="100">
        <f>A34+1</f>
        <v>17</v>
      </c>
      <c r="B35" s="112" t="s">
        <v>197</v>
      </c>
      <c r="C35" s="105" t="s">
        <v>181</v>
      </c>
      <c r="D35" s="129">
        <f>136</f>
        <v>136</v>
      </c>
      <c r="E35" s="125">
        <v>5165</v>
      </c>
      <c r="F35" s="81">
        <f>ROUND(E35*D35,2)</f>
        <v>702440</v>
      </c>
      <c r="G35" s="81">
        <f>ROUND(F35*1.2,2)</f>
        <v>842928</v>
      </c>
    </row>
    <row r="36" spans="1:7" ht="27.6" x14ac:dyDescent="0.3">
      <c r="A36" s="100">
        <f>A35+1</f>
        <v>18</v>
      </c>
      <c r="B36" s="114" t="s">
        <v>198</v>
      </c>
      <c r="C36" s="105"/>
      <c r="D36" s="108"/>
      <c r="E36" s="124"/>
      <c r="F36" s="125"/>
      <c r="G36" s="109"/>
    </row>
    <row r="37" spans="1:7" x14ac:dyDescent="0.3">
      <c r="A37" s="115">
        <v>18.100000000000001</v>
      </c>
      <c r="B37" s="112" t="s">
        <v>199</v>
      </c>
      <c r="C37" s="105" t="s">
        <v>181</v>
      </c>
      <c r="D37" s="108">
        <v>105</v>
      </c>
      <c r="E37" s="125">
        <v>1611</v>
      </c>
      <c r="F37" s="81">
        <f>ROUND(E37*D37,2)</f>
        <v>169155</v>
      </c>
      <c r="G37" s="81">
        <f>ROUND(F37*1.2,2)</f>
        <v>202986</v>
      </c>
    </row>
    <row r="38" spans="1:7" x14ac:dyDescent="0.3">
      <c r="A38" s="115">
        <v>18.2</v>
      </c>
      <c r="B38" s="112" t="s">
        <v>200</v>
      </c>
      <c r="C38" s="105" t="s">
        <v>181</v>
      </c>
      <c r="D38" s="119">
        <v>112.6</v>
      </c>
      <c r="E38" s="125">
        <v>1496</v>
      </c>
      <c r="F38" s="81">
        <f>ROUND(E38*D38,2)</f>
        <v>168449.6</v>
      </c>
      <c r="G38" s="81">
        <f>ROUND(F38*1.2,2)</f>
        <v>202139.51999999999</v>
      </c>
    </row>
    <row r="39" spans="1:7" x14ac:dyDescent="0.3">
      <c r="A39" s="115">
        <v>18.3</v>
      </c>
      <c r="B39" s="112" t="s">
        <v>201</v>
      </c>
      <c r="C39" s="105" t="s">
        <v>182</v>
      </c>
      <c r="D39" s="110">
        <v>156.38999999999999</v>
      </c>
      <c r="E39" s="125">
        <v>30</v>
      </c>
      <c r="F39" s="81">
        <f>ROUND(E39*D39,2)</f>
        <v>4691.7</v>
      </c>
      <c r="G39" s="81">
        <f>ROUND(F39*1.2,2)</f>
        <v>5630.04</v>
      </c>
    </row>
    <row r="40" spans="1:7" x14ac:dyDescent="0.3">
      <c r="A40" s="463" t="s">
        <v>264</v>
      </c>
      <c r="B40" s="463"/>
      <c r="C40" s="463"/>
      <c r="D40" s="463"/>
      <c r="E40" s="123"/>
      <c r="F40" s="123"/>
      <c r="G40" s="111"/>
    </row>
    <row r="41" spans="1:7" ht="66.75" customHeight="1" x14ac:dyDescent="0.3">
      <c r="A41" s="100">
        <f>A36+1</f>
        <v>19</v>
      </c>
      <c r="B41" s="112" t="s">
        <v>203</v>
      </c>
      <c r="C41" s="105" t="s">
        <v>182</v>
      </c>
      <c r="D41" s="110">
        <v>156.38999999999999</v>
      </c>
      <c r="E41" s="125">
        <v>1587</v>
      </c>
      <c r="F41" s="81">
        <f t="shared" ref="F41:F43" si="6">ROUND(E41*D41,2)</f>
        <v>248190.93</v>
      </c>
      <c r="G41" s="81">
        <f t="shared" ref="G41:G43" si="7">ROUND(F41*1.2,2)</f>
        <v>297829.12</v>
      </c>
    </row>
    <row r="42" spans="1:7" ht="23.25" customHeight="1" x14ac:dyDescent="0.3">
      <c r="A42" s="100">
        <f>A41+1</f>
        <v>20</v>
      </c>
      <c r="B42" s="112" t="s">
        <v>205</v>
      </c>
      <c r="C42" s="105" t="s">
        <v>182</v>
      </c>
      <c r="D42" s="110">
        <v>156.38999999999999</v>
      </c>
      <c r="E42" s="125">
        <v>4200</v>
      </c>
      <c r="F42" s="81">
        <f t="shared" si="6"/>
        <v>656838</v>
      </c>
      <c r="G42" s="81">
        <f t="shared" si="7"/>
        <v>788205.6</v>
      </c>
    </row>
    <row r="43" spans="1:7" ht="22.5" customHeight="1" x14ac:dyDescent="0.3">
      <c r="A43" s="100">
        <f>A42+1</f>
        <v>21</v>
      </c>
      <c r="B43" s="112" t="s">
        <v>206</v>
      </c>
      <c r="C43" s="105" t="s">
        <v>207</v>
      </c>
      <c r="D43" s="108">
        <v>1</v>
      </c>
      <c r="E43" s="124">
        <v>80000</v>
      </c>
      <c r="F43" s="81">
        <f t="shared" si="6"/>
        <v>80000</v>
      </c>
      <c r="G43" s="81">
        <f t="shared" si="7"/>
        <v>96000</v>
      </c>
    </row>
    <row r="44" spans="1:7" x14ac:dyDescent="0.3">
      <c r="A44" s="464" t="s">
        <v>211</v>
      </c>
      <c r="B44" s="464"/>
      <c r="C44" s="464"/>
      <c r="D44" s="464"/>
      <c r="E44" s="122"/>
      <c r="F44" s="122"/>
      <c r="G44" s="113"/>
    </row>
    <row r="45" spans="1:7" x14ac:dyDescent="0.3">
      <c r="A45" s="463" t="s">
        <v>194</v>
      </c>
      <c r="B45" s="463"/>
      <c r="C45" s="463"/>
      <c r="D45" s="463"/>
      <c r="E45" s="123"/>
      <c r="F45" s="123"/>
      <c r="G45" s="111"/>
    </row>
    <row r="46" spans="1:7" x14ac:dyDescent="0.3">
      <c r="A46" s="100">
        <f>A43+1</f>
        <v>22</v>
      </c>
      <c r="B46" s="112" t="s">
        <v>195</v>
      </c>
      <c r="C46" s="105" t="s">
        <v>181</v>
      </c>
      <c r="D46" s="129">
        <v>34.22</v>
      </c>
      <c r="E46" s="125">
        <v>8650</v>
      </c>
      <c r="F46" s="81">
        <f>ROUND(E46*D46,2)</f>
        <v>296003</v>
      </c>
      <c r="G46" s="81">
        <f>ROUND(F46*1.2,2)</f>
        <v>355203.6</v>
      </c>
    </row>
    <row r="47" spans="1:7" x14ac:dyDescent="0.3">
      <c r="A47" s="100">
        <f>A46+1</f>
        <v>23</v>
      </c>
      <c r="B47" s="112" t="s">
        <v>196</v>
      </c>
      <c r="C47" s="105" t="s">
        <v>181</v>
      </c>
      <c r="D47" s="129">
        <v>132.63</v>
      </c>
      <c r="E47" s="125">
        <v>12450</v>
      </c>
      <c r="F47" s="81">
        <f>ROUND(E47*D47,2)</f>
        <v>1651243.5</v>
      </c>
      <c r="G47" s="81">
        <f>ROUND(F47*1.2,2)</f>
        <v>1981492.2</v>
      </c>
    </row>
    <row r="48" spans="1:7" ht="24" customHeight="1" x14ac:dyDescent="0.3">
      <c r="A48" s="100">
        <f t="shared" ref="A48:A49" si="8">A47+1</f>
        <v>24</v>
      </c>
      <c r="B48" s="112" t="s">
        <v>197</v>
      </c>
      <c r="C48" s="105" t="s">
        <v>181</v>
      </c>
      <c r="D48" s="129">
        <f>84.52</f>
        <v>84.52</v>
      </c>
      <c r="E48" s="125">
        <v>5165</v>
      </c>
      <c r="F48" s="81">
        <f>ROUND(E48*D48,2)</f>
        <v>436545.8</v>
      </c>
      <c r="G48" s="81">
        <f>ROUND(F48*1.2,2)</f>
        <v>523854.96</v>
      </c>
    </row>
    <row r="49" spans="1:8" ht="27.6" x14ac:dyDescent="0.3">
      <c r="A49" s="100">
        <f t="shared" si="8"/>
        <v>25</v>
      </c>
      <c r="B49" s="114" t="s">
        <v>198</v>
      </c>
      <c r="C49" s="105"/>
      <c r="D49" s="108"/>
      <c r="E49" s="124"/>
      <c r="F49" s="125"/>
      <c r="G49" s="109"/>
    </row>
    <row r="50" spans="1:8" x14ac:dyDescent="0.3">
      <c r="A50" s="115">
        <v>25.1</v>
      </c>
      <c r="B50" s="112" t="s">
        <v>199</v>
      </c>
      <c r="C50" s="105" t="s">
        <v>181</v>
      </c>
      <c r="D50" s="108">
        <v>65</v>
      </c>
      <c r="E50" s="125">
        <v>1611</v>
      </c>
      <c r="F50" s="81">
        <f>ROUND(E50*D50,2)</f>
        <v>104715</v>
      </c>
      <c r="G50" s="81">
        <f>ROUND(F50*1.2,2)</f>
        <v>125658</v>
      </c>
    </row>
    <row r="51" spans="1:8" x14ac:dyDescent="0.3">
      <c r="A51" s="115">
        <v>25.2</v>
      </c>
      <c r="B51" s="112" t="s">
        <v>200</v>
      </c>
      <c r="C51" s="105" t="s">
        <v>181</v>
      </c>
      <c r="D51" s="119">
        <v>70</v>
      </c>
      <c r="E51" s="125">
        <v>1496</v>
      </c>
      <c r="F51" s="81">
        <f>ROUND(E51*D51,2)</f>
        <v>104720</v>
      </c>
      <c r="G51" s="81">
        <f>ROUND(F51*1.2,2)</f>
        <v>125664</v>
      </c>
    </row>
    <row r="52" spans="1:8" x14ac:dyDescent="0.3">
      <c r="A52" s="115">
        <v>25.3</v>
      </c>
      <c r="B52" s="112" t="s">
        <v>201</v>
      </c>
      <c r="C52" s="105" t="s">
        <v>182</v>
      </c>
      <c r="D52" s="119">
        <v>97.2</v>
      </c>
      <c r="E52" s="125">
        <v>30</v>
      </c>
      <c r="F52" s="81">
        <f>ROUND(E52*D52,2)</f>
        <v>2916</v>
      </c>
      <c r="G52" s="81">
        <f>ROUND(F52*1.2,2)</f>
        <v>3499.2</v>
      </c>
    </row>
    <row r="53" spans="1:8" x14ac:dyDescent="0.3">
      <c r="A53" s="463" t="s">
        <v>212</v>
      </c>
      <c r="B53" s="463"/>
      <c r="C53" s="463"/>
      <c r="D53" s="463"/>
      <c r="E53" s="123"/>
      <c r="F53" s="123"/>
      <c r="G53" s="111"/>
    </row>
    <row r="54" spans="1:8" ht="62.25" customHeight="1" x14ac:dyDescent="0.3">
      <c r="A54" s="100">
        <f>A49+1</f>
        <v>26</v>
      </c>
      <c r="B54" s="112" t="s">
        <v>203</v>
      </c>
      <c r="C54" s="105" t="s">
        <v>182</v>
      </c>
      <c r="D54" s="110">
        <v>97.2</v>
      </c>
      <c r="E54" s="125">
        <v>1587</v>
      </c>
      <c r="F54" s="81">
        <f t="shared" ref="F54:F56" si="9">ROUND(E54*D54,2)</f>
        <v>154256.4</v>
      </c>
      <c r="G54" s="81">
        <f t="shared" ref="G54:G56" si="10">ROUND(F54*1.2,2)</f>
        <v>185107.68</v>
      </c>
    </row>
    <row r="55" spans="1:8" ht="24" customHeight="1" x14ac:dyDescent="0.3">
      <c r="A55" s="100">
        <f>A54+1</f>
        <v>27</v>
      </c>
      <c r="B55" s="112" t="s">
        <v>205</v>
      </c>
      <c r="C55" s="105" t="s">
        <v>182</v>
      </c>
      <c r="D55" s="110">
        <v>97.2</v>
      </c>
      <c r="E55" s="125">
        <v>4200</v>
      </c>
      <c r="F55" s="81">
        <f t="shared" si="9"/>
        <v>408240</v>
      </c>
      <c r="G55" s="81">
        <f t="shared" si="10"/>
        <v>489888</v>
      </c>
    </row>
    <row r="56" spans="1:8" ht="24" customHeight="1" x14ac:dyDescent="0.3">
      <c r="A56" s="100">
        <f>A55+1</f>
        <v>28</v>
      </c>
      <c r="B56" s="112" t="s">
        <v>206</v>
      </c>
      <c r="C56" s="105" t="s">
        <v>207</v>
      </c>
      <c r="D56" s="108">
        <v>1</v>
      </c>
      <c r="E56" s="124">
        <v>80000</v>
      </c>
      <c r="F56" s="81">
        <f t="shared" si="9"/>
        <v>80000</v>
      </c>
      <c r="G56" s="81">
        <f t="shared" si="10"/>
        <v>96000</v>
      </c>
    </row>
    <row r="57" spans="1:8" s="1" customFormat="1" x14ac:dyDescent="0.3">
      <c r="A57" s="126"/>
      <c r="B57" s="461" t="s">
        <v>242</v>
      </c>
      <c r="C57" s="461"/>
      <c r="D57" s="461"/>
      <c r="E57" s="461"/>
      <c r="F57" s="127">
        <f>SUM(F5:F56)</f>
        <v>23264876.789999999</v>
      </c>
      <c r="G57" s="128">
        <f>SUM(G5:G56)</f>
        <v>27917852.16</v>
      </c>
    </row>
    <row r="58" spans="1:8" x14ac:dyDescent="0.3">
      <c r="A58" s="382" t="s">
        <v>266</v>
      </c>
      <c r="B58" s="383"/>
      <c r="C58" s="383"/>
      <c r="D58" s="383"/>
      <c r="E58" s="384"/>
      <c r="F58" s="171">
        <f>ROUND(F57*0.03,2)</f>
        <v>697946.3</v>
      </c>
      <c r="G58" s="171">
        <f>ROUND(G57*0.03,2)</f>
        <v>837535.56</v>
      </c>
      <c r="H58" s="52"/>
    </row>
    <row r="59" spans="1:8" x14ac:dyDescent="0.3">
      <c r="A59" s="382" t="s">
        <v>267</v>
      </c>
      <c r="B59" s="383"/>
      <c r="C59" s="383"/>
      <c r="D59" s="383"/>
      <c r="E59" s="384"/>
      <c r="F59" s="171">
        <f>F57+F58</f>
        <v>23962823.09</v>
      </c>
      <c r="G59" s="171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6640625" customWidth="1"/>
    <col min="7" max="7" width="15.5546875" customWidth="1"/>
  </cols>
  <sheetData>
    <row r="1" spans="1:7" x14ac:dyDescent="0.3">
      <c r="A1" s="465" t="s">
        <v>213</v>
      </c>
      <c r="B1" s="387" t="s">
        <v>214</v>
      </c>
      <c r="C1" s="387" t="s">
        <v>215</v>
      </c>
      <c r="D1" s="387" t="s">
        <v>216</v>
      </c>
      <c r="E1" s="466" t="s">
        <v>254</v>
      </c>
      <c r="F1" s="467"/>
      <c r="G1" s="468"/>
    </row>
    <row r="2" spans="1:7" x14ac:dyDescent="0.3">
      <c r="A2" s="465"/>
      <c r="B2" s="387"/>
      <c r="C2" s="387"/>
      <c r="D2" s="387"/>
      <c r="E2" s="469"/>
      <c r="F2" s="470"/>
      <c r="G2" s="471"/>
    </row>
    <row r="3" spans="1:7" ht="27.6" x14ac:dyDescent="0.3">
      <c r="A3" s="465"/>
      <c r="B3" s="387"/>
      <c r="C3" s="387"/>
      <c r="D3" s="387"/>
      <c r="E3" s="76" t="s">
        <v>183</v>
      </c>
      <c r="F3" s="77" t="s">
        <v>184</v>
      </c>
      <c r="G3" s="77" t="s">
        <v>186</v>
      </c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64" t="s">
        <v>193</v>
      </c>
      <c r="B5" s="464"/>
      <c r="C5" s="464"/>
      <c r="D5" s="464"/>
      <c r="E5" s="116"/>
      <c r="F5" s="116"/>
      <c r="G5" s="116"/>
    </row>
    <row r="6" spans="1:7" x14ac:dyDescent="0.3">
      <c r="A6" s="100">
        <v>1</v>
      </c>
      <c r="B6" s="60" t="s">
        <v>261</v>
      </c>
      <c r="C6" s="105" t="s">
        <v>181</v>
      </c>
      <c r="D6" s="108">
        <v>151</v>
      </c>
      <c r="E6" s="81">
        <v>5500</v>
      </c>
      <c r="F6" s="81">
        <f>ROUND(E6*D6,2)</f>
        <v>830500</v>
      </c>
      <c r="G6" s="81">
        <f>ROUND(F6*1.2,2)</f>
        <v>996600</v>
      </c>
    </row>
    <row r="7" spans="1:7" x14ac:dyDescent="0.3">
      <c r="A7" s="100">
        <f>A6+1</f>
        <v>2</v>
      </c>
      <c r="B7" s="60" t="s">
        <v>262</v>
      </c>
      <c r="C7" s="105" t="s">
        <v>181</v>
      </c>
      <c r="D7" s="108">
        <v>163</v>
      </c>
      <c r="E7" s="81">
        <v>1375</v>
      </c>
      <c r="F7" s="81">
        <f>ROUND(E7*D7,2)</f>
        <v>224125</v>
      </c>
      <c r="G7" s="81">
        <f>ROUND(F7*1.2,2)</f>
        <v>268950</v>
      </c>
    </row>
    <row r="8" spans="1:7" x14ac:dyDescent="0.3">
      <c r="A8" s="100">
        <f>A7+1</f>
        <v>3</v>
      </c>
      <c r="B8" s="60" t="s">
        <v>190</v>
      </c>
      <c r="C8" s="105" t="s">
        <v>182</v>
      </c>
      <c r="D8" s="110">
        <v>226.24</v>
      </c>
      <c r="E8" s="81">
        <v>168</v>
      </c>
      <c r="F8" s="81">
        <f>ROUND(E8*D8,2)</f>
        <v>38008.32</v>
      </c>
      <c r="G8" s="81">
        <f>ROUND(F8*1.2,2)</f>
        <v>45609.98</v>
      </c>
    </row>
    <row r="9" spans="1:7" ht="27.6" x14ac:dyDescent="0.3">
      <c r="A9" s="100">
        <f>A8+1</f>
        <v>4</v>
      </c>
      <c r="B9" s="112" t="s">
        <v>179</v>
      </c>
      <c r="C9" s="105" t="s">
        <v>182</v>
      </c>
      <c r="D9" s="110">
        <v>226.24</v>
      </c>
      <c r="E9" s="81">
        <f>ROUND(38500/1.2,2)</f>
        <v>32083.33</v>
      </c>
      <c r="F9" s="81">
        <f>ROUND(E9*D9,2)</f>
        <v>7258532.5800000001</v>
      </c>
      <c r="G9" s="81">
        <f>ROUND(F9*1.2,2)</f>
        <v>8710239.0999999996</v>
      </c>
    </row>
    <row r="10" spans="1:7" x14ac:dyDescent="0.3">
      <c r="A10" s="100">
        <f>A9+1</f>
        <v>5</v>
      </c>
      <c r="B10" s="120" t="s">
        <v>257</v>
      </c>
      <c r="C10" s="105" t="s">
        <v>178</v>
      </c>
      <c r="D10" s="82">
        <v>219</v>
      </c>
      <c r="E10" s="81">
        <f>ROUND(200/1.2,2)</f>
        <v>166.67</v>
      </c>
      <c r="F10" s="81">
        <f t="shared" ref="F10:F11" si="0">ROUND(E10*D10,2)</f>
        <v>36500.730000000003</v>
      </c>
      <c r="G10" s="81">
        <f t="shared" ref="G10:G11" si="1">ROUND(F10*1.2,2)</f>
        <v>43800.88</v>
      </c>
    </row>
    <row r="11" spans="1:7" x14ac:dyDescent="0.3">
      <c r="A11" s="100">
        <f t="shared" ref="A11:A13" si="2">A10+1</f>
        <v>6</v>
      </c>
      <c r="B11" s="120" t="s">
        <v>258</v>
      </c>
      <c r="C11" s="105" t="s">
        <v>178</v>
      </c>
      <c r="D11" s="82">
        <v>73</v>
      </c>
      <c r="E11" s="81">
        <f>ROUND(5841/1.2,2)</f>
        <v>4867.5</v>
      </c>
      <c r="F11" s="81">
        <f t="shared" si="0"/>
        <v>355327.5</v>
      </c>
      <c r="G11" s="81">
        <f t="shared" si="1"/>
        <v>426393</v>
      </c>
    </row>
    <row r="12" spans="1:7" x14ac:dyDescent="0.3">
      <c r="A12" s="100">
        <f t="shared" si="2"/>
        <v>7</v>
      </c>
      <c r="B12" s="112" t="s">
        <v>263</v>
      </c>
      <c r="C12" s="105" t="s">
        <v>204</v>
      </c>
      <c r="D12" s="108">
        <v>1</v>
      </c>
      <c r="E12" s="81">
        <v>110000</v>
      </c>
      <c r="F12" s="81">
        <f>ROUND(E12*D12,2)</f>
        <v>110000</v>
      </c>
      <c r="G12" s="81">
        <f>ROUND(F12*1.2,2)</f>
        <v>132000</v>
      </c>
    </row>
    <row r="13" spans="1:7" x14ac:dyDescent="0.3">
      <c r="A13" s="100">
        <f t="shared" si="2"/>
        <v>8</v>
      </c>
      <c r="B13" s="112" t="s">
        <v>180</v>
      </c>
      <c r="C13" s="105" t="s">
        <v>207</v>
      </c>
      <c r="D13" s="108">
        <v>1</v>
      </c>
      <c r="E13" s="81">
        <f>ROUND(154000/1.2,2)</f>
        <v>128333.33</v>
      </c>
      <c r="F13" s="81">
        <f>ROUND(E13*D13,2)</f>
        <v>128333.33</v>
      </c>
      <c r="G13" s="81">
        <f>ROUND(F13*1.2,2)</f>
        <v>154000</v>
      </c>
    </row>
    <row r="14" spans="1:7" x14ac:dyDescent="0.3">
      <c r="A14" s="464" t="s">
        <v>208</v>
      </c>
      <c r="B14" s="464"/>
      <c r="C14" s="464"/>
      <c r="D14" s="464"/>
      <c r="E14" s="117"/>
      <c r="F14" s="118"/>
      <c r="G14" s="118"/>
    </row>
    <row r="15" spans="1:7" x14ac:dyDescent="0.3">
      <c r="A15" s="100">
        <f>A13+1</f>
        <v>9</v>
      </c>
      <c r="B15" s="60" t="s">
        <v>261</v>
      </c>
      <c r="C15" s="105" t="s">
        <v>181</v>
      </c>
      <c r="D15" s="108">
        <v>151</v>
      </c>
      <c r="E15" s="81">
        <v>5500</v>
      </c>
      <c r="F15" s="81">
        <f>ROUND(E15*D15,2)</f>
        <v>830500</v>
      </c>
      <c r="G15" s="81">
        <f>ROUND(F15*1.2,2)</f>
        <v>996600</v>
      </c>
    </row>
    <row r="16" spans="1:7" x14ac:dyDescent="0.3">
      <c r="A16" s="100">
        <f>A15+1</f>
        <v>10</v>
      </c>
      <c r="B16" s="60" t="s">
        <v>262</v>
      </c>
      <c r="C16" s="105" t="s">
        <v>181</v>
      </c>
      <c r="D16" s="108">
        <v>163</v>
      </c>
      <c r="E16" s="81">
        <v>1375</v>
      </c>
      <c r="F16" s="81">
        <f>ROUND(E16*D16,2)</f>
        <v>224125</v>
      </c>
      <c r="G16" s="81">
        <f>ROUND(F16*1.2,2)</f>
        <v>268950</v>
      </c>
    </row>
    <row r="17" spans="1:7" x14ac:dyDescent="0.3">
      <c r="A17" s="100">
        <f>A16+1</f>
        <v>11</v>
      </c>
      <c r="B17" s="60" t="s">
        <v>190</v>
      </c>
      <c r="C17" s="105" t="s">
        <v>182</v>
      </c>
      <c r="D17" s="110">
        <v>226.24</v>
      </c>
      <c r="E17" s="81">
        <v>168</v>
      </c>
      <c r="F17" s="81">
        <f>ROUND(E17*D17,2)</f>
        <v>38008.32</v>
      </c>
      <c r="G17" s="81">
        <f>ROUND(F17*1.2,2)</f>
        <v>45609.98</v>
      </c>
    </row>
    <row r="18" spans="1:7" ht="27.6" x14ac:dyDescent="0.3">
      <c r="A18" s="100">
        <f>A17+1</f>
        <v>12</v>
      </c>
      <c r="B18" s="112" t="s">
        <v>179</v>
      </c>
      <c r="C18" s="105" t="s">
        <v>182</v>
      </c>
      <c r="D18" s="110">
        <v>226.24</v>
      </c>
      <c r="E18" s="81">
        <f>ROUND(38500/1.2,2)</f>
        <v>32083.33</v>
      </c>
      <c r="F18" s="81">
        <f>ROUND(E18*D18,2)</f>
        <v>7258532.5800000001</v>
      </c>
      <c r="G18" s="81">
        <f>ROUND(F18*1.2,2)</f>
        <v>8710239.0999999996</v>
      </c>
    </row>
    <row r="19" spans="1:7" x14ac:dyDescent="0.3">
      <c r="A19" s="100">
        <f>A18+1</f>
        <v>13</v>
      </c>
      <c r="B19" s="120" t="s">
        <v>257</v>
      </c>
      <c r="C19" s="105" t="s">
        <v>178</v>
      </c>
      <c r="D19" s="82">
        <v>219</v>
      </c>
      <c r="E19" s="81">
        <f>ROUND(200/1.2,2)</f>
        <v>166.67</v>
      </c>
      <c r="F19" s="81">
        <f t="shared" ref="F19:F20" si="3">ROUND(E19*D19,2)</f>
        <v>36500.730000000003</v>
      </c>
      <c r="G19" s="81">
        <f t="shared" ref="G19:G20" si="4">ROUND(F19*1.2,2)</f>
        <v>43800.88</v>
      </c>
    </row>
    <row r="20" spans="1:7" x14ac:dyDescent="0.3">
      <c r="A20" s="100">
        <f t="shared" ref="A20:A22" si="5">A19+1</f>
        <v>14</v>
      </c>
      <c r="B20" s="120" t="s">
        <v>258</v>
      </c>
      <c r="C20" s="105" t="s">
        <v>178</v>
      </c>
      <c r="D20" s="82">
        <v>73</v>
      </c>
      <c r="E20" s="81">
        <f>ROUND(5841/1.2,2)</f>
        <v>4867.5</v>
      </c>
      <c r="F20" s="81">
        <f t="shared" si="3"/>
        <v>355327.5</v>
      </c>
      <c r="G20" s="81">
        <f t="shared" si="4"/>
        <v>426393</v>
      </c>
    </row>
    <row r="21" spans="1:7" x14ac:dyDescent="0.3">
      <c r="A21" s="100">
        <f t="shared" si="5"/>
        <v>15</v>
      </c>
      <c r="B21" s="112" t="s">
        <v>263</v>
      </c>
      <c r="C21" s="105" t="s">
        <v>204</v>
      </c>
      <c r="D21" s="108">
        <v>1</v>
      </c>
      <c r="E21" s="81">
        <v>330000</v>
      </c>
      <c r="F21" s="81">
        <f>ROUND(E21*D21,2)</f>
        <v>330000</v>
      </c>
      <c r="G21" s="81">
        <f>ROUND(F21*1.2,2)</f>
        <v>396000</v>
      </c>
    </row>
    <row r="22" spans="1:7" x14ac:dyDescent="0.3">
      <c r="A22" s="100">
        <f t="shared" si="5"/>
        <v>16</v>
      </c>
      <c r="B22" s="112" t="s">
        <v>180</v>
      </c>
      <c r="C22" s="105" t="s">
        <v>207</v>
      </c>
      <c r="D22" s="108">
        <v>1</v>
      </c>
      <c r="E22" s="81">
        <f>ROUND(154000/1.2,2)</f>
        <v>128333.33</v>
      </c>
      <c r="F22" s="81">
        <f>ROUND(E22*D22,2)</f>
        <v>128333.33</v>
      </c>
      <c r="G22" s="81">
        <f>ROUND(F22*1.2,2)</f>
        <v>154000</v>
      </c>
    </row>
    <row r="23" spans="1:7" x14ac:dyDescent="0.3">
      <c r="A23" s="464" t="s">
        <v>210</v>
      </c>
      <c r="B23" s="464"/>
      <c r="C23" s="464"/>
      <c r="D23" s="464"/>
      <c r="E23" s="117"/>
      <c r="F23" s="118"/>
      <c r="G23" s="118"/>
    </row>
    <row r="24" spans="1:7" x14ac:dyDescent="0.3">
      <c r="A24" s="100">
        <f>A22+1</f>
        <v>17</v>
      </c>
      <c r="B24" s="60" t="s">
        <v>261</v>
      </c>
      <c r="C24" s="105" t="s">
        <v>181</v>
      </c>
      <c r="D24" s="108">
        <v>105</v>
      </c>
      <c r="E24" s="81">
        <v>5500</v>
      </c>
      <c r="F24" s="81">
        <f>ROUND(E24*D24,2)</f>
        <v>577500</v>
      </c>
      <c r="G24" s="81">
        <f>ROUND(F24*1.2,2)</f>
        <v>693000</v>
      </c>
    </row>
    <row r="25" spans="1:7" x14ac:dyDescent="0.3">
      <c r="A25" s="100">
        <f>A24+1</f>
        <v>18</v>
      </c>
      <c r="B25" s="60" t="s">
        <v>262</v>
      </c>
      <c r="C25" s="105" t="s">
        <v>181</v>
      </c>
      <c r="D25" s="119">
        <v>112.6</v>
      </c>
      <c r="E25" s="81">
        <v>1375</v>
      </c>
      <c r="F25" s="81">
        <f>ROUND(E25*D25,2)</f>
        <v>154825</v>
      </c>
      <c r="G25" s="81">
        <f>ROUND(F25*1.2,2)</f>
        <v>185790</v>
      </c>
    </row>
    <row r="26" spans="1:7" x14ac:dyDescent="0.3">
      <c r="A26" s="100">
        <f>A25+1</f>
        <v>19</v>
      </c>
      <c r="B26" s="60" t="s">
        <v>190</v>
      </c>
      <c r="C26" s="105" t="s">
        <v>182</v>
      </c>
      <c r="D26" s="110">
        <v>156.38999999999999</v>
      </c>
      <c r="E26" s="81">
        <v>168</v>
      </c>
      <c r="F26" s="81">
        <f>ROUND(E26*D26,2)</f>
        <v>26273.52</v>
      </c>
      <c r="G26" s="81">
        <f>ROUND(F26*1.2,2)</f>
        <v>31528.22</v>
      </c>
    </row>
    <row r="27" spans="1:7" ht="27.6" x14ac:dyDescent="0.3">
      <c r="A27" s="100">
        <f>A26+1</f>
        <v>20</v>
      </c>
      <c r="B27" s="112" t="s">
        <v>179</v>
      </c>
      <c r="C27" s="105" t="s">
        <v>182</v>
      </c>
      <c r="D27" s="110">
        <v>156.38999999999999</v>
      </c>
      <c r="E27" s="81">
        <f>ROUND(38500/1.2,2)</f>
        <v>32083.33</v>
      </c>
      <c r="F27" s="81">
        <f>ROUND(E27*D27,2)</f>
        <v>5017511.9800000004</v>
      </c>
      <c r="G27" s="81">
        <f>ROUND(F27*1.2,2)</f>
        <v>6021014.3799999999</v>
      </c>
    </row>
    <row r="28" spans="1:7" x14ac:dyDescent="0.3">
      <c r="A28" s="100">
        <f>A27+1</f>
        <v>21</v>
      </c>
      <c r="B28" s="120" t="s">
        <v>257</v>
      </c>
      <c r="C28" s="105" t="s">
        <v>178</v>
      </c>
      <c r="D28" s="82">
        <v>151</v>
      </c>
      <c r="E28" s="81">
        <f>ROUND(200/1.2,2)</f>
        <v>166.67</v>
      </c>
      <c r="F28" s="81">
        <f t="shared" ref="F28:F29" si="6">ROUND(E28*D28,2)</f>
        <v>25167.17</v>
      </c>
      <c r="G28" s="81">
        <f t="shared" ref="G28:G29" si="7">ROUND(F28*1.2,2)</f>
        <v>30200.6</v>
      </c>
    </row>
    <row r="29" spans="1:7" x14ac:dyDescent="0.3">
      <c r="A29" s="100">
        <f t="shared" ref="A29:A31" si="8">A28+1</f>
        <v>22</v>
      </c>
      <c r="B29" s="120" t="s">
        <v>258</v>
      </c>
      <c r="C29" s="105" t="s">
        <v>178</v>
      </c>
      <c r="D29" s="82">
        <v>50</v>
      </c>
      <c r="E29" s="81">
        <f>ROUND(5841/1.2,2)</f>
        <v>4867.5</v>
      </c>
      <c r="F29" s="81">
        <f t="shared" si="6"/>
        <v>243375</v>
      </c>
      <c r="G29" s="81">
        <f t="shared" si="7"/>
        <v>292050</v>
      </c>
    </row>
    <row r="30" spans="1:7" x14ac:dyDescent="0.3">
      <c r="A30" s="100">
        <f t="shared" si="8"/>
        <v>23</v>
      </c>
      <c r="B30" s="112" t="s">
        <v>263</v>
      </c>
      <c r="C30" s="105" t="s">
        <v>204</v>
      </c>
      <c r="D30" s="108">
        <v>1</v>
      </c>
      <c r="E30" s="81">
        <v>110000</v>
      </c>
      <c r="F30" s="81">
        <f>ROUND(E30*D30,2)</f>
        <v>110000</v>
      </c>
      <c r="G30" s="81">
        <f>ROUND(F30*1.2,2)</f>
        <v>132000</v>
      </c>
    </row>
    <row r="31" spans="1:7" x14ac:dyDescent="0.3">
      <c r="A31" s="100">
        <f t="shared" si="8"/>
        <v>24</v>
      </c>
      <c r="B31" s="112" t="s">
        <v>180</v>
      </c>
      <c r="C31" s="105" t="s">
        <v>207</v>
      </c>
      <c r="D31" s="108">
        <v>1</v>
      </c>
      <c r="E31" s="81">
        <f>ROUND(154000/1.2,2)</f>
        <v>128333.33</v>
      </c>
      <c r="F31" s="81">
        <f>ROUND(E31*D31,2)</f>
        <v>128333.33</v>
      </c>
      <c r="G31" s="81">
        <f>ROUND(F31*1.2,2)</f>
        <v>154000</v>
      </c>
    </row>
    <row r="32" spans="1:7" x14ac:dyDescent="0.3">
      <c r="A32" s="464" t="s">
        <v>211</v>
      </c>
      <c r="B32" s="464"/>
      <c r="C32" s="464"/>
      <c r="D32" s="464"/>
      <c r="E32" s="117"/>
      <c r="F32" s="118"/>
      <c r="G32" s="118"/>
    </row>
    <row r="33" spans="1:7" x14ac:dyDescent="0.3">
      <c r="A33" s="100">
        <f>A31+1</f>
        <v>25</v>
      </c>
      <c r="B33" s="60" t="s">
        <v>261</v>
      </c>
      <c r="C33" s="105" t="s">
        <v>181</v>
      </c>
      <c r="D33" s="108">
        <v>65</v>
      </c>
      <c r="E33" s="81">
        <v>5500</v>
      </c>
      <c r="F33" s="81">
        <f>ROUND(E33*D33,2)</f>
        <v>357500</v>
      </c>
      <c r="G33" s="81">
        <f>ROUND(F33*1.2,2)</f>
        <v>429000</v>
      </c>
    </row>
    <row r="34" spans="1:7" x14ac:dyDescent="0.3">
      <c r="A34" s="100">
        <f>A33+1</f>
        <v>26</v>
      </c>
      <c r="B34" s="60" t="s">
        <v>262</v>
      </c>
      <c r="C34" s="105" t="s">
        <v>181</v>
      </c>
      <c r="D34" s="119">
        <v>70</v>
      </c>
      <c r="E34" s="81">
        <v>1375</v>
      </c>
      <c r="F34" s="81">
        <f>ROUND(E34*D34,2)</f>
        <v>96250</v>
      </c>
      <c r="G34" s="81">
        <f>ROUND(F34*1.2,2)</f>
        <v>115500</v>
      </c>
    </row>
    <row r="35" spans="1:7" x14ac:dyDescent="0.3">
      <c r="A35" s="100">
        <f>A34+1</f>
        <v>27</v>
      </c>
      <c r="B35" s="60" t="s">
        <v>190</v>
      </c>
      <c r="C35" s="105" t="s">
        <v>182</v>
      </c>
      <c r="D35" s="119">
        <v>97.2</v>
      </c>
      <c r="E35" s="81">
        <v>168</v>
      </c>
      <c r="F35" s="81">
        <f>ROUND(E35*D35,2)</f>
        <v>16329.6</v>
      </c>
      <c r="G35" s="81">
        <f>ROUND(F35*1.2,2)</f>
        <v>19595.52</v>
      </c>
    </row>
    <row r="36" spans="1:7" ht="27.6" x14ac:dyDescent="0.3">
      <c r="A36" s="100">
        <f>A35+1</f>
        <v>28</v>
      </c>
      <c r="B36" s="112" t="s">
        <v>179</v>
      </c>
      <c r="C36" s="105" t="s">
        <v>182</v>
      </c>
      <c r="D36" s="110">
        <v>97.2</v>
      </c>
      <c r="E36" s="81">
        <f>ROUND(38500/1.2,2)</f>
        <v>32083.33</v>
      </c>
      <c r="F36" s="81">
        <f>ROUND(E36*D36,2)</f>
        <v>3118499.68</v>
      </c>
      <c r="G36" s="81">
        <f>ROUND(F36*1.2,2)</f>
        <v>3742199.62</v>
      </c>
    </row>
    <row r="37" spans="1:7" x14ac:dyDescent="0.3">
      <c r="A37" s="100">
        <f>A36+1</f>
        <v>29</v>
      </c>
      <c r="B37" s="120" t="s">
        <v>257</v>
      </c>
      <c r="C37" s="105" t="s">
        <v>178</v>
      </c>
      <c r="D37" s="108">
        <v>95</v>
      </c>
      <c r="E37" s="81">
        <f>ROUND(200/1.2,2)</f>
        <v>166.67</v>
      </c>
      <c r="F37" s="81">
        <f t="shared" ref="F37:F38" si="9">ROUND(E37*D37,2)</f>
        <v>15833.65</v>
      </c>
      <c r="G37" s="81">
        <f t="shared" ref="G37:G38" si="10">ROUND(F37*1.2,2)</f>
        <v>19000.38</v>
      </c>
    </row>
    <row r="38" spans="1:7" x14ac:dyDescent="0.3">
      <c r="A38" s="100">
        <f t="shared" ref="A38:A40" si="11">A37+1</f>
        <v>30</v>
      </c>
      <c r="B38" s="120" t="s">
        <v>258</v>
      </c>
      <c r="C38" s="105" t="s">
        <v>178</v>
      </c>
      <c r="D38" s="108">
        <v>32</v>
      </c>
      <c r="E38" s="81">
        <f>ROUND(5841/1.2,2)</f>
        <v>4867.5</v>
      </c>
      <c r="F38" s="81">
        <f t="shared" si="9"/>
        <v>155760</v>
      </c>
      <c r="G38" s="81">
        <f t="shared" si="10"/>
        <v>186912</v>
      </c>
    </row>
    <row r="39" spans="1:7" x14ac:dyDescent="0.3">
      <c r="A39" s="100">
        <f t="shared" si="11"/>
        <v>31</v>
      </c>
      <c r="B39" s="112" t="s">
        <v>263</v>
      </c>
      <c r="C39" s="105" t="s">
        <v>204</v>
      </c>
      <c r="D39" s="108">
        <v>1</v>
      </c>
      <c r="E39" s="81">
        <v>110000</v>
      </c>
      <c r="F39" s="81">
        <f>ROUND(E39*D39,2)</f>
        <v>110000</v>
      </c>
      <c r="G39" s="81">
        <f>ROUND(F39*1.2,2)</f>
        <v>132000</v>
      </c>
    </row>
    <row r="40" spans="1:7" x14ac:dyDescent="0.3">
      <c r="A40" s="100">
        <f t="shared" si="11"/>
        <v>32</v>
      </c>
      <c r="B40" s="112" t="s">
        <v>180</v>
      </c>
      <c r="C40" s="105" t="s">
        <v>207</v>
      </c>
      <c r="D40" s="108">
        <v>1</v>
      </c>
      <c r="E40" s="81">
        <f>ROUND(154000/1.2,2)</f>
        <v>128333.33</v>
      </c>
      <c r="F40" s="81">
        <f>ROUND(E40*D40,2)</f>
        <v>128333.33</v>
      </c>
      <c r="G40" s="81">
        <f>ROUND(F40*1.2,2)</f>
        <v>154000</v>
      </c>
    </row>
    <row r="41" spans="1:7" s="1" customFormat="1" ht="18.75" customHeight="1" x14ac:dyDescent="0.3">
      <c r="A41" s="83"/>
      <c r="B41" s="472" t="s">
        <v>265</v>
      </c>
      <c r="C41" s="473"/>
      <c r="D41" s="473"/>
      <c r="E41" s="474"/>
      <c r="F41" s="92">
        <f>SUM(F6:F40)</f>
        <v>28464147.179999996</v>
      </c>
      <c r="G41" s="92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71" t="s">
        <v>5</v>
      </c>
      <c r="B2" s="372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374">
        <f>H33/2</f>
        <v>7942400</v>
      </c>
      <c r="H33" s="374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375"/>
      <c r="H34" s="375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73" t="s">
        <v>117</v>
      </c>
      <c r="B59" s="373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zoomScaleNormal="100" zoomScaleSheetLayoutView="100" workbookViewId="0">
      <selection activeCell="C24" sqref="C2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77" t="s">
        <v>213</v>
      </c>
      <c r="B1" s="377" t="s">
        <v>268</v>
      </c>
      <c r="C1" s="376" t="s">
        <v>273</v>
      </c>
      <c r="D1" s="376"/>
      <c r="E1" s="376"/>
      <c r="F1" s="378" t="s">
        <v>274</v>
      </c>
      <c r="G1" s="378"/>
      <c r="H1" s="378"/>
    </row>
    <row r="2" spans="1:9" ht="27.6" x14ac:dyDescent="0.3">
      <c r="A2" s="377"/>
      <c r="B2" s="377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(сталь)'!F17</f>
        <v>1498174.66</v>
      </c>
      <c r="D3" s="156">
        <f>'мат врем.ТС (сталь)'!F17</f>
        <v>923062.26</v>
      </c>
      <c r="E3" s="157">
        <f t="shared" ref="E3" si="0">C3+D3</f>
        <v>2421236.92</v>
      </c>
      <c r="F3" s="158">
        <f>'СМР врем. ТС (сталь)'!G17</f>
        <v>1797809.5799999998</v>
      </c>
      <c r="G3" s="159">
        <f>'мат врем.ТС (сталь)'!G17</f>
        <v>1107674.71</v>
      </c>
      <c r="H3" s="160">
        <f t="shared" ref="H3" si="1">F3+G3</f>
        <v>2905484.29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1498174.66</v>
      </c>
      <c r="D4" s="155">
        <f t="shared" si="2"/>
        <v>923062.26</v>
      </c>
      <c r="E4" s="155">
        <f t="shared" si="2"/>
        <v>2421236.92</v>
      </c>
      <c r="F4" s="161">
        <f t="shared" si="2"/>
        <v>1797809.5799999998</v>
      </c>
      <c r="G4" s="161">
        <f t="shared" si="2"/>
        <v>1107674.71</v>
      </c>
      <c r="H4" s="161">
        <f t="shared" si="2"/>
        <v>2905484.29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topLeftCell="C1" zoomScaleNormal="100" zoomScaleSheetLayoutView="80" workbookViewId="0">
      <pane ySplit="2" topLeftCell="A7" activePane="bottomLeft" state="frozen"/>
      <selection pane="bottomLeft" activeCell="H15" sqref="H15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44140625" customWidth="1"/>
  </cols>
  <sheetData>
    <row r="1" spans="1:8" s="1" customFormat="1" ht="21.75" customHeight="1" x14ac:dyDescent="0.3">
      <c r="A1" s="387" t="s">
        <v>187</v>
      </c>
      <c r="B1" s="387" t="s">
        <v>214</v>
      </c>
      <c r="C1" s="387" t="s">
        <v>224</v>
      </c>
      <c r="D1" s="387" t="s">
        <v>189</v>
      </c>
      <c r="E1" s="377" t="s">
        <v>254</v>
      </c>
      <c r="F1" s="377"/>
      <c r="G1" s="377"/>
    </row>
    <row r="2" spans="1:8" ht="36" customHeight="1" x14ac:dyDescent="0.3">
      <c r="A2" s="387"/>
      <c r="B2" s="387"/>
      <c r="C2" s="387"/>
      <c r="D2" s="387"/>
      <c r="E2" s="121" t="s">
        <v>225</v>
      </c>
      <c r="F2" s="57" t="s">
        <v>241</v>
      </c>
      <c r="G2" s="121" t="s">
        <v>223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ht="20.25" customHeight="1" x14ac:dyDescent="0.3">
      <c r="A4" s="385" t="s">
        <v>467</v>
      </c>
      <c r="B4" s="386"/>
      <c r="C4" s="101"/>
      <c r="D4" s="101"/>
      <c r="E4" s="102"/>
      <c r="F4" s="101"/>
      <c r="G4" s="101"/>
    </row>
    <row r="5" spans="1:8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v>3830.75</v>
      </c>
      <c r="F5" s="81">
        <f>ROUND(E5*D5,2)</f>
        <v>84276.5</v>
      </c>
      <c r="G5" s="81">
        <f>ROUND(F5*1.2,2)</f>
        <v>101131.8</v>
      </c>
    </row>
    <row r="6" spans="1:8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v>12990.72</v>
      </c>
      <c r="F6" s="81">
        <f t="shared" ref="F6:F7" si="0">ROUND(E6*D6,2)</f>
        <v>155888.64000000001</v>
      </c>
      <c r="G6" s="81">
        <f t="shared" ref="G6:G10" si="1">ROUND(F6*1.2,2)</f>
        <v>187066.37</v>
      </c>
    </row>
    <row r="7" spans="1:8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v>400.64</v>
      </c>
      <c r="F7" s="81">
        <f t="shared" si="0"/>
        <v>16350.12</v>
      </c>
      <c r="G7" s="81">
        <f t="shared" si="1"/>
        <v>19620.14</v>
      </c>
    </row>
    <row r="8" spans="1:8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v>2177.39</v>
      </c>
      <c r="F8" s="81">
        <f>ROUND(E8*D8,2)</f>
        <v>1045147.2</v>
      </c>
      <c r="G8" s="81">
        <f>ROUND(F8*1.2,2)</f>
        <v>1254176.6399999999</v>
      </c>
    </row>
    <row r="9" spans="1:8" ht="21" customHeight="1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v>660</v>
      </c>
      <c r="F9" s="81">
        <f t="shared" ref="F9" si="3">ROUND(E9*D9,2)</f>
        <v>39600</v>
      </c>
      <c r="G9" s="81">
        <f t="shared" ref="G9" si="4">ROUND(F9*1.2,2)</f>
        <v>47520</v>
      </c>
    </row>
    <row r="10" spans="1:8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v>31703.15</v>
      </c>
      <c r="F10" s="81">
        <f>ROUND(E10*1.512,2)</f>
        <v>47935.16</v>
      </c>
      <c r="G10" s="81">
        <f t="shared" si="1"/>
        <v>57522.19</v>
      </c>
    </row>
    <row r="11" spans="1:8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v>2139.2199999999998</v>
      </c>
      <c r="F11" s="81">
        <f>ROUND(E11*D11,2)</f>
        <v>12835.32</v>
      </c>
      <c r="G11" s="81">
        <f>ROUND(F11*1.2,2)</f>
        <v>15402.38</v>
      </c>
    </row>
    <row r="12" spans="1:8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v>2535.4299999999998</v>
      </c>
      <c r="F12" s="81">
        <f t="shared" ref="F12:F13" si="5">ROUND(E12*D12,2)</f>
        <v>10141.719999999999</v>
      </c>
      <c r="G12" s="81">
        <f t="shared" ref="G12:G14" si="6">ROUND(F12*1.2,2)</f>
        <v>12170.06</v>
      </c>
    </row>
    <row r="13" spans="1:8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v>18000</v>
      </c>
      <c r="F13" s="81">
        <f t="shared" si="5"/>
        <v>36000</v>
      </c>
      <c r="G13" s="81">
        <f t="shared" si="6"/>
        <v>43200</v>
      </c>
    </row>
    <row r="14" spans="1:8" ht="21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v>50000</v>
      </c>
      <c r="F14" s="81">
        <f>ROUND(E14*1,2)</f>
        <v>50000</v>
      </c>
      <c r="G14" s="81">
        <f t="shared" si="6"/>
        <v>60000</v>
      </c>
    </row>
    <row r="15" spans="1:8" x14ac:dyDescent="0.3">
      <c r="A15" s="83"/>
      <c r="B15" s="379" t="s">
        <v>265</v>
      </c>
      <c r="C15" s="380"/>
      <c r="D15" s="380"/>
      <c r="E15" s="381"/>
      <c r="F15" s="92">
        <f>SUM(F5:F14)</f>
        <v>1498174.66</v>
      </c>
      <c r="G15" s="92">
        <f>SUM(G5:G14)</f>
        <v>1797809.5799999998</v>
      </c>
      <c r="H15" s="30"/>
    </row>
    <row r="16" spans="1:8" x14ac:dyDescent="0.3">
      <c r="A16" s="382" t="s">
        <v>266</v>
      </c>
      <c r="B16" s="383"/>
      <c r="C16" s="383"/>
      <c r="D16" s="383"/>
      <c r="E16" s="384"/>
      <c r="F16" s="171">
        <v>0</v>
      </c>
      <c r="G16" s="171">
        <v>0</v>
      </c>
      <c r="H16" s="52"/>
    </row>
    <row r="17" spans="1:8" x14ac:dyDescent="0.3">
      <c r="A17" s="382" t="s">
        <v>267</v>
      </c>
      <c r="B17" s="383"/>
      <c r="C17" s="383"/>
      <c r="D17" s="383"/>
      <c r="E17" s="384"/>
      <c r="F17" s="171">
        <f>F15+F16</f>
        <v>1498174.66</v>
      </c>
      <c r="G17" s="171">
        <f>G15+G16</f>
        <v>1797809.5799999998</v>
      </c>
      <c r="H17" s="52"/>
    </row>
  </sheetData>
  <mergeCells count="9">
    <mergeCell ref="B15:E15"/>
    <mergeCell ref="A16:E16"/>
    <mergeCell ref="A17:E17"/>
    <mergeCell ref="A4:B4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5" zoomScaleNormal="85" zoomScaleSheetLayoutView="85" workbookViewId="0">
      <pane ySplit="2" topLeftCell="A3" activePane="bottomLeft" state="frozen"/>
      <selection pane="bottomLeft" activeCell="H17" sqref="H17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8" width="19.44140625" customWidth="1"/>
  </cols>
  <sheetData>
    <row r="1" spans="1:8" ht="28.95" customHeight="1" x14ac:dyDescent="0.3">
      <c r="A1" s="389" t="s">
        <v>213</v>
      </c>
      <c r="B1" s="391" t="s">
        <v>188</v>
      </c>
      <c r="C1" s="393" t="s">
        <v>256</v>
      </c>
      <c r="D1" s="393" t="s">
        <v>189</v>
      </c>
      <c r="E1" s="388" t="s">
        <v>254</v>
      </c>
      <c r="F1" s="388"/>
      <c r="G1" s="388"/>
    </row>
    <row r="2" spans="1:8" s="54" customFormat="1" ht="57.6" customHeight="1" x14ac:dyDescent="0.3">
      <c r="A2" s="390"/>
      <c r="B2" s="392"/>
      <c r="C2" s="394"/>
      <c r="D2" s="394"/>
      <c r="E2" s="76" t="s">
        <v>255</v>
      </c>
      <c r="F2" s="77" t="s">
        <v>184</v>
      </c>
      <c r="G2" s="77" t="s">
        <v>186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x14ac:dyDescent="0.3">
      <c r="A4" s="86">
        <v>1</v>
      </c>
      <c r="B4" s="120" t="s">
        <v>474</v>
      </c>
      <c r="C4" s="172" t="s">
        <v>207</v>
      </c>
      <c r="D4" s="176">
        <v>22</v>
      </c>
      <c r="E4" s="181">
        <v>2310</v>
      </c>
      <c r="F4" s="81">
        <f>ROUND(E4*D4,2)</f>
        <v>50820</v>
      </c>
      <c r="G4" s="81">
        <f t="shared" ref="G4:G11" si="0">ROUND(F4*1.2,2)</f>
        <v>60984</v>
      </c>
      <c r="H4" s="178"/>
    </row>
    <row r="5" spans="1:8" x14ac:dyDescent="0.3">
      <c r="A5" s="86">
        <f>A4+1</f>
        <v>2</v>
      </c>
      <c r="B5" s="120" t="s">
        <v>486</v>
      </c>
      <c r="C5" s="172" t="s">
        <v>207</v>
      </c>
      <c r="D5" s="176">
        <v>32</v>
      </c>
      <c r="E5" s="181">
        <v>1139.42</v>
      </c>
      <c r="F5" s="81">
        <f t="shared" ref="F5:F11" si="1">ROUND(E5*D5,2)</f>
        <v>36461.440000000002</v>
      </c>
      <c r="G5" s="81">
        <f t="shared" si="0"/>
        <v>43753.73</v>
      </c>
      <c r="H5" s="178"/>
    </row>
    <row r="6" spans="1:8" x14ac:dyDescent="0.3">
      <c r="A6" s="86">
        <f t="shared" ref="A6:A16" si="2">A5+1</f>
        <v>3</v>
      </c>
      <c r="B6" s="79" t="s">
        <v>485</v>
      </c>
      <c r="C6" s="86" t="s">
        <v>182</v>
      </c>
      <c r="D6" s="177">
        <v>480</v>
      </c>
      <c r="E6" s="181">
        <v>1208.17</v>
      </c>
      <c r="F6" s="81">
        <f t="shared" si="1"/>
        <v>579921.6</v>
      </c>
      <c r="G6" s="81">
        <f t="shared" si="0"/>
        <v>695905.92</v>
      </c>
    </row>
    <row r="7" spans="1:8" x14ac:dyDescent="0.3">
      <c r="A7" s="86">
        <f t="shared" si="2"/>
        <v>4</v>
      </c>
      <c r="B7" s="79" t="s">
        <v>475</v>
      </c>
      <c r="C7" s="86" t="s">
        <v>178</v>
      </c>
      <c r="D7" s="177">
        <v>14</v>
      </c>
      <c r="E7" s="181">
        <v>4152.5</v>
      </c>
      <c r="F7" s="81">
        <f t="shared" si="1"/>
        <v>58135</v>
      </c>
      <c r="G7" s="81">
        <f t="shared" si="0"/>
        <v>69762</v>
      </c>
      <c r="H7" s="169"/>
    </row>
    <row r="8" spans="1:8" x14ac:dyDescent="0.3">
      <c r="A8" s="86">
        <f t="shared" si="2"/>
        <v>5</v>
      </c>
      <c r="B8" s="120" t="s">
        <v>477</v>
      </c>
      <c r="C8" s="86" t="s">
        <v>178</v>
      </c>
      <c r="D8" s="177">
        <v>6</v>
      </c>
      <c r="E8" s="181">
        <v>396</v>
      </c>
      <c r="F8" s="81">
        <f t="shared" si="1"/>
        <v>2376</v>
      </c>
      <c r="G8" s="81">
        <f t="shared" si="0"/>
        <v>2851.2</v>
      </c>
      <c r="H8" s="174"/>
    </row>
    <row r="9" spans="1:8" x14ac:dyDescent="0.3">
      <c r="A9" s="86">
        <f t="shared" si="2"/>
        <v>6</v>
      </c>
      <c r="B9" s="120" t="s">
        <v>479</v>
      </c>
      <c r="C9" s="86" t="s">
        <v>178</v>
      </c>
      <c r="D9" s="177">
        <v>6</v>
      </c>
      <c r="E9" s="181">
        <v>16.5</v>
      </c>
      <c r="F9" s="81">
        <f t="shared" si="1"/>
        <v>99</v>
      </c>
      <c r="G9" s="81">
        <f t="shared" si="0"/>
        <v>118.8</v>
      </c>
      <c r="H9" s="174"/>
    </row>
    <row r="10" spans="1:8" x14ac:dyDescent="0.3">
      <c r="A10" s="86">
        <f t="shared" si="2"/>
        <v>7</v>
      </c>
      <c r="B10" s="120" t="s">
        <v>478</v>
      </c>
      <c r="C10" s="86" t="s">
        <v>178</v>
      </c>
      <c r="D10" s="177">
        <v>4</v>
      </c>
      <c r="E10" s="181">
        <v>5015.08</v>
      </c>
      <c r="F10" s="81">
        <f t="shared" si="1"/>
        <v>20060.32</v>
      </c>
      <c r="G10" s="81">
        <f t="shared" si="0"/>
        <v>24072.38</v>
      </c>
      <c r="H10" s="174"/>
    </row>
    <row r="11" spans="1:8" x14ac:dyDescent="0.3">
      <c r="A11" s="86">
        <f t="shared" si="2"/>
        <v>8</v>
      </c>
      <c r="B11" s="120" t="s">
        <v>480</v>
      </c>
      <c r="C11" s="86" t="s">
        <v>178</v>
      </c>
      <c r="D11" s="177">
        <v>6</v>
      </c>
      <c r="E11" s="181">
        <v>51.33</v>
      </c>
      <c r="F11" s="81">
        <f t="shared" si="1"/>
        <v>307.98</v>
      </c>
      <c r="G11" s="81">
        <f t="shared" si="0"/>
        <v>369.58</v>
      </c>
      <c r="H11" s="174"/>
    </row>
    <row r="12" spans="1:8" x14ac:dyDescent="0.3">
      <c r="A12" s="86">
        <f t="shared" si="2"/>
        <v>9</v>
      </c>
      <c r="B12" s="79" t="s">
        <v>487</v>
      </c>
      <c r="C12" s="86" t="s">
        <v>182</v>
      </c>
      <c r="D12" s="179">
        <v>36</v>
      </c>
      <c r="E12" s="181">
        <v>2632.67</v>
      </c>
      <c r="F12" s="81">
        <f>ROUND(E12*D12,2)</f>
        <v>94776.12</v>
      </c>
      <c r="G12" s="81">
        <f>ROUND(F12*1.2,2)</f>
        <v>113731.34</v>
      </c>
    </row>
    <row r="13" spans="1:8" x14ac:dyDescent="0.3">
      <c r="A13" s="86">
        <f t="shared" si="2"/>
        <v>10</v>
      </c>
      <c r="B13" s="79" t="s">
        <v>481</v>
      </c>
      <c r="C13" s="86" t="s">
        <v>182</v>
      </c>
      <c r="D13" s="179">
        <v>60</v>
      </c>
      <c r="E13" s="181">
        <v>307.08</v>
      </c>
      <c r="F13" s="81">
        <f>ROUND(E13*D13,2)</f>
        <v>18424.8</v>
      </c>
      <c r="G13" s="81">
        <f>ROUND(F13*1.2,2)</f>
        <v>22109.759999999998</v>
      </c>
    </row>
    <row r="14" spans="1:8" x14ac:dyDescent="0.3">
      <c r="A14" s="86">
        <f t="shared" si="2"/>
        <v>11</v>
      </c>
      <c r="B14" s="79" t="s">
        <v>482</v>
      </c>
      <c r="C14" s="86" t="s">
        <v>182</v>
      </c>
      <c r="D14" s="179">
        <v>48</v>
      </c>
      <c r="E14" s="181">
        <v>398.75</v>
      </c>
      <c r="F14" s="81">
        <f>ROUND(E14*D14,2)</f>
        <v>19140</v>
      </c>
      <c r="G14" s="81">
        <f>ROUND(F14*1.2,2)</f>
        <v>22968</v>
      </c>
    </row>
    <row r="15" spans="1:8" x14ac:dyDescent="0.3">
      <c r="A15" s="86">
        <f t="shared" si="2"/>
        <v>12</v>
      </c>
      <c r="B15" s="120" t="s">
        <v>483</v>
      </c>
      <c r="C15" s="172" t="s">
        <v>220</v>
      </c>
      <c r="D15" s="177">
        <v>60</v>
      </c>
      <c r="E15" s="181">
        <v>209</v>
      </c>
      <c r="F15" s="163">
        <f>ROUND(E15*D15,2)</f>
        <v>12540</v>
      </c>
      <c r="G15" s="163">
        <f>ROUND(F15*1.2,2)</f>
        <v>15048</v>
      </c>
    </row>
    <row r="16" spans="1:8" x14ac:dyDescent="0.3">
      <c r="A16" s="86">
        <f t="shared" si="2"/>
        <v>13</v>
      </c>
      <c r="B16" s="120" t="s">
        <v>498</v>
      </c>
      <c r="C16" s="172" t="s">
        <v>499</v>
      </c>
      <c r="D16" s="177">
        <v>1</v>
      </c>
      <c r="E16" s="181">
        <v>30000</v>
      </c>
      <c r="F16" s="163">
        <f>ROUND(E16*D16,2)</f>
        <v>30000</v>
      </c>
      <c r="G16" s="163">
        <f>ROUND(F16*1.2,2)</f>
        <v>36000</v>
      </c>
      <c r="H16" s="169"/>
    </row>
    <row r="17" spans="1:8" s="1" customFormat="1" x14ac:dyDescent="0.3">
      <c r="A17" s="78"/>
      <c r="B17" s="379" t="s">
        <v>265</v>
      </c>
      <c r="C17" s="380"/>
      <c r="D17" s="380"/>
      <c r="E17" s="381"/>
      <c r="F17" s="92">
        <f>SUM(F4:F16)</f>
        <v>923062.26</v>
      </c>
      <c r="G17" s="92">
        <f>SUM(G4:G16)</f>
        <v>1107674.71</v>
      </c>
      <c r="H17" s="209"/>
    </row>
    <row r="20" spans="1:8" x14ac:dyDescent="0.3">
      <c r="B20" s="55"/>
      <c r="G20" s="26"/>
    </row>
  </sheetData>
  <mergeCells count="6">
    <mergeCell ref="B17:E17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D42A-C2FC-4C92-94D8-6DFC1BB7C4AE}">
  <dimension ref="A1:I12"/>
  <sheetViews>
    <sheetView zoomScaleNormal="100" zoomScaleSheetLayoutView="100" workbookViewId="0">
      <selection activeCell="H12" sqref="H12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77" t="s">
        <v>213</v>
      </c>
      <c r="B1" s="377" t="s">
        <v>268</v>
      </c>
      <c r="C1" s="376" t="s">
        <v>273</v>
      </c>
      <c r="D1" s="376"/>
      <c r="E1" s="376"/>
      <c r="F1" s="378" t="s">
        <v>274</v>
      </c>
      <c r="G1" s="378"/>
      <c r="H1" s="378"/>
    </row>
    <row r="2" spans="1:9" ht="28.95" customHeight="1" x14ac:dyDescent="0.3">
      <c r="A2" s="377"/>
      <c r="B2" s="377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 коммерция'!F15</f>
        <v>2261644.46</v>
      </c>
      <c r="D3" s="156">
        <f>'мат врем.ТС (сталь) коммерция'!F18</f>
        <v>1252226.2400000002</v>
      </c>
      <c r="E3" s="157">
        <f t="shared" ref="E3" si="0">C3+D3</f>
        <v>3513870.7</v>
      </c>
      <c r="F3" s="158">
        <f>'СМР врем. ТС (сталь) коммерция'!G15</f>
        <v>2713973.3500000006</v>
      </c>
      <c r="G3" s="159">
        <f>'мат врем.ТС (сталь) коммерция'!G18</f>
        <v>1502671.5</v>
      </c>
      <c r="H3" s="160">
        <f t="shared" ref="H3" si="1">F3+G3</f>
        <v>4216644.8500000006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2261644.46</v>
      </c>
      <c r="D4" s="155">
        <f t="shared" si="2"/>
        <v>1252226.2400000002</v>
      </c>
      <c r="E4" s="155">
        <f t="shared" si="2"/>
        <v>3513870.7</v>
      </c>
      <c r="F4" s="161">
        <f t="shared" si="2"/>
        <v>2713973.3500000006</v>
      </c>
      <c r="G4" s="161">
        <f t="shared" si="2"/>
        <v>1502671.5</v>
      </c>
      <c r="H4" s="161">
        <f t="shared" si="2"/>
        <v>4216644.8500000006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E508-77A7-430D-B353-F53149FADD18}">
  <dimension ref="A1:J15"/>
  <sheetViews>
    <sheetView tabSelected="1" zoomScale="88" zoomScaleNormal="100" zoomScaleSheetLayoutView="80" workbookViewId="0">
      <pane ySplit="2" topLeftCell="A3" activePane="bottomLeft" state="frozen"/>
      <selection pane="bottomLeft" activeCell="H15" sqref="H15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6640625" customWidth="1"/>
    <col min="9" max="9" width="22.6640625" customWidth="1"/>
  </cols>
  <sheetData>
    <row r="1" spans="1:10" s="1" customFormat="1" ht="21.75" customHeight="1" x14ac:dyDescent="0.3">
      <c r="A1" s="387" t="s">
        <v>187</v>
      </c>
      <c r="B1" s="387" t="s">
        <v>214</v>
      </c>
      <c r="C1" s="387" t="s">
        <v>224</v>
      </c>
      <c r="D1" s="387" t="s">
        <v>189</v>
      </c>
      <c r="E1" s="391" t="s">
        <v>225</v>
      </c>
      <c r="F1" s="395" t="s">
        <v>241</v>
      </c>
      <c r="G1" s="391" t="s">
        <v>223</v>
      </c>
    </row>
    <row r="2" spans="1:10" ht="36" customHeight="1" x14ac:dyDescent="0.3">
      <c r="A2" s="387"/>
      <c r="B2" s="387"/>
      <c r="C2" s="387"/>
      <c r="D2" s="387"/>
      <c r="E2" s="392"/>
      <c r="F2" s="396"/>
      <c r="G2" s="392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I3" t="s">
        <v>488</v>
      </c>
      <c r="J3" s="180">
        <v>0.48</v>
      </c>
    </row>
    <row r="4" spans="1:10" ht="20.25" customHeight="1" x14ac:dyDescent="0.3">
      <c r="A4" s="385" t="s">
        <v>467</v>
      </c>
      <c r="B4" s="386"/>
      <c r="C4" s="101"/>
      <c r="D4" s="101"/>
      <c r="E4" s="102"/>
      <c r="F4" s="101"/>
      <c r="G4" s="101"/>
      <c r="I4" t="s">
        <v>489</v>
      </c>
      <c r="J4" s="180">
        <v>0.02</v>
      </c>
    </row>
    <row r="5" spans="1:10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f>(100%+$J$3)*(100%+$J$4)*3830.75</f>
        <v>5782.9002</v>
      </c>
      <c r="F5" s="81">
        <f>ROUND(E5*D5,2)</f>
        <v>127223.8</v>
      </c>
      <c r="G5" s="81">
        <f>ROUND(F5*1.2,2)</f>
        <v>152668.56</v>
      </c>
    </row>
    <row r="6" spans="1:10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f>(100%+$J$3)*(100%+$J$4)*12990.72</f>
        <v>19610.790912</v>
      </c>
      <c r="F6" s="81">
        <f t="shared" ref="F6:F7" si="0">ROUND(E6*D6,2)</f>
        <v>235329.49</v>
      </c>
      <c r="G6" s="81">
        <f t="shared" ref="G6:G9" si="1">ROUND(F6*1.2,2)</f>
        <v>282395.39</v>
      </c>
    </row>
    <row r="7" spans="1:10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f>(100%+$J$3)*(100%+$J$4)*400.64</f>
        <v>604.80614400000002</v>
      </c>
      <c r="F7" s="81">
        <f t="shared" si="0"/>
        <v>24682.14</v>
      </c>
      <c r="G7" s="81">
        <f t="shared" si="1"/>
        <v>29618.57</v>
      </c>
    </row>
    <row r="8" spans="1:10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f>(100%+$J$3)*(100%+$J$4)*2177.39</f>
        <v>3286.987944</v>
      </c>
      <c r="F8" s="81">
        <f>ROUND(E8*D8,2)</f>
        <v>1577754.21</v>
      </c>
      <c r="G8" s="81">
        <f>ROUND(F8*1.2,2)</f>
        <v>1893305.05</v>
      </c>
    </row>
    <row r="9" spans="1:10" ht="27.6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f>(100%+$J$3)*(100%+$J$4)*660</f>
        <v>996.33600000000001</v>
      </c>
      <c r="F9" s="81">
        <f>ROUND(E9*D9,2)</f>
        <v>59780.160000000003</v>
      </c>
      <c r="G9" s="81">
        <f t="shared" si="1"/>
        <v>71736.19</v>
      </c>
    </row>
    <row r="10" spans="1:10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f>(100%+$J$3)*(100%+$J$4)*31703.15</f>
        <v>47859.075240000006</v>
      </c>
      <c r="F10" s="81">
        <f>ROUND(E10*1.512,2)</f>
        <v>72362.92</v>
      </c>
      <c r="G10" s="81">
        <f>ROUND(F10*1.2,2)</f>
        <v>86835.5</v>
      </c>
    </row>
    <row r="11" spans="1:10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f>(100%+$J$3)*(100%+$J$4)*2139.22</f>
        <v>3229.3665119999996</v>
      </c>
      <c r="F11" s="81">
        <f t="shared" ref="F11:F13" si="3">ROUND(E11*D11,2)</f>
        <v>19376.2</v>
      </c>
      <c r="G11" s="81">
        <f t="shared" ref="G11:G14" si="4">ROUND(F11*1.2,2)</f>
        <v>23251.439999999999</v>
      </c>
    </row>
    <row r="12" spans="1:10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f>(100%+$J$3)*(100%+$J$4)*2535.43</f>
        <v>3827.4851279999998</v>
      </c>
      <c r="F12" s="81">
        <f t="shared" si="3"/>
        <v>15309.94</v>
      </c>
      <c r="G12" s="81">
        <f t="shared" si="4"/>
        <v>18371.93</v>
      </c>
    </row>
    <row r="13" spans="1:10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f>(100%+$J$3)*(100%+$J$4)*18000</f>
        <v>27172.799999999999</v>
      </c>
      <c r="F13" s="81">
        <f t="shared" si="3"/>
        <v>54345.599999999999</v>
      </c>
      <c r="G13" s="81">
        <f t="shared" si="4"/>
        <v>65214.720000000001</v>
      </c>
    </row>
    <row r="14" spans="1:10" ht="37.200000000000003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f>(100%+$J$3)*(100%+$J$4)*50000</f>
        <v>75480</v>
      </c>
      <c r="F14" s="81">
        <f>ROUND(E14*1,2)</f>
        <v>75480</v>
      </c>
      <c r="G14" s="81">
        <f t="shared" si="4"/>
        <v>90576</v>
      </c>
    </row>
    <row r="15" spans="1:10" x14ac:dyDescent="0.3">
      <c r="A15" s="83"/>
      <c r="B15" s="379" t="s">
        <v>265</v>
      </c>
      <c r="C15" s="380"/>
      <c r="D15" s="380"/>
      <c r="E15" s="381"/>
      <c r="F15" s="92">
        <f>SUM(F5:F14)</f>
        <v>2261644.46</v>
      </c>
      <c r="G15" s="92">
        <f>SUM(G5:G14)</f>
        <v>2713973.3500000006</v>
      </c>
    </row>
  </sheetData>
  <mergeCells count="9">
    <mergeCell ref="B15:E15"/>
    <mergeCell ref="E1:E2"/>
    <mergeCell ref="F1:F2"/>
    <mergeCell ref="G1:G2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28B5-886E-4322-9C79-01D63751B37B}">
  <dimension ref="A1:K28"/>
  <sheetViews>
    <sheetView zoomScale="85" zoomScaleNormal="85" zoomScaleSheetLayoutView="85" workbookViewId="0">
      <pane ySplit="2" topLeftCell="A3" activePane="bottomLeft" state="frozen"/>
      <selection pane="bottomLeft" activeCell="D6" sqref="D6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9" width="19.44140625" customWidth="1"/>
    <col min="10" max="10" width="21.88671875" customWidth="1"/>
  </cols>
  <sheetData>
    <row r="1" spans="1:11" ht="28.95" customHeight="1" x14ac:dyDescent="0.3">
      <c r="A1" s="389" t="s">
        <v>213</v>
      </c>
      <c r="B1" s="391" t="s">
        <v>188</v>
      </c>
      <c r="C1" s="393" t="s">
        <v>256</v>
      </c>
      <c r="D1" s="393" t="s">
        <v>189</v>
      </c>
      <c r="E1" s="397" t="s">
        <v>255</v>
      </c>
      <c r="F1" s="389" t="s">
        <v>184</v>
      </c>
      <c r="G1" s="389" t="s">
        <v>186</v>
      </c>
    </row>
    <row r="2" spans="1:11" s="54" customFormat="1" ht="57.6" customHeight="1" x14ac:dyDescent="0.3">
      <c r="A2" s="390"/>
      <c r="B2" s="392"/>
      <c r="C2" s="394"/>
      <c r="D2" s="394"/>
      <c r="E2" s="398"/>
      <c r="F2" s="390"/>
      <c r="G2" s="390"/>
    </row>
    <row r="3" spans="1:11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H3" s="335" t="s">
        <v>708</v>
      </c>
      <c r="I3" s="335" t="s">
        <v>709</v>
      </c>
      <c r="J3" t="s">
        <v>488</v>
      </c>
      <c r="K3" s="180">
        <v>0.33</v>
      </c>
    </row>
    <row r="4" spans="1:11" x14ac:dyDescent="0.3">
      <c r="A4" s="330">
        <v>1</v>
      </c>
      <c r="B4" s="331" t="s">
        <v>474</v>
      </c>
      <c r="C4" s="330" t="s">
        <v>207</v>
      </c>
      <c r="D4" s="332">
        <v>22</v>
      </c>
      <c r="E4" s="333">
        <f>(100%+$K$3)*(100%+$K$4)*2310</f>
        <v>3133.7460000000001</v>
      </c>
      <c r="F4" s="333">
        <f>ROUND(E4*D4,2)</f>
        <v>68942.41</v>
      </c>
      <c r="G4" s="333">
        <f t="shared" ref="G4:G11" si="0">ROUND(F4*1.2,2)</f>
        <v>82730.89</v>
      </c>
      <c r="H4" s="336" t="e">
        <f>#REF!/#REF!</f>
        <v>#REF!</v>
      </c>
      <c r="I4" s="336" t="e">
        <f>H4-E4</f>
        <v>#REF!</v>
      </c>
      <c r="J4" t="s">
        <v>489</v>
      </c>
      <c r="K4" s="180">
        <v>0.02</v>
      </c>
    </row>
    <row r="5" spans="1:11" x14ac:dyDescent="0.3">
      <c r="A5" s="330">
        <f>A4+1</f>
        <v>2</v>
      </c>
      <c r="B5" s="331" t="s">
        <v>486</v>
      </c>
      <c r="C5" s="330" t="s">
        <v>207</v>
      </c>
      <c r="D5" s="332">
        <v>32</v>
      </c>
      <c r="E5" s="333">
        <f>(100%+$K$3)*(100%+$K$4)*1139.42</f>
        <v>1545.7371720000001</v>
      </c>
      <c r="F5" s="333">
        <f t="shared" ref="F5:F11" si="1">ROUND(E5*D5,2)</f>
        <v>49463.59</v>
      </c>
      <c r="G5" s="333">
        <f t="shared" si="0"/>
        <v>59356.31</v>
      </c>
      <c r="H5" s="336">
        <f>'ТС - ЛСР'!N76/'ТС - ЛСР'!G76</f>
        <v>1828.6</v>
      </c>
      <c r="I5" s="336">
        <f t="shared" ref="I5:I16" si="2">H5-E5</f>
        <v>282.86282799999981</v>
      </c>
    </row>
    <row r="6" spans="1:11" x14ac:dyDescent="0.3">
      <c r="A6" s="330">
        <f t="shared" ref="A6:A16" si="3">A5+1</f>
        <v>3</v>
      </c>
      <c r="B6" s="331" t="s">
        <v>485</v>
      </c>
      <c r="C6" s="330" t="s">
        <v>182</v>
      </c>
      <c r="D6" s="332">
        <v>480</v>
      </c>
      <c r="E6" s="333">
        <f>(100%+$K$3)*(100%+$K$4)*1208.17</f>
        <v>1639.0034220000002</v>
      </c>
      <c r="F6" s="333">
        <f t="shared" si="1"/>
        <v>786721.64</v>
      </c>
      <c r="G6" s="333">
        <f t="shared" si="0"/>
        <v>944065.97</v>
      </c>
      <c r="H6" s="336">
        <f>'ТС - ЛСР'!N73/'ТС - ЛСР'!G73</f>
        <v>3333.0472083333329</v>
      </c>
      <c r="I6" s="336">
        <f t="shared" si="2"/>
        <v>1694.0437863333327</v>
      </c>
      <c r="J6" s="185"/>
    </row>
    <row r="7" spans="1:11" x14ac:dyDescent="0.3">
      <c r="A7" s="330">
        <f t="shared" si="3"/>
        <v>4</v>
      </c>
      <c r="B7" s="331" t="s">
        <v>475</v>
      </c>
      <c r="C7" s="330" t="s">
        <v>178</v>
      </c>
      <c r="D7" s="332">
        <v>14</v>
      </c>
      <c r="E7" s="333">
        <f>(100%+$K$3)*(100%+$K$4)*4152.5</f>
        <v>5633.2815000000001</v>
      </c>
      <c r="F7" s="333">
        <f t="shared" si="1"/>
        <v>78865.94</v>
      </c>
      <c r="G7" s="333">
        <f t="shared" si="0"/>
        <v>94639.13</v>
      </c>
      <c r="H7" s="336">
        <f>'ТС - ЛСР'!N111/'ТС - ЛСР'!G106</f>
        <v>6469.51</v>
      </c>
      <c r="I7" s="336">
        <f t="shared" si="2"/>
        <v>836.22850000000017</v>
      </c>
    </row>
    <row r="8" spans="1:11" x14ac:dyDescent="0.3">
      <c r="A8" s="330">
        <f t="shared" si="3"/>
        <v>5</v>
      </c>
      <c r="B8" s="331" t="s">
        <v>477</v>
      </c>
      <c r="C8" s="330" t="s">
        <v>178</v>
      </c>
      <c r="D8" s="332">
        <v>6</v>
      </c>
      <c r="E8" s="333">
        <f>(100%+$K$3)*(100%+$K$4)*396</f>
        <v>537.21360000000004</v>
      </c>
      <c r="F8" s="333">
        <f t="shared" si="1"/>
        <v>3223.28</v>
      </c>
      <c r="G8" s="333">
        <f t="shared" si="0"/>
        <v>3867.94</v>
      </c>
      <c r="H8" s="336">
        <f>'ТС - ЛСР'!N124/'ТС - ЛСР'!G125</f>
        <v>3689.4916666666668</v>
      </c>
      <c r="I8" s="336">
        <f t="shared" si="2"/>
        <v>3152.2780666666667</v>
      </c>
    </row>
    <row r="9" spans="1:11" x14ac:dyDescent="0.3">
      <c r="A9" s="330">
        <f t="shared" si="3"/>
        <v>6</v>
      </c>
      <c r="B9" s="331" t="s">
        <v>479</v>
      </c>
      <c r="C9" s="330" t="s">
        <v>178</v>
      </c>
      <c r="D9" s="332">
        <v>6</v>
      </c>
      <c r="E9" s="333">
        <f>(100%+$K$3)*(100%+$K$4)*16.5</f>
        <v>22.383900000000001</v>
      </c>
      <c r="F9" s="333">
        <f t="shared" si="1"/>
        <v>134.30000000000001</v>
      </c>
      <c r="G9" s="333">
        <f t="shared" si="0"/>
        <v>161.16</v>
      </c>
      <c r="H9" s="336"/>
      <c r="I9" s="336">
        <f t="shared" si="2"/>
        <v>-22.383900000000001</v>
      </c>
    </row>
    <row r="10" spans="1:11" x14ac:dyDescent="0.3">
      <c r="A10" s="330">
        <f t="shared" si="3"/>
        <v>7</v>
      </c>
      <c r="B10" s="331" t="s">
        <v>478</v>
      </c>
      <c r="C10" s="330" t="s">
        <v>178</v>
      </c>
      <c r="D10" s="332">
        <v>4</v>
      </c>
      <c r="E10" s="333">
        <f>(100%+$K$3)*(100%+$K$4)*5015.08</f>
        <v>6803.4575279999999</v>
      </c>
      <c r="F10" s="333">
        <f t="shared" si="1"/>
        <v>27213.83</v>
      </c>
      <c r="G10" s="333">
        <f t="shared" si="0"/>
        <v>32656.6</v>
      </c>
      <c r="H10" s="336">
        <f>'ТС - ЛСР'!N141/'ТС - ЛСР'!G141</f>
        <v>4528.5950000000003</v>
      </c>
      <c r="I10" s="337">
        <f t="shared" si="2"/>
        <v>-2274.8625279999997</v>
      </c>
    </row>
    <row r="11" spans="1:11" x14ac:dyDescent="0.3">
      <c r="A11" s="330">
        <f t="shared" si="3"/>
        <v>8</v>
      </c>
      <c r="B11" s="331" t="s">
        <v>480</v>
      </c>
      <c r="C11" s="330" t="s">
        <v>178</v>
      </c>
      <c r="D11" s="332">
        <v>6</v>
      </c>
      <c r="E11" s="333">
        <f>(100%+$K$3)*(100%+$K$4)*51.33</f>
        <v>69.634277999999995</v>
      </c>
      <c r="F11" s="333">
        <f t="shared" si="1"/>
        <v>417.81</v>
      </c>
      <c r="G11" s="333">
        <f t="shared" si="0"/>
        <v>501.37</v>
      </c>
      <c r="H11" s="336"/>
      <c r="I11" s="336">
        <f t="shared" si="2"/>
        <v>-69.634277999999995</v>
      </c>
    </row>
    <row r="12" spans="1:11" x14ac:dyDescent="0.3">
      <c r="A12" s="330">
        <f t="shared" si="3"/>
        <v>9</v>
      </c>
      <c r="B12" s="331" t="s">
        <v>487</v>
      </c>
      <c r="C12" s="330" t="s">
        <v>182</v>
      </c>
      <c r="D12" s="332">
        <v>36</v>
      </c>
      <c r="E12" s="333">
        <f>(100%+$K$3)*(100%+$K$4)*2632.67</f>
        <v>3571.4801220000004</v>
      </c>
      <c r="F12" s="333">
        <f>ROUND(E12*D12,2)</f>
        <v>128573.28</v>
      </c>
      <c r="G12" s="333">
        <f>ROUND(F12*1.2,2)</f>
        <v>154287.94</v>
      </c>
      <c r="H12" s="336">
        <f>'ТС - ЛСР'!N156/'ТС - ЛСР'!G156</f>
        <v>1961.0619444444444</v>
      </c>
      <c r="I12" s="337">
        <f t="shared" si="2"/>
        <v>-1610.418177555556</v>
      </c>
    </row>
    <row r="13" spans="1:11" x14ac:dyDescent="0.3">
      <c r="A13" s="330">
        <f t="shared" si="3"/>
        <v>10</v>
      </c>
      <c r="B13" s="331" t="s">
        <v>481</v>
      </c>
      <c r="C13" s="330" t="s">
        <v>182</v>
      </c>
      <c r="D13" s="332">
        <v>60</v>
      </c>
      <c r="E13" s="333">
        <f>(100%+$K$3)*(100%+$K$4)*307.08</f>
        <v>416.58472799999998</v>
      </c>
      <c r="F13" s="333">
        <f>ROUND(E13*D13,2)</f>
        <v>24995.08</v>
      </c>
      <c r="G13" s="333">
        <f>ROUND(F13*1.2,2)</f>
        <v>29994.1</v>
      </c>
      <c r="H13" s="336"/>
      <c r="I13" s="336">
        <f t="shared" si="2"/>
        <v>-416.58472799999998</v>
      </c>
      <c r="J13">
        <f>60*3.77</f>
        <v>226.2</v>
      </c>
      <c r="K13" t="s">
        <v>219</v>
      </c>
    </row>
    <row r="14" spans="1:11" x14ac:dyDescent="0.3">
      <c r="A14" s="330">
        <f t="shared" si="3"/>
        <v>11</v>
      </c>
      <c r="B14" s="331" t="s">
        <v>482</v>
      </c>
      <c r="C14" s="330" t="s">
        <v>182</v>
      </c>
      <c r="D14" s="332">
        <v>48</v>
      </c>
      <c r="E14" s="333">
        <f>(100%+$K$3)*(100%+$K$4)*398.75</f>
        <v>540.94425000000001</v>
      </c>
      <c r="F14" s="333">
        <f>ROUND(E14*D14,2)</f>
        <v>25965.32</v>
      </c>
      <c r="G14" s="333">
        <f>ROUND(F14*1.2,2)</f>
        <v>31158.38</v>
      </c>
      <c r="H14" s="336"/>
      <c r="I14" s="336">
        <f t="shared" si="2"/>
        <v>-540.94425000000001</v>
      </c>
    </row>
    <row r="15" spans="1:11" x14ac:dyDescent="0.3">
      <c r="A15" s="330">
        <f t="shared" si="3"/>
        <v>12</v>
      </c>
      <c r="B15" s="331" t="s">
        <v>483</v>
      </c>
      <c r="C15" s="330" t="s">
        <v>220</v>
      </c>
      <c r="D15" s="332">
        <v>60</v>
      </c>
      <c r="E15" s="333">
        <f>(100%+$K$3)*(100%+$K$4)*209</f>
        <v>283.52940000000001</v>
      </c>
      <c r="F15" s="333">
        <f>ROUND(E15*D15,2)</f>
        <v>17011.759999999998</v>
      </c>
      <c r="G15" s="333">
        <f>ROUND(F15*1.2,2)</f>
        <v>20414.11</v>
      </c>
      <c r="H15" s="336"/>
      <c r="I15" s="336">
        <f t="shared" si="2"/>
        <v>-283.52940000000001</v>
      </c>
    </row>
    <row r="16" spans="1:11" x14ac:dyDescent="0.3">
      <c r="A16" s="330">
        <f t="shared" si="3"/>
        <v>13</v>
      </c>
      <c r="B16" s="331" t="s">
        <v>498</v>
      </c>
      <c r="C16" s="330" t="s">
        <v>499</v>
      </c>
      <c r="D16" s="332">
        <v>1</v>
      </c>
      <c r="E16" s="333">
        <f>(100%+$K$3)*(100%+$K$4)*30000</f>
        <v>40698</v>
      </c>
      <c r="F16" s="333">
        <f>ROUND(E16*D16,2)</f>
        <v>40698</v>
      </c>
      <c r="G16" s="333">
        <f>ROUND(F16*1.2,2)</f>
        <v>48837.599999999999</v>
      </c>
      <c r="H16" s="336"/>
      <c r="I16" s="336">
        <f t="shared" si="2"/>
        <v>-40698</v>
      </c>
    </row>
    <row r="17" spans="1:10" x14ac:dyDescent="0.3">
      <c r="A17" s="86"/>
      <c r="B17" s="173"/>
      <c r="C17" s="182"/>
      <c r="D17" s="183"/>
      <c r="E17" s="184"/>
      <c r="F17" s="163"/>
      <c r="G17" s="163"/>
      <c r="H17" s="169"/>
      <c r="I17" s="169"/>
    </row>
    <row r="18" spans="1:10" s="1" customFormat="1" x14ac:dyDescent="0.3">
      <c r="A18" s="78"/>
      <c r="B18" s="379" t="s">
        <v>265</v>
      </c>
      <c r="C18" s="380"/>
      <c r="D18" s="380"/>
      <c r="E18" s="381"/>
      <c r="F18" s="92">
        <f>SUM(F4:F16)</f>
        <v>1252226.2400000002</v>
      </c>
      <c r="G18" s="92">
        <f>SUM(G4:G16)</f>
        <v>1502671.5</v>
      </c>
    </row>
    <row r="21" spans="1:10" x14ac:dyDescent="0.3">
      <c r="B21" s="55"/>
      <c r="G21" s="26"/>
    </row>
    <row r="26" spans="1:10" x14ac:dyDescent="0.3">
      <c r="J26" s="30">
        <f>G18+'СМР врем. ТС (сталь) коммерция'!G15</f>
        <v>4216644.8500000006</v>
      </c>
    </row>
    <row r="27" spans="1:10" x14ac:dyDescent="0.3">
      <c r="G27">
        <f>1.8*12</f>
        <v>21.6</v>
      </c>
    </row>
    <row r="28" spans="1:10" x14ac:dyDescent="0.3">
      <c r="G28">
        <f>30+G27</f>
        <v>51.6</v>
      </c>
    </row>
  </sheetData>
  <mergeCells count="8">
    <mergeCell ref="B18:E18"/>
    <mergeCell ref="E1:E2"/>
    <mergeCell ref="F1:F2"/>
    <mergeCell ref="G1:G2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A3F1-3B34-4630-AF79-99D1A2AD29A2}">
  <sheetPr>
    <tabColor rgb="FFFFFF00"/>
  </sheetPr>
  <dimension ref="A1:J37"/>
  <sheetViews>
    <sheetView zoomScale="58" zoomScaleNormal="100" zoomScaleSheetLayoutView="80" workbookViewId="0">
      <pane ySplit="2" topLeftCell="A3" activePane="bottomLeft" state="frozen"/>
      <selection pane="bottomLeft" activeCell="J10" sqref="J10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5.33203125" customWidth="1"/>
    <col min="9" max="9" width="18.109375" bestFit="1" customWidth="1"/>
    <col min="10" max="10" width="12.33203125" bestFit="1" customWidth="1"/>
  </cols>
  <sheetData>
    <row r="1" spans="1:10" s="1" customFormat="1" ht="21.75" customHeight="1" x14ac:dyDescent="0.3">
      <c r="A1" s="387" t="s">
        <v>187</v>
      </c>
      <c r="B1" s="387" t="s">
        <v>214</v>
      </c>
      <c r="C1" s="387" t="s">
        <v>224</v>
      </c>
      <c r="D1" s="387" t="s">
        <v>189</v>
      </c>
      <c r="E1" s="391" t="s">
        <v>225</v>
      </c>
      <c r="F1" s="395" t="s">
        <v>241</v>
      </c>
      <c r="G1" s="391" t="s">
        <v>223</v>
      </c>
    </row>
    <row r="2" spans="1:10" ht="36" customHeight="1" x14ac:dyDescent="0.3">
      <c r="A2" s="387"/>
      <c r="B2" s="387"/>
      <c r="C2" s="387"/>
      <c r="D2" s="387"/>
      <c r="E2" s="392"/>
      <c r="F2" s="396"/>
      <c r="G2" s="392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10" ht="42.45" customHeight="1" x14ac:dyDescent="0.3">
      <c r="A4" s="385" t="s">
        <v>467</v>
      </c>
      <c r="B4" s="386"/>
      <c r="C4" s="101"/>
      <c r="D4" s="101"/>
      <c r="E4" s="102"/>
      <c r="F4" s="101"/>
      <c r="G4" s="101"/>
      <c r="I4" s="208" t="s">
        <v>500</v>
      </c>
      <c r="J4" s="2" t="s">
        <v>509</v>
      </c>
    </row>
    <row r="5" spans="1:10" ht="21" customHeight="1" x14ac:dyDescent="0.3">
      <c r="A5" s="87">
        <v>1</v>
      </c>
      <c r="B5" s="186" t="s">
        <v>468</v>
      </c>
      <c r="C5" s="87" t="str">
        <f>'СМР врем. ТС (сталь) коммерция'!C5</f>
        <v>шт.</v>
      </c>
      <c r="D5" s="87">
        <f>'СМР врем. ТС (сталь) коммерция'!D5</f>
        <v>22</v>
      </c>
      <c r="E5" s="91">
        <f>'СМР врем. ТС (сталь) коммерция'!E5</f>
        <v>5782.9002</v>
      </c>
      <c r="F5" s="91">
        <f>'СМР врем. ТС (сталь) коммерция'!F5</f>
        <v>127223.8</v>
      </c>
      <c r="G5" s="91">
        <f>'СМР врем. ТС (сталь) коммерция'!G5</f>
        <v>152668.56</v>
      </c>
      <c r="I5" s="81">
        <f>G24</f>
        <v>82730.89</v>
      </c>
      <c r="J5" s="81">
        <f>I5/D5</f>
        <v>3760.4949999999999</v>
      </c>
    </row>
    <row r="6" spans="1:10" ht="21" customHeight="1" x14ac:dyDescent="0.3">
      <c r="A6" s="87">
        <v>2</v>
      </c>
      <c r="B6" s="187" t="s">
        <v>490</v>
      </c>
      <c r="C6" s="87" t="str">
        <f>'СМР врем. ТС (сталь) коммерция'!C6</f>
        <v xml:space="preserve">шт. </v>
      </c>
      <c r="D6" s="87">
        <f>'СМР врем. ТС (сталь) коммерция'!D6</f>
        <v>12</v>
      </c>
      <c r="E6" s="91">
        <f>'СМР врем. ТС (сталь) коммерция'!E6</f>
        <v>19610.790912</v>
      </c>
      <c r="F6" s="91">
        <f>'СМР врем. ТС (сталь) коммерция'!F6</f>
        <v>235329.49</v>
      </c>
      <c r="G6" s="91">
        <f>'СМР врем. ТС (сталь) коммерция'!G6</f>
        <v>282395.39</v>
      </c>
      <c r="I6" s="81">
        <f>G33+G34</f>
        <v>61152.479999999996</v>
      </c>
      <c r="J6" s="81">
        <f t="shared" ref="J6:J13" si="0">I6/D6</f>
        <v>5096.04</v>
      </c>
    </row>
    <row r="7" spans="1:10" ht="21" customHeight="1" x14ac:dyDescent="0.3">
      <c r="A7" s="87">
        <v>3</v>
      </c>
      <c r="B7" s="188" t="s">
        <v>484</v>
      </c>
      <c r="C7" s="87" t="str">
        <f>'СМР врем. ТС (сталь) коммерция'!C7</f>
        <v>м2</v>
      </c>
      <c r="D7" s="87">
        <f>'СМР врем. ТС (сталь) коммерция'!D7</f>
        <v>40.81</v>
      </c>
      <c r="E7" s="91">
        <f>'СМР врем. ТС (сталь) коммерция'!E7</f>
        <v>604.80614400000002</v>
      </c>
      <c r="F7" s="91">
        <f>'СМР врем. ТС (сталь) коммерция'!F7</f>
        <v>24682.14</v>
      </c>
      <c r="G7" s="91">
        <f>'СМР врем. ТС (сталь) коммерция'!G7</f>
        <v>29618.57</v>
      </c>
      <c r="I7" s="81">
        <f>G35</f>
        <v>20414.11</v>
      </c>
      <c r="J7" s="81">
        <f t="shared" si="0"/>
        <v>500.22322960058807</v>
      </c>
    </row>
    <row r="8" spans="1:10" ht="42.75" customHeight="1" x14ac:dyDescent="0.3">
      <c r="A8" s="87">
        <v>4</v>
      </c>
      <c r="B8" s="189" t="s">
        <v>491</v>
      </c>
      <c r="C8" s="87" t="str">
        <f>'СМР врем. ТС (сталь) коммерция'!C8</f>
        <v>м</v>
      </c>
      <c r="D8" s="87">
        <f>'СМР врем. ТС (сталь) коммерция'!D8</f>
        <v>480</v>
      </c>
      <c r="E8" s="91">
        <f>'СМР врем. ТС (сталь) коммерция'!E8</f>
        <v>3286.987944</v>
      </c>
      <c r="F8" s="91">
        <f>'СМР врем. ТС (сталь) коммерция'!F8</f>
        <v>1577754.21</v>
      </c>
      <c r="G8" s="91">
        <f>'СМР врем. ТС (сталь) коммерция'!G8</f>
        <v>1893305.05</v>
      </c>
      <c r="I8" s="81">
        <f>G25+G26+G36+G32</f>
        <v>1206547.82</v>
      </c>
      <c r="J8" s="81">
        <f t="shared" si="0"/>
        <v>2513.6412916666668</v>
      </c>
    </row>
    <row r="9" spans="1:10" ht="42.75" customHeight="1" x14ac:dyDescent="0.3">
      <c r="A9" s="87">
        <v>5</v>
      </c>
      <c r="B9" s="79" t="s">
        <v>492</v>
      </c>
      <c r="C9" s="87" t="str">
        <f>'СМР врем. ТС (сталь) коммерция'!C9</f>
        <v>стык</v>
      </c>
      <c r="D9" s="87">
        <f>'СМР врем. ТС (сталь) коммерция'!D9</f>
        <v>60</v>
      </c>
      <c r="E9" s="91">
        <f>'СМР врем. ТС (сталь) коммерция'!E9</f>
        <v>996.33600000000001</v>
      </c>
      <c r="F9" s="91">
        <f>'СМР врем. ТС (сталь) коммерция'!F9</f>
        <v>59780.160000000003</v>
      </c>
      <c r="G9" s="91">
        <f>'СМР врем. ТС (сталь) коммерция'!G9</f>
        <v>71736.19</v>
      </c>
      <c r="I9" s="81">
        <v>0</v>
      </c>
      <c r="J9" s="81">
        <f t="shared" si="0"/>
        <v>0</v>
      </c>
    </row>
    <row r="10" spans="1:10" ht="21" customHeight="1" x14ac:dyDescent="0.3">
      <c r="A10" s="87">
        <v>6</v>
      </c>
      <c r="B10" s="190" t="s">
        <v>476</v>
      </c>
      <c r="C10" s="87" t="str">
        <f>'СМР врем. ТС (сталь) коммерция'!C10</f>
        <v>м3/ шт.</v>
      </c>
      <c r="D10" s="87" t="str">
        <f>'СМР врем. ТС (сталь) коммерция'!D10</f>
        <v>1,512/ 14</v>
      </c>
      <c r="E10" s="91">
        <f>'СМР врем. ТС (сталь) коммерция'!E10</f>
        <v>47859.075240000006</v>
      </c>
      <c r="F10" s="91">
        <f>'СМР врем. ТС (сталь) коммерция'!F10</f>
        <v>72362.92</v>
      </c>
      <c r="G10" s="91">
        <f>'СМР врем. ТС (сталь) коммерция'!G10</f>
        <v>86835.5</v>
      </c>
      <c r="I10" s="81">
        <f>G27</f>
        <v>94639.13</v>
      </c>
      <c r="J10" s="81">
        <f>I10/1.512</f>
        <v>62592.017195767199</v>
      </c>
    </row>
    <row r="11" spans="1:10" ht="21" customHeight="1" x14ac:dyDescent="0.3">
      <c r="A11" s="87">
        <v>7</v>
      </c>
      <c r="B11" s="191" t="s">
        <v>470</v>
      </c>
      <c r="C11" s="87" t="str">
        <f>'СМР врем. ТС (сталь) коммерция'!C11</f>
        <v>шт.</v>
      </c>
      <c r="D11" s="87">
        <f>'СМР врем. ТС (сталь) коммерция'!D11</f>
        <v>6</v>
      </c>
      <c r="E11" s="91">
        <f>'СМР врем. ТС (сталь) коммерция'!E11</f>
        <v>3229.3665119999996</v>
      </c>
      <c r="F11" s="91">
        <f>'СМР врем. ТС (сталь) коммерция'!F11</f>
        <v>19376.2</v>
      </c>
      <c r="G11" s="91">
        <f>'СМР врем. ТС (сталь) коммерция'!G11</f>
        <v>23251.439999999999</v>
      </c>
      <c r="I11" s="81">
        <f>G28+G29</f>
        <v>4029.1</v>
      </c>
      <c r="J11" s="81">
        <f t="shared" si="0"/>
        <v>671.51666666666665</v>
      </c>
    </row>
    <row r="12" spans="1:10" ht="21" customHeight="1" x14ac:dyDescent="0.3">
      <c r="A12" s="87">
        <v>8</v>
      </c>
      <c r="B12" s="192" t="s">
        <v>494</v>
      </c>
      <c r="C12" s="87" t="str">
        <f>'СМР врем. ТС (сталь) коммерция'!C12</f>
        <v>шт.</v>
      </c>
      <c r="D12" s="87">
        <f>'СМР врем. ТС (сталь) коммерция'!D12</f>
        <v>4</v>
      </c>
      <c r="E12" s="91">
        <f>'СМР врем. ТС (сталь) коммерция'!E12</f>
        <v>3827.4851279999998</v>
      </c>
      <c r="F12" s="91">
        <f>'СМР врем. ТС (сталь) коммерция'!F12</f>
        <v>15309.94</v>
      </c>
      <c r="G12" s="91">
        <f>'СМР врем. ТС (сталь) коммерция'!G12</f>
        <v>18371.93</v>
      </c>
      <c r="I12" s="81">
        <f>G30+G31</f>
        <v>33157.97</v>
      </c>
      <c r="J12" s="81">
        <f t="shared" si="0"/>
        <v>8289.4925000000003</v>
      </c>
    </row>
    <row r="13" spans="1:10" ht="21" customHeight="1" x14ac:dyDescent="0.3">
      <c r="A13" s="87">
        <v>9</v>
      </c>
      <c r="B13" s="79" t="s">
        <v>473</v>
      </c>
      <c r="C13" s="87" t="str">
        <f>'СМР врем. ТС (сталь) коммерция'!C13</f>
        <v>шт.</v>
      </c>
      <c r="D13" s="87">
        <f>'СМР врем. ТС (сталь) коммерция'!D13</f>
        <v>2</v>
      </c>
      <c r="E13" s="91">
        <f>'СМР врем. ТС (сталь) коммерция'!E13</f>
        <v>27172.799999999999</v>
      </c>
      <c r="F13" s="91">
        <f>'СМР врем. ТС (сталь) коммерция'!F13</f>
        <v>54345.599999999999</v>
      </c>
      <c r="G13" s="91">
        <f>'СМР врем. ТС (сталь) коммерция'!G13</f>
        <v>65214.720000000001</v>
      </c>
      <c r="I13" s="81">
        <v>0</v>
      </c>
      <c r="J13" s="81">
        <f t="shared" si="0"/>
        <v>0</v>
      </c>
    </row>
    <row r="14" spans="1:10" ht="34.200000000000003" customHeight="1" x14ac:dyDescent="0.3">
      <c r="A14" s="87">
        <v>10</v>
      </c>
      <c r="B14" s="199" t="s">
        <v>495</v>
      </c>
      <c r="C14" s="87" t="str">
        <f>'СМР врем. ТС (сталь) коммерция'!C14</f>
        <v>узел/ м</v>
      </c>
      <c r="D14" s="87" t="str">
        <f>'СМР врем. ТС (сталь) коммерция'!D14</f>
        <v>1/ 480</v>
      </c>
      <c r="E14" s="91">
        <f>'СМР врем. ТС (сталь) коммерция'!E14</f>
        <v>75480</v>
      </c>
      <c r="F14" s="91">
        <f>'СМР врем. ТС (сталь) коммерция'!F14</f>
        <v>75480</v>
      </c>
      <c r="G14" s="91">
        <f>'СМР врем. ТС (сталь) коммерция'!G14</f>
        <v>90576</v>
      </c>
      <c r="I14" s="81">
        <v>0</v>
      </c>
      <c r="J14" s="81">
        <f>I14/1</f>
        <v>0</v>
      </c>
    </row>
    <row r="15" spans="1:10" x14ac:dyDescent="0.3">
      <c r="A15" s="83"/>
      <c r="B15" s="379" t="s">
        <v>265</v>
      </c>
      <c r="C15" s="380"/>
      <c r="D15" s="380"/>
      <c r="E15" s="381"/>
      <c r="F15" s="92">
        <f>SUM(F5:F14)</f>
        <v>2261644.46</v>
      </c>
      <c r="G15" s="92">
        <f>SUM(G5:G14)</f>
        <v>2713973.3500000006</v>
      </c>
    </row>
    <row r="24" spans="1:8" x14ac:dyDescent="0.3">
      <c r="A24" s="86">
        <v>1</v>
      </c>
      <c r="B24" s="193" t="s">
        <v>474</v>
      </c>
      <c r="C24" s="172" t="s">
        <v>207</v>
      </c>
      <c r="D24" s="176">
        <f>'мат врем.ТС (сталь) коммерция'!D4</f>
        <v>22</v>
      </c>
      <c r="E24" s="181">
        <f>'мат врем.ТС (сталь) коммерция'!E4</f>
        <v>3133.7460000000001</v>
      </c>
      <c r="F24" s="181">
        <f>'мат врем.ТС (сталь) коммерция'!F4</f>
        <v>68942.41</v>
      </c>
      <c r="G24" s="181">
        <f>'мат врем.ТС (сталь) коммерция'!G4</f>
        <v>82730.89</v>
      </c>
      <c r="H24" s="178"/>
    </row>
    <row r="25" spans="1:8" x14ac:dyDescent="0.3">
      <c r="A25" s="86">
        <v>2</v>
      </c>
      <c r="B25" s="194" t="s">
        <v>486</v>
      </c>
      <c r="C25" s="172" t="s">
        <v>207</v>
      </c>
      <c r="D25" s="176">
        <f>'мат врем.ТС (сталь) коммерция'!D5</f>
        <v>32</v>
      </c>
      <c r="E25" s="181">
        <f>'мат врем.ТС (сталь) коммерция'!E5</f>
        <v>1545.7371720000001</v>
      </c>
      <c r="F25" s="181">
        <f>'мат врем.ТС (сталь) коммерция'!F5</f>
        <v>49463.59</v>
      </c>
      <c r="G25" s="181">
        <f>'мат врем.ТС (сталь) коммерция'!G5</f>
        <v>59356.31</v>
      </c>
      <c r="H25" s="178"/>
    </row>
    <row r="26" spans="1:8" x14ac:dyDescent="0.3">
      <c r="A26" s="86">
        <v>3</v>
      </c>
      <c r="B26" s="189" t="s">
        <v>485</v>
      </c>
      <c r="C26" s="86" t="s">
        <v>182</v>
      </c>
      <c r="D26" s="176">
        <f>'мат врем.ТС (сталь) коммерция'!D6</f>
        <v>480</v>
      </c>
      <c r="E26" s="181">
        <f>'мат врем.ТС (сталь) коммерция'!E6</f>
        <v>1639.0034220000002</v>
      </c>
      <c r="F26" s="181">
        <f>'мат врем.ТС (сталь) коммерция'!F6</f>
        <v>786721.64</v>
      </c>
      <c r="G26" s="181">
        <f>'мат врем.ТС (сталь) коммерция'!G6</f>
        <v>944065.97</v>
      </c>
    </row>
    <row r="27" spans="1:8" x14ac:dyDescent="0.3">
      <c r="A27" s="86">
        <v>4</v>
      </c>
      <c r="B27" s="190" t="s">
        <v>475</v>
      </c>
      <c r="C27" s="86" t="s">
        <v>178</v>
      </c>
      <c r="D27" s="176">
        <f>'мат врем.ТС (сталь) коммерция'!D7</f>
        <v>14</v>
      </c>
      <c r="E27" s="181">
        <f>'мат врем.ТС (сталь) коммерция'!E7</f>
        <v>5633.2815000000001</v>
      </c>
      <c r="F27" s="181">
        <f>'мат врем.ТС (сталь) коммерция'!F7</f>
        <v>78865.94</v>
      </c>
      <c r="G27" s="181">
        <f>'мат врем.ТС (сталь) коммерция'!G7</f>
        <v>94639.13</v>
      </c>
      <c r="H27" s="169"/>
    </row>
    <row r="28" spans="1:8" x14ac:dyDescent="0.3">
      <c r="A28" s="86">
        <v>5</v>
      </c>
      <c r="B28" s="195" t="s">
        <v>477</v>
      </c>
      <c r="C28" s="86" t="s">
        <v>178</v>
      </c>
      <c r="D28" s="176">
        <f>'мат врем.ТС (сталь) коммерция'!D8</f>
        <v>6</v>
      </c>
      <c r="E28" s="181">
        <f>'мат врем.ТС (сталь) коммерция'!E8</f>
        <v>537.21360000000004</v>
      </c>
      <c r="F28" s="181">
        <f>'мат врем.ТС (сталь) коммерция'!F8</f>
        <v>3223.28</v>
      </c>
      <c r="G28" s="181">
        <f>'мат врем.ТС (сталь) коммерция'!G8</f>
        <v>3867.94</v>
      </c>
      <c r="H28" s="174"/>
    </row>
    <row r="29" spans="1:8" x14ac:dyDescent="0.3">
      <c r="A29" s="86">
        <v>6</v>
      </c>
      <c r="B29" s="195" t="s">
        <v>479</v>
      </c>
      <c r="C29" s="86" t="s">
        <v>178</v>
      </c>
      <c r="D29" s="176">
        <f>'мат врем.ТС (сталь) коммерция'!D9</f>
        <v>6</v>
      </c>
      <c r="E29" s="181">
        <f>'мат врем.ТС (сталь) коммерция'!E9</f>
        <v>22.383900000000001</v>
      </c>
      <c r="F29" s="181">
        <f>'мат врем.ТС (сталь) коммерция'!F9</f>
        <v>134.30000000000001</v>
      </c>
      <c r="G29" s="181">
        <f>'мат врем.ТС (сталь) коммерция'!G9</f>
        <v>161.16</v>
      </c>
      <c r="H29" s="174"/>
    </row>
    <row r="30" spans="1:8" x14ac:dyDescent="0.3">
      <c r="A30" s="86">
        <v>7</v>
      </c>
      <c r="B30" s="196" t="s">
        <v>478</v>
      </c>
      <c r="C30" s="86" t="s">
        <v>178</v>
      </c>
      <c r="D30" s="176">
        <f>'мат врем.ТС (сталь) коммерция'!D10</f>
        <v>4</v>
      </c>
      <c r="E30" s="181">
        <f>'мат врем.ТС (сталь) коммерция'!E10</f>
        <v>6803.4575279999999</v>
      </c>
      <c r="F30" s="181">
        <f>'мат врем.ТС (сталь) коммерция'!F10</f>
        <v>27213.83</v>
      </c>
      <c r="G30" s="181">
        <f>'мат врем.ТС (сталь) коммерция'!G10</f>
        <v>32656.6</v>
      </c>
      <c r="H30" s="174"/>
    </row>
    <row r="31" spans="1:8" x14ac:dyDescent="0.3">
      <c r="A31" s="86">
        <v>8</v>
      </c>
      <c r="B31" s="196" t="s">
        <v>480</v>
      </c>
      <c r="C31" s="86" t="s">
        <v>178</v>
      </c>
      <c r="D31" s="176">
        <f>'мат врем.ТС (сталь) коммерция'!D11</f>
        <v>6</v>
      </c>
      <c r="E31" s="181">
        <f>'мат врем.ТС (сталь) коммерция'!E11</f>
        <v>69.634277999999995</v>
      </c>
      <c r="F31" s="181">
        <f>'мат врем.ТС (сталь) коммерция'!F11</f>
        <v>417.81</v>
      </c>
      <c r="G31" s="181">
        <f>'мат врем.ТС (сталь) коммерция'!G11</f>
        <v>501.37</v>
      </c>
      <c r="H31" s="174"/>
    </row>
    <row r="32" spans="1:8" x14ac:dyDescent="0.3">
      <c r="A32" s="86">
        <v>9</v>
      </c>
      <c r="B32" s="197" t="s">
        <v>487</v>
      </c>
      <c r="C32" s="86" t="s">
        <v>182</v>
      </c>
      <c r="D32" s="176">
        <f>'мат врем.ТС (сталь) коммерция'!D12</f>
        <v>36</v>
      </c>
      <c r="E32" s="181">
        <f>'мат врем.ТС (сталь) коммерция'!E12</f>
        <v>3571.4801220000004</v>
      </c>
      <c r="F32" s="181">
        <f>'мат врем.ТС (сталь) коммерция'!F12</f>
        <v>128573.28</v>
      </c>
      <c r="G32" s="181">
        <f>'мат врем.ТС (сталь) коммерция'!G12</f>
        <v>154287.94</v>
      </c>
    </row>
    <row r="33" spans="1:8" x14ac:dyDescent="0.3">
      <c r="A33" s="86">
        <v>10</v>
      </c>
      <c r="B33" s="187" t="s">
        <v>481</v>
      </c>
      <c r="C33" s="86" t="s">
        <v>182</v>
      </c>
      <c r="D33" s="176">
        <f>'мат врем.ТС (сталь) коммерция'!D13</f>
        <v>60</v>
      </c>
      <c r="E33" s="181">
        <f>'мат врем.ТС (сталь) коммерция'!E13</f>
        <v>416.58472799999998</v>
      </c>
      <c r="F33" s="181">
        <f>'мат врем.ТС (сталь) коммерция'!F13</f>
        <v>24995.08</v>
      </c>
      <c r="G33" s="181">
        <f>'мат врем.ТС (сталь) коммерция'!G13</f>
        <v>29994.1</v>
      </c>
    </row>
    <row r="34" spans="1:8" x14ac:dyDescent="0.3">
      <c r="A34" s="86">
        <v>11</v>
      </c>
      <c r="B34" s="187" t="s">
        <v>482</v>
      </c>
      <c r="C34" s="86" t="s">
        <v>182</v>
      </c>
      <c r="D34" s="176">
        <f>'мат врем.ТС (сталь) коммерция'!D14</f>
        <v>48</v>
      </c>
      <c r="E34" s="181">
        <f>'мат врем.ТС (сталь) коммерция'!E14</f>
        <v>540.94425000000001</v>
      </c>
      <c r="F34" s="181">
        <f>'мат врем.ТС (сталь) коммерция'!F14</f>
        <v>25965.32</v>
      </c>
      <c r="G34" s="181">
        <f>'мат врем.ТС (сталь) коммерция'!G14</f>
        <v>31158.38</v>
      </c>
    </row>
    <row r="35" spans="1:8" x14ac:dyDescent="0.3">
      <c r="A35" s="86">
        <v>12</v>
      </c>
      <c r="B35" s="198" t="s">
        <v>483</v>
      </c>
      <c r="C35" s="172" t="s">
        <v>220</v>
      </c>
      <c r="D35" s="176">
        <f>'мат врем.ТС (сталь) коммерция'!D15</f>
        <v>60</v>
      </c>
      <c r="E35" s="181">
        <f>'мат врем.ТС (сталь) коммерция'!E15</f>
        <v>283.52940000000001</v>
      </c>
      <c r="F35" s="181">
        <f>'мат врем.ТС (сталь) коммерция'!F15</f>
        <v>17011.759999999998</v>
      </c>
      <c r="G35" s="181">
        <f>'мат врем.ТС (сталь) коммерция'!G15</f>
        <v>20414.11</v>
      </c>
      <c r="H35" s="169"/>
    </row>
    <row r="36" spans="1:8" x14ac:dyDescent="0.3">
      <c r="A36" s="86">
        <v>13</v>
      </c>
      <c r="B36" s="194" t="s">
        <v>498</v>
      </c>
      <c r="C36" s="182"/>
      <c r="D36" s="176">
        <f>'мат врем.ТС (сталь) коммерция'!D16</f>
        <v>1</v>
      </c>
      <c r="E36" s="181">
        <f>'мат врем.ТС (сталь) коммерция'!E16</f>
        <v>40698</v>
      </c>
      <c r="F36" s="181">
        <f>'мат врем.ТС (сталь) коммерция'!F16</f>
        <v>40698</v>
      </c>
      <c r="G36" s="181">
        <f>'мат врем.ТС (сталь) коммерция'!G16</f>
        <v>48837.599999999999</v>
      </c>
      <c r="H36" s="169"/>
    </row>
    <row r="37" spans="1:8" s="1" customFormat="1" x14ac:dyDescent="0.3">
      <c r="A37" s="78"/>
      <c r="B37" s="379" t="s">
        <v>265</v>
      </c>
      <c r="C37" s="380"/>
      <c r="D37" s="380"/>
      <c r="E37" s="381"/>
      <c r="F37" s="92">
        <f>SUM(F24:F36)</f>
        <v>1252226.2400000002</v>
      </c>
      <c r="G37" s="92">
        <f>SUM(G24:G36)</f>
        <v>1502671.5</v>
      </c>
    </row>
  </sheetData>
  <mergeCells count="10">
    <mergeCell ref="G1:G2"/>
    <mergeCell ref="A4:B4"/>
    <mergeCell ref="B15:E15"/>
    <mergeCell ref="B37:E3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Лист1</vt:lpstr>
      <vt:lpstr>Лист2</vt:lpstr>
      <vt:lpstr>Свод</vt:lpstr>
      <vt:lpstr>СМР врем. ТС (сталь)</vt:lpstr>
      <vt:lpstr>мат врем.ТС (сталь)</vt:lpstr>
      <vt:lpstr>Свод коммерция</vt:lpstr>
      <vt:lpstr>СМР врем. ТС (сталь) коммерция</vt:lpstr>
      <vt:lpstr>мат врем.ТС (сталь) коммерция</vt:lpstr>
      <vt:lpstr>КП СМР+Мат</vt:lpstr>
      <vt:lpstr>КП+вопросы</vt:lpstr>
      <vt:lpstr>не учтено</vt:lpstr>
      <vt:lpstr>ТС - ЛСР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'ТС - ЛСР'!Заголовки_для_печати</vt:lpstr>
      <vt:lpstr>'КП СМР+Мат'!Область_печати</vt:lpstr>
      <vt:lpstr>'мат врем.ТС (сталь)'!Область_печати</vt:lpstr>
      <vt:lpstr>'мат врем.ТС (сталь) коммерция'!Область_печати</vt:lpstr>
      <vt:lpstr>'мат комм-ции 217'!Область_печати</vt:lpstr>
      <vt:lpstr>Свод!Область_печати</vt:lpstr>
      <vt:lpstr>'Свод коммерция'!Область_печати</vt:lpstr>
      <vt:lpstr>'СМР врем. ТС (сталь)'!Область_печати</vt:lpstr>
      <vt:lpstr>'СМР врем. ТС (сталь) коммерция'!Область_печати</vt:lpstr>
      <vt:lpstr>'СМР комм-ции 217 '!Область_печати</vt:lpstr>
      <vt:lpstr>'ТС - ЛСР'!Область_печати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2023-10-03T08:19:37Z</cp:lastPrinted>
  <dcterms:created xsi:type="dcterms:W3CDTF">2023-03-21T11:58:40Z</dcterms:created>
  <dcterms:modified xsi:type="dcterms:W3CDTF">2023-10-04T11:19:34Z</dcterms:modified>
</cp:coreProperties>
</file>