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Проверка объемов Электроэнергетика\"/>
    </mc:Choice>
  </mc:AlternateContent>
  <xr:revisionPtr revIDLastSave="0" documentId="13_ncr:1_{A3D7E425-0CEE-468D-8D60-8CC32562890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ССТ (2)" sheetId="5" r:id="rId1"/>
    <sheet name="СМР 417 путь" sheetId="2" r:id="rId2"/>
    <sheet name="мат 417 путь" sheetId="3" r:id="rId3"/>
    <sheet name="из рд" sheetId="1" r:id="rId4"/>
    <sheet name="ССТ" sheetId="4" r:id="rId5"/>
  </sheets>
  <definedNames>
    <definedName name="_xlnm.Print_Area" localSheetId="2">'мат 417 путь'!$A$1:$G$30</definedName>
    <definedName name="_xlnm.Print_Area" localSheetId="1">'СМР 417 путь'!$A$1:$G$37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5" l="1"/>
  <c r="C35" i="5"/>
  <c r="C34" i="5"/>
  <c r="C33" i="5"/>
  <c r="C32" i="5"/>
  <c r="C22" i="5"/>
  <c r="F22" i="5" s="1"/>
  <c r="F27" i="5" s="1"/>
  <c r="C21" i="5"/>
  <c r="E20" i="5"/>
  <c r="E22" i="5" s="1"/>
  <c r="C20" i="5"/>
  <c r="F20" i="5" s="1"/>
  <c r="E19" i="5"/>
  <c r="E21" i="5" s="1"/>
  <c r="C19" i="5"/>
  <c r="F19" i="5" s="1"/>
  <c r="E18" i="5"/>
  <c r="F18" i="5" s="1"/>
  <c r="E17" i="5"/>
  <c r="F17" i="5" s="1"/>
  <c r="D13" i="5"/>
  <c r="F13" i="5" s="1"/>
  <c r="D12" i="5"/>
  <c r="F12" i="5" s="1"/>
  <c r="D11" i="5"/>
  <c r="F11" i="5" s="1"/>
  <c r="F14" i="5" s="1"/>
  <c r="D7" i="5"/>
  <c r="F7" i="5" s="1"/>
  <c r="D6" i="5"/>
  <c r="F6" i="5" s="1"/>
  <c r="D5" i="5"/>
  <c r="F5" i="5" s="1"/>
  <c r="D4" i="5"/>
  <c r="F4" i="5" s="1"/>
  <c r="F3" i="5"/>
  <c r="D2" i="5"/>
  <c r="F2" i="5" s="1"/>
  <c r="F8" i="5" s="1"/>
  <c r="F23" i="4"/>
  <c r="F27" i="4"/>
  <c r="F28" i="4"/>
  <c r="E20" i="4"/>
  <c r="E22" i="4" s="1"/>
  <c r="F22" i="4" s="1"/>
  <c r="E19" i="4"/>
  <c r="E21" i="4" s="1"/>
  <c r="F21" i="4" s="1"/>
  <c r="E18" i="4"/>
  <c r="F18" i="4" s="1"/>
  <c r="E17" i="4"/>
  <c r="F17" i="4" s="1"/>
  <c r="D5" i="4"/>
  <c r="C37" i="4"/>
  <c r="C21" i="4"/>
  <c r="M65" i="1"/>
  <c r="C22" i="4"/>
  <c r="K65" i="1"/>
  <c r="Y70" i="1"/>
  <c r="F21" i="5" l="1"/>
  <c r="F23" i="5" s="1"/>
  <c r="F3" i="4"/>
  <c r="C34" i="4"/>
  <c r="C19" i="4" s="1"/>
  <c r="F19" i="4" s="1"/>
  <c r="C35" i="4"/>
  <c r="C20" i="4" s="1"/>
  <c r="F20" i="4" s="1"/>
  <c r="C33" i="4"/>
  <c r="AC6" i="1"/>
  <c r="AC5" i="1"/>
  <c r="AC4" i="1"/>
  <c r="AC3" i="1"/>
  <c r="AC2" i="1"/>
  <c r="D7" i="4"/>
  <c r="C32" i="4"/>
  <c r="D13" i="4"/>
  <c r="F13" i="4" s="1"/>
  <c r="D12" i="4"/>
  <c r="D11" i="4"/>
  <c r="F11" i="4" s="1"/>
  <c r="D6" i="4"/>
  <c r="F6" i="4" s="1"/>
  <c r="D4" i="4"/>
  <c r="D2" i="4"/>
  <c r="F2" i="4" s="1"/>
  <c r="F28" i="5" l="1"/>
  <c r="F26" i="5"/>
  <c r="F29" i="5" s="1"/>
  <c r="J2" i="5"/>
  <c r="F29" i="3"/>
  <c r="G29" i="3" s="1"/>
  <c r="F28" i="3"/>
  <c r="G28" i="3" s="1"/>
  <c r="E27" i="3"/>
  <c r="F27" i="3" s="1"/>
  <c r="G27" i="3" s="1"/>
  <c r="E26" i="3"/>
  <c r="F26" i="3" s="1"/>
  <c r="G26" i="3" s="1"/>
  <c r="F25" i="3"/>
  <c r="G25" i="3" s="1"/>
  <c r="E24" i="3"/>
  <c r="F24" i="3" s="1"/>
  <c r="G24" i="3" s="1"/>
  <c r="E23" i="3"/>
  <c r="F23" i="3" s="1"/>
  <c r="G23" i="3" s="1"/>
  <c r="E22" i="3"/>
  <c r="F22" i="3" s="1"/>
  <c r="G22" i="3" s="1"/>
  <c r="E21" i="3"/>
  <c r="F21" i="3" s="1"/>
  <c r="G21" i="3" s="1"/>
  <c r="E20" i="3"/>
  <c r="F20" i="3" s="1"/>
  <c r="G20" i="3" s="1"/>
  <c r="F19" i="3"/>
  <c r="G19" i="3" s="1"/>
  <c r="F18" i="3"/>
  <c r="G18" i="3" s="1"/>
  <c r="E17" i="3"/>
  <c r="F17" i="3" s="1"/>
  <c r="G17" i="3" s="1"/>
  <c r="E16" i="3"/>
  <c r="F16" i="3" s="1"/>
  <c r="G16" i="3" s="1"/>
  <c r="E15" i="3"/>
  <c r="D15" i="3"/>
  <c r="F15" i="3" s="1"/>
  <c r="G15" i="3" s="1"/>
  <c r="E14" i="3"/>
  <c r="F14" i="3" s="1"/>
  <c r="G14" i="3" s="1"/>
  <c r="E13" i="3"/>
  <c r="F13" i="3" s="1"/>
  <c r="G13" i="3" s="1"/>
  <c r="D13" i="3"/>
  <c r="E12" i="3"/>
  <c r="F12" i="3" s="1"/>
  <c r="G12" i="3" s="1"/>
  <c r="D12" i="3"/>
  <c r="E11" i="3"/>
  <c r="F11" i="3" s="1"/>
  <c r="G11" i="3" s="1"/>
  <c r="E10" i="3"/>
  <c r="F10" i="3" s="1"/>
  <c r="G10" i="3" s="1"/>
  <c r="D10" i="3"/>
  <c r="E9" i="3"/>
  <c r="F9" i="3" s="1"/>
  <c r="G9" i="3" s="1"/>
  <c r="G8" i="3"/>
  <c r="F8" i="3"/>
  <c r="E8" i="3"/>
  <c r="E7" i="3"/>
  <c r="F7" i="3" s="1"/>
  <c r="G7" i="3" s="1"/>
  <c r="E6" i="3"/>
  <c r="F6" i="3" s="1"/>
  <c r="G6" i="3" s="1"/>
  <c r="A6" i="3"/>
  <c r="A7" i="3" s="1"/>
  <c r="A8" i="3" s="1"/>
  <c r="A9" i="3" s="1"/>
  <c r="A10" i="3" s="1"/>
  <c r="A11" i="3" s="1"/>
  <c r="A12" i="3" s="1"/>
  <c r="E5" i="3"/>
  <c r="F5" i="3" s="1"/>
  <c r="G5" i="3" s="1"/>
  <c r="D5" i="3"/>
  <c r="A5" i="3"/>
  <c r="E4" i="3"/>
  <c r="F4" i="3" s="1"/>
  <c r="F34" i="2"/>
  <c r="G34" i="2" s="1"/>
  <c r="F33" i="2"/>
  <c r="G33" i="2" s="1"/>
  <c r="G32" i="2"/>
  <c r="F32" i="2"/>
  <c r="F31" i="2"/>
  <c r="G31" i="2" s="1"/>
  <c r="F30" i="2"/>
  <c r="G30" i="2" s="1"/>
  <c r="F29" i="2"/>
  <c r="G29" i="2" s="1"/>
  <c r="G28" i="2"/>
  <c r="F28" i="2"/>
  <c r="F27" i="2"/>
  <c r="G27" i="2" s="1"/>
  <c r="E27" i="2"/>
  <c r="F26" i="2"/>
  <c r="G26" i="2" s="1"/>
  <c r="D25" i="2"/>
  <c r="F25" i="2" s="1"/>
  <c r="G25" i="2" s="1"/>
  <c r="F24" i="2"/>
  <c r="G24" i="2" s="1"/>
  <c r="F23" i="2"/>
  <c r="G23" i="2" s="1"/>
  <c r="G22" i="2"/>
  <c r="F22" i="2"/>
  <c r="F21" i="2"/>
  <c r="G21" i="2" s="1"/>
  <c r="E20" i="2"/>
  <c r="F20" i="2" s="1"/>
  <c r="G20" i="2" s="1"/>
  <c r="D20" i="2"/>
  <c r="F19" i="2"/>
  <c r="G19" i="2" s="1"/>
  <c r="G18" i="2"/>
  <c r="F18" i="2"/>
  <c r="E17" i="2"/>
  <c r="F17" i="2" s="1"/>
  <c r="G17" i="2" s="1"/>
  <c r="E16" i="2"/>
  <c r="F16" i="2" s="1"/>
  <c r="G16" i="2" s="1"/>
  <c r="F14" i="2"/>
  <c r="G14" i="2" s="1"/>
  <c r="G13" i="2"/>
  <c r="F13" i="2"/>
  <c r="F12" i="2"/>
  <c r="G12" i="2" s="1"/>
  <c r="F11" i="2"/>
  <c r="G11" i="2" s="1"/>
  <c r="F10" i="2"/>
  <c r="G10" i="2" s="1"/>
  <c r="E8" i="2"/>
  <c r="F8" i="2" s="1"/>
  <c r="G8" i="2" s="1"/>
  <c r="A8" i="2"/>
  <c r="A10" i="2" s="1"/>
  <c r="A11" i="2" s="1"/>
  <c r="A12" i="2" s="1"/>
  <c r="A13" i="2" s="1"/>
  <c r="A14" i="2" s="1"/>
  <c r="A16" i="2" s="1"/>
  <c r="A17" i="2" s="1"/>
  <c r="A18" i="2" s="1"/>
  <c r="A19" i="2" s="1"/>
  <c r="A20" i="2" s="1"/>
  <c r="A21" i="2" s="1"/>
  <c r="E7" i="2"/>
  <c r="F7" i="2" s="1"/>
  <c r="G7" i="2" s="1"/>
  <c r="A7" i="2"/>
  <c r="G6" i="2"/>
  <c r="F6" i="2"/>
  <c r="A6" i="2"/>
  <c r="E5" i="2"/>
  <c r="F5" i="2" s="1"/>
  <c r="A13" i="3" l="1"/>
  <c r="A14" i="3" s="1"/>
  <c r="A15" i="3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F35" i="2"/>
  <c r="G5" i="2"/>
  <c r="G35" i="2" s="1"/>
  <c r="F30" i="3"/>
  <c r="G4" i="3"/>
  <c r="G30" i="3" s="1"/>
  <c r="A25" i="2"/>
  <c r="A26" i="2" s="1"/>
  <c r="A27" i="2" s="1"/>
  <c r="A28" i="2" s="1"/>
  <c r="A29" i="2" s="1"/>
  <c r="A30" i="2" s="1"/>
  <c r="A31" i="2" s="1"/>
  <c r="A32" i="2" s="1"/>
  <c r="A33" i="2" s="1"/>
  <c r="A34" i="2" s="1"/>
  <c r="A22" i="2"/>
  <c r="A23" i="2" s="1"/>
  <c r="A24" i="2" s="1"/>
  <c r="G36" i="2" l="1"/>
  <c r="G37" i="2"/>
  <c r="F36" i="2"/>
  <c r="F37" i="2" s="1"/>
  <c r="F4" i="4" l="1"/>
  <c r="F12" i="4"/>
  <c r="F14" i="4" s="1"/>
  <c r="F7" i="4" s="1"/>
  <c r="F5" i="4"/>
  <c r="F8" i="4" l="1"/>
  <c r="F26" i="4" s="1"/>
  <c r="F29" i="4" s="1"/>
  <c r="J2" i="4" s="1"/>
</calcChain>
</file>

<file path=xl/sharedStrings.xml><?xml version="1.0" encoding="utf-8"?>
<sst xmlns="http://schemas.openxmlformats.org/spreadsheetml/2006/main" count="278" uniqueCount="129">
  <si>
    <t>№</t>
  </si>
  <si>
    <t>Наименование работ и затрат</t>
  </si>
  <si>
    <t>Ед.изм.</t>
  </si>
  <si>
    <t>Кол-во</t>
  </si>
  <si>
    <t>ООО "ТЕХРЕСУРС"</t>
  </si>
  <si>
    <t>Цена за ед. без НДС</t>
  </si>
  <si>
    <t>Итого без НДС</t>
  </si>
  <si>
    <t>ИТОГО с НДС</t>
  </si>
  <si>
    <t>Сооружение земляного полотна</t>
  </si>
  <si>
    <t>Выемка техногенного грунта с перевозкой на 30 км и утилизацией</t>
  </si>
  <si>
    <t>м3</t>
  </si>
  <si>
    <t>Устройство насыпи из дренирующего грунта (песка)</t>
  </si>
  <si>
    <t xml:space="preserve">Планировка основной площадки насыпи </t>
  </si>
  <si>
    <t>м2</t>
  </si>
  <si>
    <t>Планировка откосов выемок и насыпей</t>
  </si>
  <si>
    <t>Демонтажные работы</t>
  </si>
  <si>
    <t>Разборка тупиковых упоров</t>
  </si>
  <si>
    <t>шт</t>
  </si>
  <si>
    <t>Разборка существующего звеньевого пути</t>
  </si>
  <si>
    <t>м</t>
  </si>
  <si>
    <t>этих работ нет в ВОР, но необходимо от нулевой точки</t>
  </si>
  <si>
    <t>Разборка стрелочного перевода марки 1/9 на деревянных брусьях</t>
  </si>
  <si>
    <t>Разборка стрелочного перевода марки 1/9 на деревянных брусьях (СП №16)</t>
  </si>
  <si>
    <t>этих работ нет в ВОР, но необходимо судя по схеме</t>
  </si>
  <si>
    <t>Верхнее строение пути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</si>
  <si>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</si>
  <si>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</si>
  <si>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</si>
  <si>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</si>
  <si>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Сверление стыковых отверстий в новых рельсах</t>
  </si>
  <si>
    <t>шт.</t>
  </si>
  <si>
    <t>этих работ нет в ВОР</t>
  </si>
  <si>
    <t>Укладка звеньевого пути в кривых новыми рельсами НТ типа Р-50 при 1840 шт. деревянных шпал II типа на 1 км пути, тип скреплений – КД50</t>
  </si>
  <si>
    <t>этих работ нет в ВОР, но необходимо судя по схеме, вместо демонтируемого СП №16</t>
  </si>
  <si>
    <t>этих работ нет в ВОР, но необходимо под ходы СП №8</t>
  </si>
  <si>
    <t>этих работ нет в ВОР, но необходимо от нулевой точки и чать демонтируемого стрелочного перевода</t>
  </si>
  <si>
    <t>Укладка контррельсовый уголка в комплекте с башмаками и кремплением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</si>
  <si>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</si>
  <si>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комплект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</si>
  <si>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</si>
  <si>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Укладка нового стрелочного перевода типа Р65 марка 1/9 правый, с комплектом ж.б. брусьев и креплений 
Пр. 2769.00.000 </t>
  </si>
  <si>
    <t xml:space="preserve">Укладка нового стрелочного перевода типа Р65 марка 1/9 левый, с комплектом ж.б. брусьев и креплений 
Пр. 2769.00.000-01 </t>
  </si>
  <si>
    <t>Укладка нового стрелочного перевода типа Р65 марка 1/9 правый, с комплектом деревянных брусьев и креплений
Пр. 2766.00.000</t>
  </si>
  <si>
    <t>Укладка нового стрелочного перевода типа Р65 марка 1/9 левый, с комплектом деревянных брусьев и креплений
Пр. 2766.00.000-01</t>
  </si>
  <si>
    <t>Укладка нового стрелочного перевода типа Р65 марка 1/7 левый, проект ЛПТП.665121.103, с комплектом деревянных брусьев и креплений</t>
  </si>
  <si>
    <t xml:space="preserve">Установка тупиковых упоров </t>
  </si>
  <si>
    <t>Рихтовка пути</t>
  </si>
  <si>
    <t>Итого</t>
  </si>
  <si>
    <t>Непредвиденные работы (3%)</t>
  </si>
  <si>
    <t>Итого с непредвиденными</t>
  </si>
  <si>
    <t>№ п/п</t>
  </si>
  <si>
    <t>Наименование материалов</t>
  </si>
  <si>
    <t>Ед изм</t>
  </si>
  <si>
    <t>Цена за ед без НДС</t>
  </si>
  <si>
    <t>ВСЕГО без НДС</t>
  </si>
  <si>
    <t xml:space="preserve">ВСЕГО с НДС </t>
  </si>
  <si>
    <t>Песок</t>
  </si>
  <si>
    <t>Щебень балластный кат.2</t>
  </si>
  <si>
    <t>Геотекстиль 3 м</t>
  </si>
  <si>
    <t>Контррельсовый уголок в комплекте с башмаками и креплением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</si>
  <si>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</si>
  <si>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</si>
  <si>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Болт стыковой в сборе Р65</t>
  </si>
  <si>
    <t>Накладка 6-дырная Р65</t>
  </si>
  <si>
    <t>Рельсо шпальная решетка Р-50 на деревянной шпале, тип крепления КД-50 в сборе</t>
  </si>
  <si>
    <t>нет в СО, но необходимо судя по схеме, вместо демонтируемого СП №16</t>
  </si>
  <si>
    <t>нет в СО, но необходимо  под ходы СП №8</t>
  </si>
  <si>
    <t>Болт стыковой в сборе Р50</t>
  </si>
  <si>
    <t>Накладка 6-дырная Р50</t>
  </si>
  <si>
    <t>Глухое пересечение угол 45гр типа Р-65 проект 534.06-2007.00.000-01 с комплектом деревянных брусьев и креплений</t>
  </si>
  <si>
    <t>Подкладки с упорами МП372.01.000</t>
  </si>
  <si>
    <t>Необъяснимая вещь</t>
  </si>
  <si>
    <t>Подкладки МП372.00.001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</si>
  <si>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</si>
  <si>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</si>
  <si>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</si>
  <si>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</si>
  <si>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</si>
  <si>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Механизм переводной стрелочного перевода (ручной Флюгарка) </t>
  </si>
  <si>
    <t>нет в СО</t>
  </si>
  <si>
    <t xml:space="preserve">Тупиковые упоры новые </t>
  </si>
  <si>
    <t>Тупиковые упоры старогодние</t>
  </si>
  <si>
    <t>Смесь песчано-гравийная</t>
  </si>
  <si>
    <t>Расходные и прочие сопутствующие материалы</t>
  </si>
  <si>
    <t>комплекс</t>
  </si>
  <si>
    <t>Экскаватор</t>
  </si>
  <si>
    <t>Экскаватор-погрузчик</t>
  </si>
  <si>
    <t>Рабочие</t>
  </si>
  <si>
    <t>ИТР</t>
  </si>
  <si>
    <t>Геодезист</t>
  </si>
  <si>
    <t>Работы</t>
  </si>
  <si>
    <t>Разработка грунта</t>
  </si>
  <si>
    <t>Устройство песчаного основания</t>
  </si>
  <si>
    <t>Устройство щебеночного основания</t>
  </si>
  <si>
    <t>Ед. изм.</t>
  </si>
  <si>
    <t>чел</t>
  </si>
  <si>
    <t>Разборка существующих путей</t>
  </si>
  <si>
    <t>Трамбовка</t>
  </si>
  <si>
    <t>компл.</t>
  </si>
  <si>
    <t>Материал</t>
  </si>
  <si>
    <t>Стоимость</t>
  </si>
  <si>
    <t>Рихтовка путей</t>
  </si>
  <si>
    <t>Устройство стрелочного перевода на деревянных брусьях (новые)</t>
  </si>
  <si>
    <t>компл</t>
  </si>
  <si>
    <t>Кол-во смен</t>
  </si>
  <si>
    <t>Сумма</t>
  </si>
  <si>
    <t>им же разгрузка</t>
  </si>
  <si>
    <t>Техника и СММ</t>
  </si>
  <si>
    <t>Стоимость, ед.</t>
  </si>
  <si>
    <t>Примечание</t>
  </si>
  <si>
    <t>длина стр</t>
  </si>
  <si>
    <t>Тепловоз от мвм</t>
  </si>
  <si>
    <t>Кадры</t>
  </si>
  <si>
    <t>бесплатный</t>
  </si>
  <si>
    <t>Щебень на рихтовку</t>
  </si>
  <si>
    <t>Дней работ</t>
  </si>
  <si>
    <t>Офис</t>
  </si>
  <si>
    <t>Песок на стрелки</t>
  </si>
  <si>
    <t>Щебень на стрелки</t>
  </si>
  <si>
    <t>Песок на рихтовку</t>
  </si>
  <si>
    <t>Транспортно-заготовительские</t>
  </si>
  <si>
    <t>Каток дорожный</t>
  </si>
  <si>
    <t>Трал</t>
  </si>
  <si>
    <t>экскаватор+каток</t>
  </si>
  <si>
    <t>Накладные и прочие расходы</t>
  </si>
  <si>
    <t>%</t>
  </si>
  <si>
    <t>% мат</t>
  </si>
  <si>
    <t>% все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</si>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</sst>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00_-;\-* #,##0.00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>
      <alignment vertical="top"/>
    </xf>
    <xf numFmtId="0" fontId="6" fillId="0" borderId="0"/>
    <xf numFmtId="9" fontId="1" fillId="0" borderId="0" applyFont="0" applyFill="0" applyBorder="0" applyAlignment="0" applyProtection="0"/>
  </cellStyleXfs>
  <cellXfs count="156">
    <xf numFmtId="0" fontId="0" fillId="0" borderId="0" xfId="0"/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0" fontId="1" fillId="0" borderId="0" xfId="1"/>
    <xf numFmtId="1" fontId="4" fillId="0" borderId="1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7" fillId="2" borderId="1" xfId="1" applyFont="1" applyFill="1" applyBorder="1" applyAlignment="1">
      <alignment vertical="center" wrapText="1"/>
    </xf>
    <xf numFmtId="3" fontId="7" fillId="2" borderId="1" xfId="1" applyNumberFormat="1" applyFont="1" applyFill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43" fontId="8" fillId="3" borderId="1" xfId="2" applyFont="1" applyFill="1" applyBorder="1" applyAlignment="1">
      <alignment horizontal="center" vertical="center" wrapText="1"/>
    </xf>
    <xf numFmtId="43" fontId="8" fillId="0" borderId="1" xfId="2" applyFont="1" applyBorder="1" applyAlignment="1">
      <alignment vertical="center"/>
    </xf>
    <xf numFmtId="0" fontId="8" fillId="0" borderId="1" xfId="1" applyFont="1" applyBorder="1" applyAlignment="1">
      <alignment horizontal="left" vertical="center" wrapText="1"/>
    </xf>
    <xf numFmtId="164" fontId="8" fillId="3" borderId="1" xfId="2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164" fontId="8" fillId="4" borderId="1" xfId="2" applyNumberFormat="1" applyFont="1" applyFill="1" applyBorder="1" applyAlignment="1">
      <alignment horizontal="center" vertical="center" wrapText="1"/>
    </xf>
    <xf numFmtId="43" fontId="8" fillId="4" borderId="1" xfId="2" applyFont="1" applyFill="1" applyBorder="1" applyAlignment="1">
      <alignment horizontal="center" vertical="center" wrapText="1"/>
    </xf>
    <xf numFmtId="43" fontId="8" fillId="4" borderId="1" xfId="2" applyFont="1" applyFill="1" applyBorder="1" applyAlignment="1">
      <alignment vertical="center"/>
    </xf>
    <xf numFmtId="0" fontId="8" fillId="4" borderId="2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0" xfId="1" applyFont="1"/>
    <xf numFmtId="0" fontId="10" fillId="0" borderId="1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 wrapText="1"/>
    </xf>
    <xf numFmtId="164" fontId="10" fillId="0" borderId="1" xfId="2" applyNumberFormat="1" applyFont="1" applyBorder="1" applyAlignment="1">
      <alignment horizontal="center" vertical="center" wrapText="1"/>
    </xf>
    <xf numFmtId="164" fontId="10" fillId="3" borderId="1" xfId="2" applyNumberFormat="1" applyFont="1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left" vertical="center" wrapText="1"/>
    </xf>
    <xf numFmtId="0" fontId="10" fillId="4" borderId="1" xfId="1" applyFont="1" applyFill="1" applyBorder="1" applyAlignment="1">
      <alignment horizontal="center" vertical="center" wrapText="1"/>
    </xf>
    <xf numFmtId="164" fontId="10" fillId="4" borderId="1" xfId="2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43" fontId="10" fillId="3" borderId="1" xfId="2" applyFont="1" applyFill="1" applyBorder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43" fontId="10" fillId="4" borderId="1" xfId="2" applyFont="1" applyFill="1" applyBorder="1" applyAlignment="1">
      <alignment horizontal="center" vertical="center" wrapText="1"/>
    </xf>
    <xf numFmtId="0" fontId="5" fillId="0" borderId="1" xfId="1" applyFont="1" applyBorder="1" applyAlignment="1">
      <alignment vertical="center"/>
    </xf>
    <xf numFmtId="43" fontId="5" fillId="0" borderId="1" xfId="2" applyFont="1" applyBorder="1" applyAlignment="1">
      <alignment vertical="center"/>
    </xf>
    <xf numFmtId="43" fontId="5" fillId="5" borderId="1" xfId="2" applyFont="1" applyFill="1" applyBorder="1" applyAlignment="1">
      <alignment vertical="center"/>
    </xf>
    <xf numFmtId="43" fontId="4" fillId="0" borderId="1" xfId="2" applyFont="1" applyBorder="1"/>
    <xf numFmtId="164" fontId="0" fillId="0" borderId="0" xfId="2" applyNumberFormat="1" applyFont="1"/>
    <xf numFmtId="164" fontId="0" fillId="0" borderId="0" xfId="2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165" fontId="8" fillId="0" borderId="1" xfId="2" applyNumberFormat="1" applyFont="1" applyBorder="1" applyAlignment="1">
      <alignment vertical="center"/>
    </xf>
    <xf numFmtId="164" fontId="8" fillId="0" borderId="1" xfId="2" applyNumberFormat="1" applyFont="1" applyBorder="1" applyAlignment="1">
      <alignment vertical="center"/>
    </xf>
    <xf numFmtId="0" fontId="10" fillId="0" borderId="1" xfId="1" applyFont="1" applyBorder="1" applyAlignment="1">
      <alignment vertical="center" wrapText="1"/>
    </xf>
    <xf numFmtId="0" fontId="10" fillId="0" borderId="1" xfId="1" applyFont="1" applyBorder="1" applyAlignment="1">
      <alignment vertical="center"/>
    </xf>
    <xf numFmtId="43" fontId="10" fillId="0" borderId="1" xfId="2" applyFont="1" applyBorder="1" applyAlignment="1">
      <alignment vertical="center"/>
    </xf>
    <xf numFmtId="164" fontId="10" fillId="0" borderId="1" xfId="2" applyNumberFormat="1" applyFont="1" applyBorder="1" applyAlignment="1">
      <alignment vertical="center"/>
    </xf>
    <xf numFmtId="43" fontId="8" fillId="3" borderId="1" xfId="2" applyFont="1" applyFill="1" applyBorder="1" applyAlignment="1">
      <alignment vertical="center"/>
    </xf>
    <xf numFmtId="0" fontId="8" fillId="4" borderId="1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vertical="center" wrapText="1"/>
    </xf>
    <xf numFmtId="0" fontId="10" fillId="4" borderId="1" xfId="1" applyFont="1" applyFill="1" applyBorder="1" applyAlignment="1">
      <alignment vertical="center"/>
    </xf>
    <xf numFmtId="164" fontId="10" fillId="4" borderId="1" xfId="2" applyNumberFormat="1" applyFont="1" applyFill="1" applyBorder="1" applyAlignment="1">
      <alignment vertical="center"/>
    </xf>
    <xf numFmtId="164" fontId="8" fillId="3" borderId="1" xfId="2" applyNumberFormat="1" applyFont="1" applyFill="1" applyBorder="1" applyAlignment="1">
      <alignment vertical="center"/>
    </xf>
    <xf numFmtId="0" fontId="8" fillId="4" borderId="1" xfId="1" applyFont="1" applyFill="1" applyBorder="1" applyAlignment="1">
      <alignment vertical="center" wrapText="1"/>
    </xf>
    <xf numFmtId="0" fontId="8" fillId="4" borderId="1" xfId="1" applyFont="1" applyFill="1" applyBorder="1" applyAlignment="1">
      <alignment vertical="center"/>
    </xf>
    <xf numFmtId="164" fontId="8" fillId="4" borderId="1" xfId="2" applyNumberFormat="1" applyFont="1" applyFill="1" applyBorder="1" applyAlignment="1">
      <alignment vertical="center"/>
    </xf>
    <xf numFmtId="0" fontId="8" fillId="3" borderId="1" xfId="1" applyFont="1" applyFill="1" applyBorder="1" applyAlignment="1">
      <alignment vertical="center" wrapText="1"/>
    </xf>
    <xf numFmtId="0" fontId="8" fillId="3" borderId="1" xfId="1" applyFont="1" applyFill="1" applyBorder="1" applyAlignment="1">
      <alignment vertical="center"/>
    </xf>
    <xf numFmtId="43" fontId="0" fillId="3" borderId="0" xfId="2" applyFont="1" applyFill="1" applyAlignment="1">
      <alignment horizontal="left" vertical="center" indent="1"/>
    </xf>
    <xf numFmtId="0" fontId="1" fillId="3" borderId="0" xfId="1" applyFill="1"/>
    <xf numFmtId="0" fontId="2" fillId="3" borderId="0" xfId="1" applyFont="1" applyFill="1"/>
    <xf numFmtId="0" fontId="10" fillId="0" borderId="1" xfId="1" applyFont="1" applyBorder="1" applyAlignment="1">
      <alignment horizontal="center" vertical="center"/>
    </xf>
    <xf numFmtId="0" fontId="5" fillId="0" borderId="1" xfId="1" applyFont="1" applyBorder="1"/>
    <xf numFmtId="164" fontId="1" fillId="0" borderId="0" xfId="1" applyNumberFormat="1" applyAlignment="1">
      <alignment wrapText="1"/>
    </xf>
    <xf numFmtId="9" fontId="0" fillId="0" borderId="0" xfId="5" applyFont="1"/>
    <xf numFmtId="0" fontId="1" fillId="0" borderId="0" xfId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3" fontId="3" fillId="4" borderId="2" xfId="0" applyNumberFormat="1" applyFon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 wrapText="1"/>
    </xf>
    <xf numFmtId="3" fontId="0" fillId="4" borderId="2" xfId="0" applyNumberFormat="1" applyFill="1" applyBorder="1" applyAlignment="1">
      <alignment horizontal="center" vertical="center" wrapText="1"/>
    </xf>
    <xf numFmtId="3" fontId="12" fillId="4" borderId="1" xfId="0" applyNumberFormat="1" applyFont="1" applyFill="1" applyBorder="1" applyAlignment="1">
      <alignment horizontal="center" vertical="center" wrapText="1"/>
    </xf>
    <xf numFmtId="3" fontId="14" fillId="4" borderId="1" xfId="0" applyNumberFormat="1" applyFont="1" applyFill="1" applyBorder="1" applyAlignment="1">
      <alignment horizontal="center" vertical="center" wrapText="1"/>
    </xf>
    <xf numFmtId="3" fontId="14" fillId="4" borderId="2" xfId="0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3" fontId="12" fillId="6" borderId="1" xfId="0" applyNumberFormat="1" applyFont="1" applyFill="1" applyBorder="1" applyAlignment="1">
      <alignment horizontal="center" vertical="center" wrapText="1"/>
    </xf>
    <xf numFmtId="3" fontId="12" fillId="6" borderId="2" xfId="0" applyNumberFormat="1" applyFont="1" applyFill="1" applyBorder="1" applyAlignment="1">
      <alignment horizontal="center" vertical="center" wrapText="1"/>
    </xf>
    <xf numFmtId="3" fontId="14" fillId="6" borderId="1" xfId="0" applyNumberFormat="1" applyFont="1" applyFill="1" applyBorder="1" applyAlignment="1">
      <alignment horizontal="center" vertical="center" wrapText="1"/>
    </xf>
    <xf numFmtId="3" fontId="14" fillId="6" borderId="2" xfId="0" applyNumberFormat="1" applyFont="1" applyFill="1" applyBorder="1" applyAlignment="1">
      <alignment horizontal="center" vertical="center" wrapText="1"/>
    </xf>
    <xf numFmtId="3" fontId="0" fillId="7" borderId="1" xfId="0" applyNumberFormat="1" applyFill="1" applyBorder="1" applyAlignment="1">
      <alignment horizontal="center" vertical="center" wrapText="1"/>
    </xf>
    <xf numFmtId="3" fontId="0" fillId="7" borderId="2" xfId="0" applyNumberFormat="1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vertical="center" wrapText="1"/>
    </xf>
    <xf numFmtId="3" fontId="0" fillId="5" borderId="2" xfId="0" applyNumberFormat="1" applyFill="1" applyBorder="1" applyAlignment="1">
      <alignment horizontal="center" vertical="center" wrapText="1"/>
    </xf>
    <xf numFmtId="3" fontId="3" fillId="7" borderId="1" xfId="0" applyNumberFormat="1" applyFont="1" applyFill="1" applyBorder="1" applyAlignment="1">
      <alignment horizontal="center" vertical="center" wrapText="1"/>
    </xf>
    <xf numFmtId="3" fontId="3" fillId="7" borderId="2" xfId="0" applyNumberFormat="1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3" fontId="15" fillId="4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 wrapText="1"/>
    </xf>
    <xf numFmtId="3" fontId="3" fillId="5" borderId="1" xfId="0" applyNumberFormat="1" applyFont="1" applyFill="1" applyBorder="1" applyAlignment="1">
      <alignment horizontal="center" vertical="center" wrapText="1"/>
    </xf>
    <xf numFmtId="3" fontId="3" fillId="5" borderId="2" xfId="0" applyNumberFormat="1" applyFont="1" applyFill="1" applyBorder="1" applyAlignment="1">
      <alignment horizontal="center" vertical="center" wrapText="1"/>
    </xf>
    <xf numFmtId="0" fontId="4" fillId="0" borderId="2" xfId="4" applyFont="1" applyBorder="1" applyAlignment="1">
      <alignment horizontal="right" vertical="center" wrapText="1"/>
    </xf>
    <xf numFmtId="0" fontId="4" fillId="0" borderId="5" xfId="4" applyFont="1" applyBorder="1" applyAlignment="1">
      <alignment horizontal="right" vertical="center" wrapText="1"/>
    </xf>
    <xf numFmtId="0" fontId="4" fillId="0" borderId="3" xfId="4" applyFont="1" applyBorder="1" applyAlignment="1">
      <alignment horizontal="righ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/>
    </xf>
    <xf numFmtId="0" fontId="5" fillId="0" borderId="2" xfId="1" applyFont="1" applyBorder="1" applyAlignment="1">
      <alignment horizontal="right" vertical="center" wrapText="1"/>
    </xf>
    <xf numFmtId="0" fontId="5" fillId="0" borderId="5" xfId="1" applyFont="1" applyBorder="1" applyAlignment="1">
      <alignment horizontal="right" vertical="center" wrapText="1"/>
    </xf>
    <xf numFmtId="0" fontId="5" fillId="0" borderId="3" xfId="1" applyFont="1" applyBorder="1" applyAlignment="1">
      <alignment horizontal="right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 wrapText="1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3" fontId="0" fillId="8" borderId="1" xfId="0" applyNumberFormat="1" applyFill="1" applyBorder="1" applyAlignment="1">
      <alignment horizontal="center" vertical="center" wrapText="1"/>
    </xf>
    <xf numFmtId="3" fontId="0" fillId="8" borderId="2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</cellXfs>
  <cellStyles count="6">
    <cellStyle name="ЛокСмМТСН" xfId="3" xr:uid="{2747F7AC-9A13-4E74-AF79-96105EADBC6A}"/>
    <cellStyle name="Обычный" xfId="0" builtinId="0"/>
    <cellStyle name="Обычный 2" xfId="1" xr:uid="{2B7EC7C9-36E6-4413-8694-A38053A88AE0}"/>
    <cellStyle name="Обычный 2 2" xfId="4" xr:uid="{10BB4683-4420-471A-93B4-6AA0F9180C9E}"/>
    <cellStyle name="Процентный 2" xfId="5" xr:uid="{B9E65423-D3AC-4868-9CE7-3968E0040597}"/>
    <cellStyle name="Финансовый 2" xfId="2" xr:uid="{3B4F6892-54AE-45CD-81B7-D9D318E92B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191718</xdr:colOff>
      <xdr:row>42</xdr:row>
      <xdr:rowOff>168735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A240493-F5F6-472F-8215-862565D48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26118" cy="7849695"/>
        </a:xfrm>
        <a:prstGeom prst="rect">
          <a:avLst/>
        </a:prstGeom>
      </xdr:spPr>
    </xdr:pic>
    <xdr:clientData/>
  </xdr:twoCellAnchor>
  <xdr:twoCellAnchor editAs="oneCell">
    <xdr:from>
      <xdr:col>14</xdr:col>
      <xdr:colOff>26894</xdr:colOff>
      <xdr:row>0</xdr:row>
      <xdr:rowOff>0</xdr:rowOff>
    </xdr:from>
    <xdr:to>
      <xdr:col>27</xdr:col>
      <xdr:colOff>66105</xdr:colOff>
      <xdr:row>40</xdr:row>
      <xdr:rowOff>124863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960D9B46-2511-4848-9A1A-0C7AA54F6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61294" y="0"/>
          <a:ext cx="7964011" cy="7296628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45</xdr:row>
      <xdr:rowOff>0</xdr:rowOff>
    </xdr:from>
    <xdr:to>
      <xdr:col>23</xdr:col>
      <xdr:colOff>1446</xdr:colOff>
      <xdr:row>61</xdr:row>
      <xdr:rowOff>160667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3E7A330-9BF5-4D74-B060-7AEDE5556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57600" y="8068235"/>
          <a:ext cx="10364646" cy="3029373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46</xdr:row>
      <xdr:rowOff>0</xdr:rowOff>
    </xdr:from>
    <xdr:to>
      <xdr:col>26</xdr:col>
      <xdr:colOff>143065</xdr:colOff>
      <xdr:row>65</xdr:row>
      <xdr:rowOff>99100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DC208EC3-2494-4775-AB76-1E0C50E4F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630400" y="8247529"/>
          <a:ext cx="1362265" cy="3505689"/>
        </a:xfrm>
        <a:prstGeom prst="rect">
          <a:avLst/>
        </a:prstGeom>
      </xdr:spPr>
    </xdr:pic>
    <xdr:clientData/>
  </xdr:twoCellAnchor>
  <xdr:twoCellAnchor editAs="oneCell">
    <xdr:from>
      <xdr:col>27</xdr:col>
      <xdr:colOff>0</xdr:colOff>
      <xdr:row>47</xdr:row>
      <xdr:rowOff>0</xdr:rowOff>
    </xdr:from>
    <xdr:to>
      <xdr:col>29</xdr:col>
      <xdr:colOff>247855</xdr:colOff>
      <xdr:row>63</xdr:row>
      <xdr:rowOff>36825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6C6E006B-1C32-4D52-9B1E-CC3FEC950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459200" y="8426824"/>
          <a:ext cx="1467055" cy="2905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F7FF0-5D65-45D4-931A-192762917405}">
  <sheetPr>
    <tabColor rgb="FFFF0000"/>
  </sheetPr>
  <dimension ref="A1:J37"/>
  <sheetViews>
    <sheetView tabSelected="1" workbookViewId="0">
      <selection activeCell="F48" sqref="F48"/>
    </sheetView>
  </sheetViews>
  <sheetFormatPr defaultRowHeight="14.4" x14ac:dyDescent="0.3"/>
  <cols>
    <col min="1" max="1" width="37" style="73" customWidth="1"/>
    <col min="2" max="2" width="8.88671875" style="73"/>
    <col min="3" max="3" width="8.88671875" style="92"/>
    <col min="4" max="4" width="13.21875" style="92" bestFit="1" customWidth="1"/>
    <col min="5" max="5" width="17.6640625" style="92" customWidth="1"/>
    <col min="6" max="6" width="14.21875" style="92" bestFit="1" customWidth="1"/>
    <col min="7" max="7" width="36.88671875" style="83" customWidth="1"/>
    <col min="8" max="8" width="8.88671875" style="73"/>
    <col min="9" max="9" width="16" style="73" customWidth="1"/>
    <col min="10" max="10" width="17.21875" style="73" customWidth="1"/>
    <col min="11" max="16384" width="8.88671875" style="73"/>
  </cols>
  <sheetData>
    <row r="1" spans="1:10" s="82" customFormat="1" x14ac:dyDescent="0.3">
      <c r="A1" s="71" t="s">
        <v>107</v>
      </c>
      <c r="B1" s="71" t="s">
        <v>94</v>
      </c>
      <c r="C1" s="94" t="s">
        <v>3</v>
      </c>
      <c r="D1" s="94" t="s">
        <v>104</v>
      </c>
      <c r="E1" s="94" t="s">
        <v>108</v>
      </c>
      <c r="F1" s="95" t="s">
        <v>47</v>
      </c>
      <c r="G1" s="85" t="s">
        <v>109</v>
      </c>
      <c r="I1" s="113" t="s">
        <v>115</v>
      </c>
      <c r="J1" s="113">
        <v>20</v>
      </c>
    </row>
    <row r="2" spans="1:10" x14ac:dyDescent="0.3">
      <c r="A2" s="141" t="s">
        <v>85</v>
      </c>
      <c r="B2" s="142" t="s">
        <v>17</v>
      </c>
      <c r="C2" s="143">
        <v>1</v>
      </c>
      <c r="D2" s="143">
        <f>C2*J1</f>
        <v>20</v>
      </c>
      <c r="E2" s="143">
        <v>24000</v>
      </c>
      <c r="F2" s="144">
        <f>D2*E2</f>
        <v>480000</v>
      </c>
      <c r="G2" s="84" t="s">
        <v>106</v>
      </c>
      <c r="I2" s="113" t="s">
        <v>100</v>
      </c>
      <c r="J2" s="114">
        <f>F8+F14+F23+F29</f>
        <v>2230000</v>
      </c>
    </row>
    <row r="3" spans="1:10" s="149" customFormat="1" x14ac:dyDescent="0.3">
      <c r="A3" s="145" t="s">
        <v>122</v>
      </c>
      <c r="B3" s="146" t="s">
        <v>17</v>
      </c>
      <c r="C3" s="147">
        <v>0</v>
      </c>
      <c r="D3" s="147">
        <v>4</v>
      </c>
      <c r="E3" s="147">
        <v>35000</v>
      </c>
      <c r="F3" s="148">
        <f t="shared" ref="F3:F7" si="0">D3*E3</f>
        <v>140000</v>
      </c>
      <c r="G3" s="145" t="s">
        <v>123</v>
      </c>
    </row>
    <row r="4" spans="1:10" x14ac:dyDescent="0.3">
      <c r="A4" s="141" t="s">
        <v>86</v>
      </c>
      <c r="B4" s="142" t="s">
        <v>17</v>
      </c>
      <c r="C4" s="143">
        <v>1</v>
      </c>
      <c r="D4" s="143">
        <f>C4*J1</f>
        <v>20</v>
      </c>
      <c r="E4" s="143">
        <v>24000</v>
      </c>
      <c r="F4" s="144">
        <f t="shared" si="0"/>
        <v>480000</v>
      </c>
      <c r="G4" s="84"/>
    </row>
    <row r="5" spans="1:10" x14ac:dyDescent="0.3">
      <c r="A5" s="141" t="s">
        <v>121</v>
      </c>
      <c r="B5" s="142" t="s">
        <v>17</v>
      </c>
      <c r="C5" s="143">
        <v>1</v>
      </c>
      <c r="D5" s="143">
        <f>C5*J1</f>
        <v>20</v>
      </c>
      <c r="E5" s="143">
        <v>15000</v>
      </c>
      <c r="F5" s="144">
        <f t="shared" si="0"/>
        <v>300000</v>
      </c>
      <c r="G5" s="84"/>
    </row>
    <row r="6" spans="1:10" s="149" customFormat="1" x14ac:dyDescent="0.3">
      <c r="A6" s="145" t="s">
        <v>97</v>
      </c>
      <c r="B6" s="146" t="s">
        <v>17</v>
      </c>
      <c r="C6" s="147">
        <v>0</v>
      </c>
      <c r="D6" s="147">
        <f>C6*J1</f>
        <v>0</v>
      </c>
      <c r="E6" s="147">
        <v>2500</v>
      </c>
      <c r="F6" s="148">
        <f t="shared" si="0"/>
        <v>0</v>
      </c>
      <c r="G6" s="145"/>
    </row>
    <row r="7" spans="1:10" s="149" customFormat="1" x14ac:dyDescent="0.3">
      <c r="A7" s="145" t="s">
        <v>111</v>
      </c>
      <c r="B7" s="146" t="s">
        <v>17</v>
      </c>
      <c r="C7" s="147">
        <v>0</v>
      </c>
      <c r="D7" s="147">
        <f>C7*J1</f>
        <v>0</v>
      </c>
      <c r="E7" s="147">
        <v>0</v>
      </c>
      <c r="F7" s="148">
        <f t="shared" si="0"/>
        <v>0</v>
      </c>
      <c r="G7" s="145" t="s">
        <v>113</v>
      </c>
    </row>
    <row r="8" spans="1:10" s="155" customFormat="1" x14ac:dyDescent="0.3">
      <c r="A8" s="150"/>
      <c r="B8" s="151"/>
      <c r="C8" s="152"/>
      <c r="D8" s="152"/>
      <c r="E8" s="153" t="s">
        <v>105</v>
      </c>
      <c r="F8" s="154">
        <f>SUM(F2:F6)</f>
        <v>1400000</v>
      </c>
      <c r="G8" s="150"/>
    </row>
    <row r="9" spans="1:10" x14ac:dyDescent="0.3">
      <c r="A9" s="75"/>
      <c r="B9" s="75"/>
      <c r="C9" s="101"/>
      <c r="D9" s="101"/>
      <c r="E9" s="101"/>
      <c r="F9" s="102"/>
      <c r="G9" s="84"/>
    </row>
    <row r="10" spans="1:10" x14ac:dyDescent="0.3">
      <c r="A10" s="76" t="s">
        <v>112</v>
      </c>
      <c r="B10" s="77"/>
      <c r="C10" s="103"/>
      <c r="D10" s="103"/>
      <c r="E10" s="103"/>
      <c r="F10" s="104"/>
      <c r="G10" s="84"/>
    </row>
    <row r="11" spans="1:10" x14ac:dyDescent="0.3">
      <c r="A11" s="78" t="s">
        <v>87</v>
      </c>
      <c r="B11" s="77" t="s">
        <v>95</v>
      </c>
      <c r="C11" s="103">
        <v>9</v>
      </c>
      <c r="D11" s="103">
        <f>C11*J1</f>
        <v>180</v>
      </c>
      <c r="E11" s="103">
        <v>3500</v>
      </c>
      <c r="F11" s="104">
        <f>D11*E11</f>
        <v>630000</v>
      </c>
      <c r="G11" s="84"/>
    </row>
    <row r="12" spans="1:10" x14ac:dyDescent="0.3">
      <c r="A12" s="78" t="s">
        <v>88</v>
      </c>
      <c r="B12" s="77" t="s">
        <v>95</v>
      </c>
      <c r="C12" s="103">
        <v>1</v>
      </c>
      <c r="D12" s="103">
        <f>C12*J1</f>
        <v>20</v>
      </c>
      <c r="E12" s="103">
        <v>5000</v>
      </c>
      <c r="F12" s="104">
        <f t="shared" ref="F12:F13" si="1">D12*E12</f>
        <v>100000</v>
      </c>
      <c r="G12" s="84"/>
    </row>
    <row r="13" spans="1:10" x14ac:dyDescent="0.3">
      <c r="A13" s="78" t="s">
        <v>89</v>
      </c>
      <c r="B13" s="77" t="s">
        <v>95</v>
      </c>
      <c r="C13" s="103">
        <v>1</v>
      </c>
      <c r="D13" s="103">
        <f>C13*J1</f>
        <v>20</v>
      </c>
      <c r="E13" s="103">
        <v>5000</v>
      </c>
      <c r="F13" s="104">
        <f t="shared" si="1"/>
        <v>100000</v>
      </c>
      <c r="G13" s="84"/>
    </row>
    <row r="14" spans="1:10" x14ac:dyDescent="0.3">
      <c r="A14" s="78"/>
      <c r="B14" s="77"/>
      <c r="C14" s="103"/>
      <c r="D14" s="103"/>
      <c r="E14" s="105" t="s">
        <v>105</v>
      </c>
      <c r="F14" s="106">
        <f>SUM(F11:F13)</f>
        <v>830000</v>
      </c>
      <c r="G14" s="84"/>
    </row>
    <row r="15" spans="1:10" x14ac:dyDescent="0.3">
      <c r="A15" s="75"/>
      <c r="B15" s="75"/>
      <c r="C15" s="101"/>
      <c r="D15" s="101"/>
      <c r="E15" s="101"/>
      <c r="F15" s="102"/>
      <c r="G15" s="84"/>
    </row>
    <row r="16" spans="1:10" hidden="1" x14ac:dyDescent="0.3">
      <c r="A16" s="86" t="s">
        <v>99</v>
      </c>
      <c r="B16" s="87"/>
      <c r="C16" s="107"/>
      <c r="D16" s="107"/>
      <c r="E16" s="107"/>
      <c r="F16" s="108"/>
      <c r="G16" s="84"/>
    </row>
    <row r="17" spans="1:7" ht="43.2" hidden="1" x14ac:dyDescent="0.3">
      <c r="A17" s="88" t="s">
        <v>75</v>
      </c>
      <c r="B17" s="87" t="s">
        <v>98</v>
      </c>
      <c r="C17" s="107">
        <v>1</v>
      </c>
      <c r="D17" s="107"/>
      <c r="E17" s="107">
        <f>'мат 417 путь'!E22*1.2</f>
        <v>3887399.9962800001</v>
      </c>
      <c r="F17" s="108">
        <f>C17*E17</f>
        <v>3887399.9962800001</v>
      </c>
      <c r="G17" s="84"/>
    </row>
    <row r="18" spans="1:7" ht="43.2" hidden="1" x14ac:dyDescent="0.3">
      <c r="A18" s="88" t="s">
        <v>76</v>
      </c>
      <c r="B18" s="87" t="s">
        <v>98</v>
      </c>
      <c r="C18" s="107">
        <v>1</v>
      </c>
      <c r="D18" s="107"/>
      <c r="E18" s="107">
        <f>'мат 417 путь'!E23*1.2</f>
        <v>3887399.9962800001</v>
      </c>
      <c r="F18" s="108">
        <f t="shared" ref="F18:F22" si="2">C18*E18</f>
        <v>3887399.9962800001</v>
      </c>
      <c r="G18" s="84"/>
    </row>
    <row r="19" spans="1:7" hidden="1" x14ac:dyDescent="0.3">
      <c r="A19" s="88" t="s">
        <v>117</v>
      </c>
      <c r="B19" s="87" t="s">
        <v>10</v>
      </c>
      <c r="C19" s="107">
        <f>C34</f>
        <v>68.277000000000001</v>
      </c>
      <c r="D19" s="107"/>
      <c r="E19" s="107">
        <f>'мат 417 путь'!E4*1.2</f>
        <v>1299.9959999999999</v>
      </c>
      <c r="F19" s="108">
        <f t="shared" si="2"/>
        <v>88759.826891999997</v>
      </c>
      <c r="G19" s="84"/>
    </row>
    <row r="20" spans="1:7" hidden="1" x14ac:dyDescent="0.3">
      <c r="A20" s="88" t="s">
        <v>118</v>
      </c>
      <c r="B20" s="87" t="s">
        <v>10</v>
      </c>
      <c r="C20" s="107">
        <f>C35</f>
        <v>280.5564</v>
      </c>
      <c r="D20" s="107"/>
      <c r="E20" s="107">
        <f>'мат 417 путь'!E5*1.2</f>
        <v>5300.0039999999999</v>
      </c>
      <c r="F20" s="108">
        <f t="shared" si="2"/>
        <v>1486950.0422256</v>
      </c>
      <c r="G20" s="84"/>
    </row>
    <row r="21" spans="1:7" hidden="1" x14ac:dyDescent="0.3">
      <c r="A21" s="88" t="s">
        <v>119</v>
      </c>
      <c r="B21" s="87" t="s">
        <v>10</v>
      </c>
      <c r="C21" s="107">
        <f>'из рд'!M65</f>
        <v>534.05000000000007</v>
      </c>
      <c r="D21" s="107"/>
      <c r="E21" s="107">
        <f>E19</f>
        <v>1299.9959999999999</v>
      </c>
      <c r="F21" s="108">
        <f t="shared" si="2"/>
        <v>694262.86380000005</v>
      </c>
      <c r="G21" s="84"/>
    </row>
    <row r="22" spans="1:7" hidden="1" x14ac:dyDescent="0.3">
      <c r="A22" s="88" t="s">
        <v>114</v>
      </c>
      <c r="B22" s="87" t="s">
        <v>10</v>
      </c>
      <c r="C22" s="107">
        <f>'из рд'!K65</f>
        <v>400.95</v>
      </c>
      <c r="D22" s="107"/>
      <c r="E22" s="107">
        <f>E20</f>
        <v>5300.0039999999999</v>
      </c>
      <c r="F22" s="108">
        <f t="shared" si="2"/>
        <v>2125036.6037999997</v>
      </c>
      <c r="G22" s="84"/>
    </row>
    <row r="23" spans="1:7" hidden="1" x14ac:dyDescent="0.3">
      <c r="A23" s="87"/>
      <c r="B23" s="87"/>
      <c r="C23" s="107"/>
      <c r="D23" s="107"/>
      <c r="E23" s="111" t="s">
        <v>105</v>
      </c>
      <c r="F23" s="112">
        <f>SUM(F17:F22)*0</f>
        <v>0</v>
      </c>
      <c r="G23" s="84"/>
    </row>
    <row r="24" spans="1:7" hidden="1" x14ac:dyDescent="0.3">
      <c r="A24" s="75"/>
      <c r="B24" s="75"/>
      <c r="C24" s="101"/>
      <c r="D24" s="101"/>
      <c r="E24" s="101"/>
      <c r="F24" s="102"/>
      <c r="G24" s="84"/>
    </row>
    <row r="25" spans="1:7" hidden="1" x14ac:dyDescent="0.3">
      <c r="A25" s="79" t="s">
        <v>124</v>
      </c>
      <c r="B25" s="80"/>
      <c r="C25" s="109"/>
      <c r="D25" s="109"/>
      <c r="E25" s="109"/>
      <c r="F25" s="110"/>
      <c r="G25" s="84"/>
    </row>
    <row r="26" spans="1:7" hidden="1" x14ac:dyDescent="0.3">
      <c r="A26" s="81" t="s">
        <v>116</v>
      </c>
      <c r="B26" s="80" t="s">
        <v>127</v>
      </c>
      <c r="C26" s="109">
        <v>5</v>
      </c>
      <c r="D26" s="109"/>
      <c r="E26" s="109"/>
      <c r="F26" s="110">
        <f>(F8+F14+F23)*C26/100</f>
        <v>111500</v>
      </c>
      <c r="G26" s="84"/>
    </row>
    <row r="27" spans="1:7" hidden="1" x14ac:dyDescent="0.3">
      <c r="A27" s="81" t="s">
        <v>120</v>
      </c>
      <c r="B27" s="80" t="s">
        <v>126</v>
      </c>
      <c r="C27" s="109">
        <v>5</v>
      </c>
      <c r="D27" s="109"/>
      <c r="E27" s="109"/>
      <c r="F27" s="110">
        <f>F22*C27/100</f>
        <v>106251.83018999998</v>
      </c>
      <c r="G27" s="84"/>
    </row>
    <row r="28" spans="1:7" hidden="1" x14ac:dyDescent="0.3">
      <c r="A28" s="81" t="s">
        <v>128</v>
      </c>
      <c r="B28" s="80" t="s">
        <v>125</v>
      </c>
      <c r="C28" s="109">
        <v>0</v>
      </c>
      <c r="D28" s="109"/>
      <c r="E28" s="109"/>
      <c r="F28" s="110">
        <f>F23*C28/100</f>
        <v>0</v>
      </c>
      <c r="G28" s="84"/>
    </row>
    <row r="29" spans="1:7" hidden="1" x14ac:dyDescent="0.3">
      <c r="A29" s="81"/>
      <c r="B29" s="80"/>
      <c r="C29" s="109"/>
      <c r="D29" s="109"/>
      <c r="E29" s="121" t="s">
        <v>105</v>
      </c>
      <c r="F29" s="122">
        <f>SUM(F26:F28)*0</f>
        <v>0</v>
      </c>
      <c r="G29" s="84"/>
    </row>
    <row r="30" spans="1:7" hidden="1" x14ac:dyDescent="0.3">
      <c r="A30" s="75"/>
      <c r="B30" s="75"/>
      <c r="C30" s="101"/>
      <c r="D30" s="101"/>
      <c r="E30" s="101"/>
      <c r="F30" s="102"/>
      <c r="G30" s="84"/>
    </row>
    <row r="31" spans="1:7" s="120" customFormat="1" hidden="1" x14ac:dyDescent="0.3">
      <c r="A31" s="115" t="s">
        <v>90</v>
      </c>
      <c r="B31" s="116"/>
      <c r="C31" s="117"/>
      <c r="D31" s="117"/>
      <c r="E31" s="117"/>
      <c r="F31" s="118"/>
      <c r="G31" s="119"/>
    </row>
    <row r="32" spans="1:7" s="120" customFormat="1" hidden="1" x14ac:dyDescent="0.3">
      <c r="A32" s="119" t="s">
        <v>96</v>
      </c>
      <c r="B32" s="116" t="s">
        <v>19</v>
      </c>
      <c r="C32" s="117">
        <f>'из рд'!O10*2</f>
        <v>62.07</v>
      </c>
      <c r="D32" s="117"/>
      <c r="E32" s="117"/>
      <c r="F32" s="118"/>
      <c r="G32" s="119"/>
    </row>
    <row r="33" spans="1:7" s="120" customFormat="1" hidden="1" x14ac:dyDescent="0.3">
      <c r="A33" s="119" t="s">
        <v>91</v>
      </c>
      <c r="B33" s="116" t="s">
        <v>10</v>
      </c>
      <c r="C33" s="117">
        <f>'из рд'!AC4*'из рд'!AC8*2</f>
        <v>145.86449999999999</v>
      </c>
      <c r="D33" s="117"/>
      <c r="E33" s="117"/>
      <c r="F33" s="118"/>
      <c r="G33" s="119"/>
    </row>
    <row r="34" spans="1:7" s="120" customFormat="1" hidden="1" x14ac:dyDescent="0.3">
      <c r="A34" s="119" t="s">
        <v>92</v>
      </c>
      <c r="B34" s="116" t="s">
        <v>10</v>
      </c>
      <c r="C34" s="117">
        <f>'из рд'!AC3*'из рд'!AC8*2</f>
        <v>68.277000000000001</v>
      </c>
      <c r="D34" s="117"/>
      <c r="E34" s="117"/>
      <c r="F34" s="118"/>
      <c r="G34" s="119"/>
    </row>
    <row r="35" spans="1:7" s="120" customFormat="1" hidden="1" x14ac:dyDescent="0.3">
      <c r="A35" s="119" t="s">
        <v>93</v>
      </c>
      <c r="B35" s="116" t="s">
        <v>10</v>
      </c>
      <c r="C35" s="117">
        <f>'из рд'!AC2*'из рд'!AC8*2</f>
        <v>280.5564</v>
      </c>
      <c r="D35" s="117"/>
      <c r="E35" s="117"/>
      <c r="F35" s="118"/>
      <c r="G35" s="119"/>
    </row>
    <row r="36" spans="1:7" s="120" customFormat="1" ht="28.8" hidden="1" x14ac:dyDescent="0.3">
      <c r="A36" s="119" t="s">
        <v>102</v>
      </c>
      <c r="B36" s="116" t="s">
        <v>103</v>
      </c>
      <c r="C36" s="117">
        <v>2</v>
      </c>
      <c r="D36" s="117"/>
      <c r="E36" s="117"/>
      <c r="F36" s="118"/>
      <c r="G36" s="119"/>
    </row>
    <row r="37" spans="1:7" s="120" customFormat="1" hidden="1" x14ac:dyDescent="0.3">
      <c r="A37" s="119" t="s">
        <v>101</v>
      </c>
      <c r="B37" s="116" t="s">
        <v>19</v>
      </c>
      <c r="C37" s="117">
        <f>'из рд'!Y70</f>
        <v>283.41999999999996</v>
      </c>
      <c r="D37" s="117"/>
      <c r="E37" s="117"/>
      <c r="F37" s="118"/>
      <c r="G37" s="1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0DA87-BE9F-4992-B686-931C1C6A524B}">
  <dimension ref="A1:H37"/>
  <sheetViews>
    <sheetView zoomScaleNormal="100" zoomScaleSheetLayoutView="100" workbookViewId="0">
      <pane ySplit="2" topLeftCell="A3" activePane="bottomLeft" state="frozen"/>
      <selection activeCell="E5" sqref="E5"/>
      <selection pane="bottomLeft" activeCell="B16" sqref="B16"/>
    </sheetView>
  </sheetViews>
  <sheetFormatPr defaultRowHeight="14.4" x14ac:dyDescent="0.3"/>
  <cols>
    <col min="1" max="1" width="7.109375" style="4" customWidth="1"/>
    <col min="2" max="2" width="61.33203125" style="4" customWidth="1"/>
    <col min="3" max="3" width="10.6640625" style="4" customWidth="1"/>
    <col min="4" max="4" width="11" style="4" customWidth="1"/>
    <col min="5" max="5" width="12.88671875" style="4" customWidth="1"/>
    <col min="6" max="6" width="16.5546875" style="39" customWidth="1"/>
    <col min="7" max="7" width="18.5546875" style="40" customWidth="1"/>
    <col min="8" max="8" width="76.44140625" style="4" customWidth="1"/>
    <col min="9" max="16384" width="8.88671875" style="4"/>
  </cols>
  <sheetData>
    <row r="1" spans="1:8" s="1" customFormat="1" ht="21.75" customHeight="1" x14ac:dyDescent="0.3">
      <c r="A1" s="126" t="s">
        <v>0</v>
      </c>
      <c r="B1" s="126" t="s">
        <v>1</v>
      </c>
      <c r="C1" s="126" t="s">
        <v>2</v>
      </c>
      <c r="D1" s="126" t="s">
        <v>3</v>
      </c>
      <c r="E1" s="127" t="s">
        <v>4</v>
      </c>
      <c r="F1" s="127"/>
      <c r="G1" s="127"/>
    </row>
    <row r="2" spans="1:8" ht="36" customHeight="1" x14ac:dyDescent="0.3">
      <c r="A2" s="126"/>
      <c r="B2" s="126"/>
      <c r="C2" s="126"/>
      <c r="D2" s="126"/>
      <c r="E2" s="2" t="s">
        <v>5</v>
      </c>
      <c r="F2" s="3" t="s">
        <v>6</v>
      </c>
      <c r="G2" s="2" t="s">
        <v>7</v>
      </c>
    </row>
    <row r="3" spans="1:8" ht="12.75" customHeight="1" x14ac:dyDescent="0.3">
      <c r="A3" s="5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</row>
    <row r="4" spans="1:8" ht="14.4" customHeight="1" x14ac:dyDescent="0.3">
      <c r="A4" s="128" t="s">
        <v>8</v>
      </c>
      <c r="B4" s="129"/>
      <c r="C4" s="7"/>
      <c r="D4" s="7"/>
      <c r="E4" s="8"/>
      <c r="F4" s="7"/>
      <c r="G4" s="7"/>
    </row>
    <row r="5" spans="1:8" x14ac:dyDescent="0.3">
      <c r="A5" s="9">
        <v>1</v>
      </c>
      <c r="B5" s="10" t="s">
        <v>9</v>
      </c>
      <c r="C5" s="9" t="s">
        <v>10</v>
      </c>
      <c r="D5" s="11">
        <v>7955.76</v>
      </c>
      <c r="E5" s="11">
        <f>ROUND(5165*0.9,2)</f>
        <v>4648.5</v>
      </c>
      <c r="F5" s="12">
        <f>ROUND(E5*D5,2)</f>
        <v>36982350.359999999</v>
      </c>
      <c r="G5" s="12">
        <f>ROUND(F5*1.2,2)</f>
        <v>44378820.43</v>
      </c>
    </row>
    <row r="6" spans="1:8" x14ac:dyDescent="0.3">
      <c r="A6" s="9">
        <f>A5+1</f>
        <v>2</v>
      </c>
      <c r="B6" s="10" t="s">
        <v>11</v>
      </c>
      <c r="C6" s="9" t="s">
        <v>10</v>
      </c>
      <c r="D6" s="11">
        <v>598.14</v>
      </c>
      <c r="E6" s="11">
        <v>1242</v>
      </c>
      <c r="F6" s="12">
        <f t="shared" ref="F6:F8" si="0">ROUND(E6*D6,2)</f>
        <v>742889.88</v>
      </c>
      <c r="G6" s="12">
        <f t="shared" ref="G6:G8" si="1">ROUND(F6*1.2,2)</f>
        <v>891467.86</v>
      </c>
    </row>
    <row r="7" spans="1:8" x14ac:dyDescent="0.3">
      <c r="A7" s="9">
        <f>A6+1</f>
        <v>3</v>
      </c>
      <c r="B7" s="10" t="s">
        <v>12</v>
      </c>
      <c r="C7" s="9" t="s">
        <v>13</v>
      </c>
      <c r="D7" s="11">
        <v>762.75</v>
      </c>
      <c r="E7" s="11">
        <f>ROUND(325*0.9,2)</f>
        <v>292.5</v>
      </c>
      <c r="F7" s="12">
        <f t="shared" si="0"/>
        <v>223104.38</v>
      </c>
      <c r="G7" s="12">
        <f t="shared" si="1"/>
        <v>267725.26</v>
      </c>
    </row>
    <row r="8" spans="1:8" x14ac:dyDescent="0.3">
      <c r="A8" s="9">
        <f>A7+1</f>
        <v>4</v>
      </c>
      <c r="B8" s="10" t="s">
        <v>14</v>
      </c>
      <c r="C8" s="9" t="s">
        <v>13</v>
      </c>
      <c r="D8" s="11">
        <v>12970.93</v>
      </c>
      <c r="E8" s="11">
        <f>ROUND(325*0.9,2)</f>
        <v>292.5</v>
      </c>
      <c r="F8" s="12">
        <f t="shared" si="0"/>
        <v>3793997.03</v>
      </c>
      <c r="G8" s="12">
        <f t="shared" si="1"/>
        <v>4552796.4400000004</v>
      </c>
    </row>
    <row r="9" spans="1:8" x14ac:dyDescent="0.3">
      <c r="A9" s="128" t="s">
        <v>15</v>
      </c>
      <c r="B9" s="129"/>
      <c r="C9" s="7"/>
      <c r="D9" s="7"/>
      <c r="E9" s="8"/>
      <c r="F9" s="7"/>
      <c r="G9" s="7"/>
    </row>
    <row r="10" spans="1:8" x14ac:dyDescent="0.3">
      <c r="A10" s="9">
        <f>A8+1</f>
        <v>5</v>
      </c>
      <c r="B10" s="13" t="s">
        <v>16</v>
      </c>
      <c r="C10" s="9" t="s">
        <v>17</v>
      </c>
      <c r="D10" s="14">
        <v>1</v>
      </c>
      <c r="E10" s="11">
        <v>109572</v>
      </c>
      <c r="F10" s="12">
        <f t="shared" ref="F10:F14" si="2">ROUND(E10*D10,2)</f>
        <v>109572</v>
      </c>
      <c r="G10" s="12">
        <f t="shared" ref="G10:G14" si="3">ROUND(F10*1.2,2)</f>
        <v>131486.39999999999</v>
      </c>
    </row>
    <row r="11" spans="1:8" x14ac:dyDescent="0.3">
      <c r="A11" s="9">
        <f>A10+1</f>
        <v>6</v>
      </c>
      <c r="B11" s="13" t="s">
        <v>18</v>
      </c>
      <c r="C11" s="9" t="s">
        <v>19</v>
      </c>
      <c r="D11" s="14">
        <v>809</v>
      </c>
      <c r="E11" s="11">
        <v>2084</v>
      </c>
      <c r="F11" s="12">
        <f t="shared" si="2"/>
        <v>1685956</v>
      </c>
      <c r="G11" s="12">
        <f t="shared" si="3"/>
        <v>2023147.2</v>
      </c>
    </row>
    <row r="12" spans="1:8" x14ac:dyDescent="0.3">
      <c r="A12" s="15">
        <f>A11+1</f>
        <v>7</v>
      </c>
      <c r="B12" s="16" t="s">
        <v>18</v>
      </c>
      <c r="C12" s="15" t="s">
        <v>19</v>
      </c>
      <c r="D12" s="17">
        <v>6</v>
      </c>
      <c r="E12" s="18">
        <v>2084</v>
      </c>
      <c r="F12" s="19">
        <f t="shared" si="2"/>
        <v>12504</v>
      </c>
      <c r="G12" s="19">
        <f t="shared" si="3"/>
        <v>15004.8</v>
      </c>
      <c r="H12" s="4" t="s">
        <v>20</v>
      </c>
    </row>
    <row r="13" spans="1:8" x14ac:dyDescent="0.3">
      <c r="A13" s="9">
        <f>A12+1</f>
        <v>8</v>
      </c>
      <c r="B13" s="13" t="s">
        <v>21</v>
      </c>
      <c r="C13" s="9" t="s">
        <v>17</v>
      </c>
      <c r="D13" s="14">
        <v>3</v>
      </c>
      <c r="E13" s="11">
        <v>86850</v>
      </c>
      <c r="F13" s="12">
        <f t="shared" si="2"/>
        <v>260550</v>
      </c>
      <c r="G13" s="12">
        <f t="shared" si="3"/>
        <v>312660</v>
      </c>
    </row>
    <row r="14" spans="1:8" ht="27.6" x14ac:dyDescent="0.3">
      <c r="A14" s="20">
        <f>A13+1</f>
        <v>9</v>
      </c>
      <c r="B14" s="16" t="s">
        <v>22</v>
      </c>
      <c r="C14" s="15" t="s">
        <v>17</v>
      </c>
      <c r="D14" s="17">
        <v>1</v>
      </c>
      <c r="E14" s="18">
        <v>86850</v>
      </c>
      <c r="F14" s="19">
        <f t="shared" si="2"/>
        <v>86850</v>
      </c>
      <c r="G14" s="19">
        <f t="shared" si="3"/>
        <v>104220</v>
      </c>
      <c r="H14" s="21" t="s">
        <v>23</v>
      </c>
    </row>
    <row r="15" spans="1:8" ht="14.4" customHeight="1" x14ac:dyDescent="0.3">
      <c r="A15" s="128" t="s">
        <v>24</v>
      </c>
      <c r="B15" s="129"/>
      <c r="C15" s="7"/>
      <c r="D15" s="7"/>
      <c r="E15" s="7"/>
      <c r="F15" s="7"/>
      <c r="G15" s="7"/>
      <c r="H15" s="22"/>
    </row>
    <row r="16" spans="1:8" x14ac:dyDescent="0.3">
      <c r="A16" s="9">
        <f>A14+1</f>
        <v>10</v>
      </c>
      <c r="B16" s="13" t="s">
        <v>25</v>
      </c>
      <c r="C16" s="9" t="s">
        <v>10</v>
      </c>
      <c r="D16" s="11">
        <v>5327.17</v>
      </c>
      <c r="E16" s="11">
        <f>ROUND(1662*0.9,2)</f>
        <v>1495.8</v>
      </c>
      <c r="F16" s="12">
        <f t="shared" ref="F16:F34" si="4">ROUND(E16*D16,2)</f>
        <v>7968380.8899999997</v>
      </c>
      <c r="G16" s="12">
        <f t="shared" ref="G16:G34" si="5">ROUND(F16*1.2,2)</f>
        <v>9562057.0700000003</v>
      </c>
    </row>
    <row r="17" spans="1:8" ht="27.6" x14ac:dyDescent="0.3">
      <c r="A17" s="9">
        <f>A16+1</f>
        <v>11</v>
      </c>
      <c r="B17" s="13" t="s">
        <v>26</v>
      </c>
      <c r="C17" s="9" t="s">
        <v>10</v>
      </c>
      <c r="D17" s="11">
        <v>437.94</v>
      </c>
      <c r="E17" s="11">
        <f>ROUND(1611*0.9,2)</f>
        <v>1449.9</v>
      </c>
      <c r="F17" s="12">
        <f t="shared" si="4"/>
        <v>634969.21</v>
      </c>
      <c r="G17" s="12">
        <f t="shared" si="5"/>
        <v>761963.05</v>
      </c>
    </row>
    <row r="18" spans="1:8" ht="41.4" x14ac:dyDescent="0.3">
      <c r="A18" s="9">
        <f t="shared" ref="A18:A34" si="6">A17+1</f>
        <v>12</v>
      </c>
      <c r="B18" s="23" t="s">
        <v>27</v>
      </c>
      <c r="C18" s="24" t="s">
        <v>19</v>
      </c>
      <c r="D18" s="25">
        <v>1211</v>
      </c>
      <c r="E18" s="11">
        <v>2348</v>
      </c>
      <c r="F18" s="12">
        <f t="shared" si="4"/>
        <v>2843428</v>
      </c>
      <c r="G18" s="12">
        <f t="shared" si="5"/>
        <v>3412113.6</v>
      </c>
      <c r="H18" s="130"/>
    </row>
    <row r="19" spans="1:8" ht="41.4" x14ac:dyDescent="0.3">
      <c r="A19" s="9">
        <f t="shared" si="6"/>
        <v>13</v>
      </c>
      <c r="B19" s="23" t="s">
        <v>28</v>
      </c>
      <c r="C19" s="24" t="s">
        <v>19</v>
      </c>
      <c r="D19" s="26">
        <v>688</v>
      </c>
      <c r="E19" s="11">
        <v>1587</v>
      </c>
      <c r="F19" s="12">
        <f t="shared" si="4"/>
        <v>1091856</v>
      </c>
      <c r="G19" s="12">
        <f t="shared" si="5"/>
        <v>1310227.2</v>
      </c>
      <c r="H19" s="130"/>
    </row>
    <row r="20" spans="1:8" ht="24.75" customHeight="1" x14ac:dyDescent="0.3">
      <c r="A20" s="15">
        <f>A19+1</f>
        <v>14</v>
      </c>
      <c r="B20" s="27" t="s">
        <v>29</v>
      </c>
      <c r="C20" s="28" t="s">
        <v>30</v>
      </c>
      <c r="D20" s="29">
        <f>266*3</f>
        <v>798</v>
      </c>
      <c r="E20" s="18">
        <f>350/1.2</f>
        <v>291.66666666666669</v>
      </c>
      <c r="F20" s="19">
        <f t="shared" si="4"/>
        <v>232750</v>
      </c>
      <c r="G20" s="19">
        <f t="shared" si="5"/>
        <v>279300</v>
      </c>
      <c r="H20" s="30" t="s">
        <v>31</v>
      </c>
    </row>
    <row r="21" spans="1:8" ht="41.4" x14ac:dyDescent="0.3">
      <c r="A21" s="9">
        <f>A20+1</f>
        <v>15</v>
      </c>
      <c r="B21" s="23" t="s">
        <v>32</v>
      </c>
      <c r="C21" s="24" t="s">
        <v>19</v>
      </c>
      <c r="D21" s="31">
        <v>31.12</v>
      </c>
      <c r="E21" s="11">
        <v>2348</v>
      </c>
      <c r="F21" s="12">
        <f t="shared" si="4"/>
        <v>73069.759999999995</v>
      </c>
      <c r="G21" s="12">
        <f t="shared" si="5"/>
        <v>87683.71</v>
      </c>
      <c r="H21" s="32"/>
    </row>
    <row r="22" spans="1:8" ht="41.4" x14ac:dyDescent="0.3">
      <c r="A22" s="15">
        <f>A21+1</f>
        <v>16</v>
      </c>
      <c r="B22" s="16" t="s">
        <v>32</v>
      </c>
      <c r="C22" s="28" t="s">
        <v>19</v>
      </c>
      <c r="D22" s="33">
        <v>31.12</v>
      </c>
      <c r="E22" s="18">
        <v>2348</v>
      </c>
      <c r="F22" s="19">
        <f t="shared" si="4"/>
        <v>73069.759999999995</v>
      </c>
      <c r="G22" s="19">
        <f t="shared" si="5"/>
        <v>87683.71</v>
      </c>
      <c r="H22" s="21" t="s">
        <v>33</v>
      </c>
    </row>
    <row r="23" spans="1:8" ht="41.4" x14ac:dyDescent="0.3">
      <c r="A23" s="15">
        <f t="shared" si="6"/>
        <v>17</v>
      </c>
      <c r="B23" s="16" t="s">
        <v>28</v>
      </c>
      <c r="C23" s="28" t="s">
        <v>19</v>
      </c>
      <c r="D23" s="29">
        <v>25</v>
      </c>
      <c r="E23" s="18">
        <v>1587</v>
      </c>
      <c r="F23" s="19">
        <f t="shared" si="4"/>
        <v>39675</v>
      </c>
      <c r="G23" s="19">
        <f t="shared" si="5"/>
        <v>47610</v>
      </c>
      <c r="H23" s="21" t="s">
        <v>34</v>
      </c>
    </row>
    <row r="24" spans="1:8" ht="41.4" x14ac:dyDescent="0.3">
      <c r="A24" s="15">
        <f t="shared" si="6"/>
        <v>18</v>
      </c>
      <c r="B24" s="16" t="s">
        <v>28</v>
      </c>
      <c r="C24" s="28" t="s">
        <v>19</v>
      </c>
      <c r="D24" s="29">
        <v>25</v>
      </c>
      <c r="E24" s="18">
        <v>1587</v>
      </c>
      <c r="F24" s="19">
        <f t="shared" si="4"/>
        <v>39675</v>
      </c>
      <c r="G24" s="19">
        <f t="shared" si="5"/>
        <v>47610</v>
      </c>
      <c r="H24" s="21" t="s">
        <v>35</v>
      </c>
    </row>
    <row r="25" spans="1:8" ht="27.6" x14ac:dyDescent="0.3">
      <c r="A25" s="9">
        <f>A21+1</f>
        <v>16</v>
      </c>
      <c r="B25" s="23" t="s">
        <v>36</v>
      </c>
      <c r="C25" s="9" t="s">
        <v>19</v>
      </c>
      <c r="D25" s="11">
        <f>9*4</f>
        <v>36</v>
      </c>
      <c r="E25" s="11">
        <v>1587</v>
      </c>
      <c r="F25" s="12">
        <f t="shared" si="4"/>
        <v>57132</v>
      </c>
      <c r="G25" s="12">
        <f t="shared" si="5"/>
        <v>68558.399999999994</v>
      </c>
      <c r="H25" s="22"/>
    </row>
    <row r="26" spans="1:8" ht="48" customHeight="1" x14ac:dyDescent="0.3">
      <c r="A26" s="9">
        <f t="shared" si="6"/>
        <v>17</v>
      </c>
      <c r="B26" s="13" t="s">
        <v>37</v>
      </c>
      <c r="C26" s="9" t="s">
        <v>38</v>
      </c>
      <c r="D26" s="14">
        <v>1</v>
      </c>
      <c r="E26" s="11">
        <v>189450</v>
      </c>
      <c r="F26" s="12">
        <f t="shared" si="4"/>
        <v>189450</v>
      </c>
      <c r="G26" s="12">
        <f t="shared" si="5"/>
        <v>227340</v>
      </c>
    </row>
    <row r="27" spans="1:8" ht="48" customHeight="1" x14ac:dyDescent="0.3">
      <c r="A27" s="9">
        <f t="shared" si="6"/>
        <v>18</v>
      </c>
      <c r="B27" s="13" t="s">
        <v>39</v>
      </c>
      <c r="C27" s="9" t="s">
        <v>10</v>
      </c>
      <c r="D27" s="14">
        <v>796</v>
      </c>
      <c r="E27" s="11">
        <f>ROUND(325*0.9,2)</f>
        <v>292.5</v>
      </c>
      <c r="F27" s="12">
        <f t="shared" si="4"/>
        <v>232830</v>
      </c>
      <c r="G27" s="12">
        <f t="shared" si="5"/>
        <v>279396</v>
      </c>
    </row>
    <row r="28" spans="1:8" ht="41.4" x14ac:dyDescent="0.3">
      <c r="A28" s="9">
        <f t="shared" si="6"/>
        <v>19</v>
      </c>
      <c r="B28" s="13" t="s">
        <v>40</v>
      </c>
      <c r="C28" s="9" t="s">
        <v>38</v>
      </c>
      <c r="D28" s="14">
        <v>2</v>
      </c>
      <c r="E28" s="11">
        <v>216000</v>
      </c>
      <c r="F28" s="12">
        <f t="shared" si="4"/>
        <v>432000</v>
      </c>
      <c r="G28" s="12">
        <f t="shared" si="5"/>
        <v>518400</v>
      </c>
    </row>
    <row r="29" spans="1:8" ht="41.4" x14ac:dyDescent="0.3">
      <c r="A29" s="9">
        <f t="shared" si="6"/>
        <v>20</v>
      </c>
      <c r="B29" s="13" t="s">
        <v>41</v>
      </c>
      <c r="C29" s="9" t="s">
        <v>38</v>
      </c>
      <c r="D29" s="14">
        <v>1</v>
      </c>
      <c r="E29" s="11">
        <v>216000</v>
      </c>
      <c r="F29" s="12">
        <f t="shared" si="4"/>
        <v>216000</v>
      </c>
      <c r="G29" s="12">
        <f t="shared" si="5"/>
        <v>259200</v>
      </c>
    </row>
    <row r="30" spans="1:8" ht="41.4" x14ac:dyDescent="0.3">
      <c r="A30" s="9">
        <f t="shared" si="6"/>
        <v>21</v>
      </c>
      <c r="B30" s="13" t="s">
        <v>42</v>
      </c>
      <c r="C30" s="9" t="s">
        <v>38</v>
      </c>
      <c r="D30" s="14">
        <v>2</v>
      </c>
      <c r="E30" s="11">
        <v>173744</v>
      </c>
      <c r="F30" s="12">
        <f t="shared" si="4"/>
        <v>347488</v>
      </c>
      <c r="G30" s="12">
        <f t="shared" si="5"/>
        <v>416985.59999999998</v>
      </c>
    </row>
    <row r="31" spans="1:8" ht="41.4" x14ac:dyDescent="0.3">
      <c r="A31" s="9">
        <f t="shared" si="6"/>
        <v>22</v>
      </c>
      <c r="B31" s="13" t="s">
        <v>43</v>
      </c>
      <c r="C31" s="9" t="s">
        <v>38</v>
      </c>
      <c r="D31" s="14">
        <v>1</v>
      </c>
      <c r="E31" s="11">
        <v>173744</v>
      </c>
      <c r="F31" s="12">
        <f t="shared" si="4"/>
        <v>173744</v>
      </c>
      <c r="G31" s="12">
        <f t="shared" si="5"/>
        <v>208492.79999999999</v>
      </c>
    </row>
    <row r="32" spans="1:8" ht="41.4" x14ac:dyDescent="0.3">
      <c r="A32" s="9">
        <f t="shared" si="6"/>
        <v>23</v>
      </c>
      <c r="B32" s="13" t="s">
        <v>44</v>
      </c>
      <c r="C32" s="9" t="s">
        <v>38</v>
      </c>
      <c r="D32" s="14">
        <v>3</v>
      </c>
      <c r="E32" s="11">
        <v>173744</v>
      </c>
      <c r="F32" s="12">
        <f t="shared" si="4"/>
        <v>521232</v>
      </c>
      <c r="G32" s="12">
        <f t="shared" si="5"/>
        <v>625478.40000000002</v>
      </c>
    </row>
    <row r="33" spans="1:8" x14ac:dyDescent="0.3">
      <c r="A33" s="9">
        <f>A32+1</f>
        <v>24</v>
      </c>
      <c r="B33" s="13" t="s">
        <v>45</v>
      </c>
      <c r="C33" s="9" t="s">
        <v>17</v>
      </c>
      <c r="D33" s="14">
        <v>4</v>
      </c>
      <c r="E33" s="11">
        <v>80000</v>
      </c>
      <c r="F33" s="12">
        <f t="shared" si="4"/>
        <v>320000</v>
      </c>
      <c r="G33" s="12">
        <f t="shared" si="5"/>
        <v>384000</v>
      </c>
    </row>
    <row r="34" spans="1:8" x14ac:dyDescent="0.3">
      <c r="A34" s="9">
        <f t="shared" si="6"/>
        <v>25</v>
      </c>
      <c r="B34" s="13" t="s">
        <v>46</v>
      </c>
      <c r="C34" s="9" t="s">
        <v>19</v>
      </c>
      <c r="D34" s="14">
        <v>28</v>
      </c>
      <c r="E34" s="11">
        <v>4200</v>
      </c>
      <c r="F34" s="12">
        <f t="shared" si="4"/>
        <v>117600</v>
      </c>
      <c r="G34" s="12">
        <f t="shared" si="5"/>
        <v>141120</v>
      </c>
    </row>
    <row r="35" spans="1:8" x14ac:dyDescent="0.3">
      <c r="A35" s="34"/>
      <c r="B35" s="131" t="s">
        <v>47</v>
      </c>
      <c r="C35" s="132"/>
      <c r="D35" s="132"/>
      <c r="E35" s="133"/>
      <c r="F35" s="35">
        <f>SUM(F5:F34)</f>
        <v>59502123.270000003</v>
      </c>
      <c r="G35" s="36">
        <f>SUM(G5:G34)</f>
        <v>71402547.929999977</v>
      </c>
    </row>
    <row r="36" spans="1:8" x14ac:dyDescent="0.3">
      <c r="A36" s="123" t="s">
        <v>48</v>
      </c>
      <c r="B36" s="124"/>
      <c r="C36" s="124"/>
      <c r="D36" s="124"/>
      <c r="E36" s="125"/>
      <c r="F36" s="37">
        <f>ROUND(F35*0.03,2)</f>
        <v>1785063.7</v>
      </c>
      <c r="G36" s="37">
        <f>ROUND(G35*0.03,2)</f>
        <v>2142076.44</v>
      </c>
      <c r="H36" s="38"/>
    </row>
    <row r="37" spans="1:8" x14ac:dyDescent="0.3">
      <c r="A37" s="123" t="s">
        <v>49</v>
      </c>
      <c r="B37" s="124"/>
      <c r="C37" s="124"/>
      <c r="D37" s="124"/>
      <c r="E37" s="125"/>
      <c r="F37" s="37">
        <f>F35+F36</f>
        <v>61287186.970000006</v>
      </c>
      <c r="G37" s="37">
        <f>G35+G36</f>
        <v>73544624.369999975</v>
      </c>
      <c r="H37" s="38"/>
    </row>
  </sheetData>
  <mergeCells count="12">
    <mergeCell ref="H18:H19"/>
    <mergeCell ref="B35:E35"/>
    <mergeCell ref="A36:E36"/>
    <mergeCell ref="A37:E37"/>
    <mergeCell ref="A1:A2"/>
    <mergeCell ref="B1:B2"/>
    <mergeCell ref="C1:C2"/>
    <mergeCell ref="D1:D2"/>
    <mergeCell ref="E1:G1"/>
    <mergeCell ref="A4:B4"/>
    <mergeCell ref="A9:B9"/>
    <mergeCell ref="A15:B15"/>
  </mergeCells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FED63-5161-4420-9162-AE76CDF10943}">
  <dimension ref="A1:H33"/>
  <sheetViews>
    <sheetView view="pageBreakPreview" zoomScale="85" zoomScaleNormal="85" zoomScaleSheetLayoutView="85" workbookViewId="0">
      <pane ySplit="2" topLeftCell="A3" activePane="bottomLeft" state="frozen"/>
      <selection activeCell="E5" sqref="E5"/>
      <selection pane="bottomLeft" activeCell="D5" sqref="D5"/>
    </sheetView>
  </sheetViews>
  <sheetFormatPr defaultRowHeight="14.4" x14ac:dyDescent="0.3"/>
  <cols>
    <col min="1" max="1" width="4.33203125" style="4" customWidth="1"/>
    <col min="2" max="2" width="60.88671875" style="70" bestFit="1" customWidth="1"/>
    <col min="3" max="3" width="8.88671875" style="4"/>
    <col min="4" max="4" width="13.109375" style="4" customWidth="1"/>
    <col min="5" max="5" width="23.21875" style="38" customWidth="1"/>
    <col min="6" max="6" width="16.33203125" style="4" customWidth="1"/>
    <col min="7" max="7" width="17" style="4" customWidth="1"/>
    <col min="8" max="8" width="66.33203125" style="4" customWidth="1"/>
    <col min="9" max="16384" width="8.88671875" style="4"/>
  </cols>
  <sheetData>
    <row r="1" spans="1:8" ht="28.95" customHeight="1" x14ac:dyDescent="0.3">
      <c r="A1" s="134" t="s">
        <v>50</v>
      </c>
      <c r="B1" s="136" t="s">
        <v>51</v>
      </c>
      <c r="C1" s="138" t="s">
        <v>52</v>
      </c>
      <c r="D1" s="138" t="s">
        <v>3</v>
      </c>
      <c r="E1" s="140" t="s">
        <v>4</v>
      </c>
      <c r="F1" s="140"/>
      <c r="G1" s="140"/>
    </row>
    <row r="2" spans="1:8" s="43" customFormat="1" ht="57.6" customHeight="1" x14ac:dyDescent="0.3">
      <c r="A2" s="135"/>
      <c r="B2" s="137"/>
      <c r="C2" s="139"/>
      <c r="D2" s="139"/>
      <c r="E2" s="41" t="s">
        <v>53</v>
      </c>
      <c r="F2" s="42" t="s">
        <v>54</v>
      </c>
      <c r="G2" s="42" t="s">
        <v>55</v>
      </c>
    </row>
    <row r="3" spans="1:8" ht="12.75" customHeight="1" x14ac:dyDescent="0.3">
      <c r="A3" s="5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</row>
    <row r="4" spans="1:8" x14ac:dyDescent="0.3">
      <c r="A4" s="44">
        <v>1</v>
      </c>
      <c r="B4" s="10" t="s">
        <v>56</v>
      </c>
      <c r="C4" s="45" t="s">
        <v>10</v>
      </c>
      <c r="D4" s="45">
        <v>598.14</v>
      </c>
      <c r="E4" s="12">
        <f>ROUND(1300/1.2,2)</f>
        <v>1083.33</v>
      </c>
      <c r="F4" s="12">
        <f>ROUND(E4*D4,2)</f>
        <v>647983.01</v>
      </c>
      <c r="G4" s="12">
        <f>ROUND(F4*1.2,2)</f>
        <v>777579.61</v>
      </c>
    </row>
    <row r="5" spans="1:8" x14ac:dyDescent="0.3">
      <c r="A5" s="44">
        <f>A4+1</f>
        <v>2</v>
      </c>
      <c r="B5" s="10" t="s">
        <v>57</v>
      </c>
      <c r="C5" s="45" t="s">
        <v>10</v>
      </c>
      <c r="D5" s="46">
        <f>6232.7889+504.9</f>
        <v>6737.6888999999992</v>
      </c>
      <c r="E5" s="12">
        <f>ROUND(5300/1.2,2)</f>
        <v>4416.67</v>
      </c>
      <c r="F5" s="12">
        <f t="shared" ref="F5:F29" si="0">ROUND(E5*D5,2)</f>
        <v>29758148.43</v>
      </c>
      <c r="G5" s="12">
        <f t="shared" ref="G5:G29" si="1">ROUND(F5*1.2,2)</f>
        <v>35709778.119999997</v>
      </c>
    </row>
    <row r="6" spans="1:8" x14ac:dyDescent="0.3">
      <c r="A6" s="44">
        <f>A5+1</f>
        <v>3</v>
      </c>
      <c r="B6" s="10" t="s">
        <v>58</v>
      </c>
      <c r="C6" s="45" t="s">
        <v>13</v>
      </c>
      <c r="D6" s="47">
        <v>6000</v>
      </c>
      <c r="E6" s="12">
        <f>ROUND(184/1.2,2)</f>
        <v>153.33000000000001</v>
      </c>
      <c r="F6" s="12">
        <f t="shared" si="0"/>
        <v>919980</v>
      </c>
      <c r="G6" s="12">
        <f t="shared" si="1"/>
        <v>1103976</v>
      </c>
    </row>
    <row r="7" spans="1:8" x14ac:dyDescent="0.3">
      <c r="A7" s="44">
        <f t="shared" ref="A7:A29" si="2">A6+1</f>
        <v>4</v>
      </c>
      <c r="B7" s="48" t="s">
        <v>59</v>
      </c>
      <c r="C7" s="49" t="s">
        <v>19</v>
      </c>
      <c r="D7" s="50">
        <v>36</v>
      </c>
      <c r="E7" s="50">
        <f>ROUND(16500/1.2,2)</f>
        <v>13750</v>
      </c>
      <c r="F7" s="50">
        <f t="shared" si="0"/>
        <v>495000</v>
      </c>
      <c r="G7" s="50">
        <f t="shared" si="1"/>
        <v>594000</v>
      </c>
      <c r="H7" s="22"/>
    </row>
    <row r="8" spans="1:8" ht="27.6" x14ac:dyDescent="0.3">
      <c r="A8" s="44">
        <f>A7+1</f>
        <v>5</v>
      </c>
      <c r="B8" s="48" t="s">
        <v>60</v>
      </c>
      <c r="C8" s="49" t="s">
        <v>19</v>
      </c>
      <c r="D8" s="51">
        <v>1211</v>
      </c>
      <c r="E8" s="52">
        <f>ROUND(34100/1.2,2)*0.93</f>
        <v>26427.503099999998</v>
      </c>
      <c r="F8" s="12">
        <f t="shared" si="0"/>
        <v>32003706.25</v>
      </c>
      <c r="G8" s="12">
        <f t="shared" si="1"/>
        <v>38404447.5</v>
      </c>
      <c r="H8" s="130"/>
    </row>
    <row r="9" spans="1:8" ht="27.6" x14ac:dyDescent="0.3">
      <c r="A9" s="44">
        <f t="shared" si="2"/>
        <v>6</v>
      </c>
      <c r="B9" s="48" t="s">
        <v>61</v>
      </c>
      <c r="C9" s="49" t="s">
        <v>19</v>
      </c>
      <c r="D9" s="51">
        <v>688</v>
      </c>
      <c r="E9" s="52">
        <f>ROUND(38500/1.2,2)*0.93</f>
        <v>29837.496900000002</v>
      </c>
      <c r="F9" s="12">
        <f t="shared" si="0"/>
        <v>20528197.870000001</v>
      </c>
      <c r="G9" s="12">
        <f t="shared" si="1"/>
        <v>24633837.440000001</v>
      </c>
      <c r="H9" s="130"/>
    </row>
    <row r="10" spans="1:8" x14ac:dyDescent="0.3">
      <c r="A10" s="44">
        <f t="shared" si="2"/>
        <v>7</v>
      </c>
      <c r="B10" s="10" t="s">
        <v>62</v>
      </c>
      <c r="C10" s="45" t="s">
        <v>17</v>
      </c>
      <c r="D10" s="47">
        <f>620*6</f>
        <v>3720</v>
      </c>
      <c r="E10" s="12">
        <f>ROUND(200/1.2,2)</f>
        <v>166.67</v>
      </c>
      <c r="F10" s="12">
        <f t="shared" si="0"/>
        <v>620012.4</v>
      </c>
      <c r="G10" s="12">
        <f t="shared" si="1"/>
        <v>744014.88</v>
      </c>
    </row>
    <row r="11" spans="1:8" x14ac:dyDescent="0.3">
      <c r="A11" s="44">
        <f t="shared" si="2"/>
        <v>8</v>
      </c>
      <c r="B11" s="10" t="s">
        <v>63</v>
      </c>
      <c r="C11" s="45" t="s">
        <v>17</v>
      </c>
      <c r="D11" s="47">
        <v>620</v>
      </c>
      <c r="E11" s="12">
        <f>ROUND(5841/1.2,2)</f>
        <v>4867.5</v>
      </c>
      <c r="F11" s="12">
        <f t="shared" si="0"/>
        <v>3017850</v>
      </c>
      <c r="G11" s="12">
        <f t="shared" si="1"/>
        <v>3621420</v>
      </c>
      <c r="H11" s="22"/>
    </row>
    <row r="12" spans="1:8" ht="27.6" x14ac:dyDescent="0.3">
      <c r="A12" s="44">
        <f t="shared" si="2"/>
        <v>9</v>
      </c>
      <c r="B12" s="48" t="s">
        <v>64</v>
      </c>
      <c r="C12" s="49" t="s">
        <v>19</v>
      </c>
      <c r="D12" s="49">
        <f>6*12.5/2</f>
        <v>37.5</v>
      </c>
      <c r="E12" s="52">
        <f>ROUND(33000/1.2,2)*0.93</f>
        <v>25575</v>
      </c>
      <c r="F12" s="12">
        <f t="shared" si="0"/>
        <v>959062.5</v>
      </c>
      <c r="G12" s="12">
        <f t="shared" si="1"/>
        <v>1150875</v>
      </c>
      <c r="H12" s="32"/>
    </row>
    <row r="13" spans="1:8" ht="27.6" x14ac:dyDescent="0.3">
      <c r="A13" s="53">
        <f t="shared" si="2"/>
        <v>10</v>
      </c>
      <c r="B13" s="54" t="s">
        <v>64</v>
      </c>
      <c r="C13" s="55" t="s">
        <v>19</v>
      </c>
      <c r="D13" s="55">
        <f>6*12.5/2</f>
        <v>37.5</v>
      </c>
      <c r="E13" s="19">
        <f>ROUND(33000/1.2,2)*0.93</f>
        <v>25575</v>
      </c>
      <c r="F13" s="19">
        <f t="shared" si="0"/>
        <v>959062.5</v>
      </c>
      <c r="G13" s="19">
        <f t="shared" si="1"/>
        <v>1150875</v>
      </c>
      <c r="H13" s="21" t="s">
        <v>65</v>
      </c>
    </row>
    <row r="14" spans="1:8" ht="27.6" x14ac:dyDescent="0.3">
      <c r="A14" s="53">
        <f t="shared" si="2"/>
        <v>11</v>
      </c>
      <c r="B14" s="54" t="s">
        <v>61</v>
      </c>
      <c r="C14" s="55" t="s">
        <v>19</v>
      </c>
      <c r="D14" s="56">
        <v>25</v>
      </c>
      <c r="E14" s="19">
        <f>ROUND(38500/1.2,2)*0.93</f>
        <v>29837.496900000002</v>
      </c>
      <c r="F14" s="19">
        <f t="shared" si="0"/>
        <v>745937.42</v>
      </c>
      <c r="G14" s="19">
        <f t="shared" si="1"/>
        <v>895124.9</v>
      </c>
      <c r="H14" s="21" t="s">
        <v>66</v>
      </c>
    </row>
    <row r="15" spans="1:8" x14ac:dyDescent="0.3">
      <c r="A15" s="44">
        <f>A12+1</f>
        <v>10</v>
      </c>
      <c r="B15" s="48" t="s">
        <v>67</v>
      </c>
      <c r="C15" s="45" t="s">
        <v>17</v>
      </c>
      <c r="D15" s="49">
        <f>14*6</f>
        <v>84</v>
      </c>
      <c r="E15" s="12">
        <f>ROUND(144/1.2,2)</f>
        <v>120</v>
      </c>
      <c r="F15" s="12">
        <f t="shared" si="0"/>
        <v>10080</v>
      </c>
      <c r="G15" s="12">
        <f t="shared" si="1"/>
        <v>12096</v>
      </c>
      <c r="H15" s="130"/>
    </row>
    <row r="16" spans="1:8" x14ac:dyDescent="0.3">
      <c r="A16" s="44">
        <f t="shared" si="2"/>
        <v>11</v>
      </c>
      <c r="B16" s="48" t="s">
        <v>68</v>
      </c>
      <c r="C16" s="45" t="s">
        <v>17</v>
      </c>
      <c r="D16" s="49">
        <v>14</v>
      </c>
      <c r="E16" s="12">
        <f>ROUND(5782/1.2,2)</f>
        <v>4818.33</v>
      </c>
      <c r="F16" s="12">
        <f t="shared" si="0"/>
        <v>67456.62</v>
      </c>
      <c r="G16" s="12">
        <f t="shared" si="1"/>
        <v>80947.94</v>
      </c>
      <c r="H16" s="130"/>
    </row>
    <row r="17" spans="1:8" ht="27.6" x14ac:dyDescent="0.3">
      <c r="A17" s="44">
        <f t="shared" si="2"/>
        <v>12</v>
      </c>
      <c r="B17" s="10" t="s">
        <v>69</v>
      </c>
      <c r="C17" s="45" t="s">
        <v>38</v>
      </c>
      <c r="D17" s="57">
        <v>1</v>
      </c>
      <c r="E17" s="12">
        <f>ROUND(1500000/1.2,2)</f>
        <v>1250000</v>
      </c>
      <c r="F17" s="12">
        <f t="shared" si="0"/>
        <v>1250000</v>
      </c>
      <c r="G17" s="12">
        <f t="shared" si="1"/>
        <v>1500000</v>
      </c>
    </row>
    <row r="18" spans="1:8" x14ac:dyDescent="0.3">
      <c r="A18" s="53">
        <f t="shared" si="2"/>
        <v>13</v>
      </c>
      <c r="B18" s="58" t="s">
        <v>70</v>
      </c>
      <c r="C18" s="59" t="s">
        <v>17</v>
      </c>
      <c r="D18" s="60">
        <v>31</v>
      </c>
      <c r="E18" s="19">
        <v>0</v>
      </c>
      <c r="F18" s="19">
        <f t="shared" si="0"/>
        <v>0</v>
      </c>
      <c r="G18" s="19">
        <f t="shared" si="1"/>
        <v>0</v>
      </c>
      <c r="H18" s="130" t="s">
        <v>71</v>
      </c>
    </row>
    <row r="19" spans="1:8" x14ac:dyDescent="0.3">
      <c r="A19" s="53">
        <f t="shared" si="2"/>
        <v>14</v>
      </c>
      <c r="B19" s="58" t="s">
        <v>72</v>
      </c>
      <c r="C19" s="59" t="s">
        <v>17</v>
      </c>
      <c r="D19" s="60">
        <v>89</v>
      </c>
      <c r="E19" s="19">
        <v>0</v>
      </c>
      <c r="F19" s="19">
        <f t="shared" si="0"/>
        <v>0</v>
      </c>
      <c r="G19" s="19">
        <f t="shared" si="1"/>
        <v>0</v>
      </c>
      <c r="H19" s="130"/>
    </row>
    <row r="20" spans="1:8" s="64" customFormat="1" ht="27.6" x14ac:dyDescent="0.3">
      <c r="A20" s="44">
        <f t="shared" si="2"/>
        <v>15</v>
      </c>
      <c r="B20" s="61" t="s">
        <v>73</v>
      </c>
      <c r="C20" s="62" t="s">
        <v>38</v>
      </c>
      <c r="D20" s="57">
        <v>2</v>
      </c>
      <c r="E20" s="52">
        <f>ROUND(5170000/1.2,2)*0.93</f>
        <v>4006749.9969000001</v>
      </c>
      <c r="F20" s="12">
        <f t="shared" si="0"/>
        <v>8013499.9900000002</v>
      </c>
      <c r="G20" s="12">
        <f t="shared" si="1"/>
        <v>9616199.9900000002</v>
      </c>
      <c r="H20" s="63"/>
    </row>
    <row r="21" spans="1:8" s="64" customFormat="1" ht="27.6" x14ac:dyDescent="0.3">
      <c r="A21" s="44">
        <f t="shared" si="2"/>
        <v>16</v>
      </c>
      <c r="B21" s="61" t="s">
        <v>74</v>
      </c>
      <c r="C21" s="62" t="s">
        <v>38</v>
      </c>
      <c r="D21" s="57">
        <v>1</v>
      </c>
      <c r="E21" s="52">
        <f>ROUND(5170000/1.2,2)*0.93</f>
        <v>4006749.9969000001</v>
      </c>
      <c r="F21" s="12">
        <f t="shared" si="0"/>
        <v>4006750</v>
      </c>
      <c r="G21" s="12">
        <f t="shared" si="1"/>
        <v>4808100</v>
      </c>
      <c r="H21" s="63"/>
    </row>
    <row r="22" spans="1:8" s="64" customFormat="1" ht="27.6" x14ac:dyDescent="0.3">
      <c r="A22" s="44">
        <f t="shared" si="2"/>
        <v>17</v>
      </c>
      <c r="B22" s="61" t="s">
        <v>75</v>
      </c>
      <c r="C22" s="62" t="s">
        <v>38</v>
      </c>
      <c r="D22" s="57">
        <v>2</v>
      </c>
      <c r="E22" s="52">
        <f>ROUND(4180000/1.2,2)*0.93</f>
        <v>3239499.9969000001</v>
      </c>
      <c r="F22" s="12">
        <f t="shared" si="0"/>
        <v>6478999.9900000002</v>
      </c>
      <c r="G22" s="52">
        <f t="shared" si="1"/>
        <v>7774799.9900000002</v>
      </c>
      <c r="H22" s="63"/>
    </row>
    <row r="23" spans="1:8" s="64" customFormat="1" ht="27.6" x14ac:dyDescent="0.3">
      <c r="A23" s="44">
        <f t="shared" si="2"/>
        <v>18</v>
      </c>
      <c r="B23" s="61" t="s">
        <v>76</v>
      </c>
      <c r="C23" s="62" t="s">
        <v>38</v>
      </c>
      <c r="D23" s="57">
        <v>1</v>
      </c>
      <c r="E23" s="52">
        <f>ROUND(4180000/1.2,2)*0.93</f>
        <v>3239499.9969000001</v>
      </c>
      <c r="F23" s="12">
        <f t="shared" si="0"/>
        <v>3239500</v>
      </c>
      <c r="G23" s="12">
        <f t="shared" si="1"/>
        <v>3887400</v>
      </c>
      <c r="H23" s="63"/>
    </row>
    <row r="24" spans="1:8" s="64" customFormat="1" ht="27.6" x14ac:dyDescent="0.3">
      <c r="A24" s="44">
        <f t="shared" si="2"/>
        <v>19</v>
      </c>
      <c r="B24" s="61" t="s">
        <v>77</v>
      </c>
      <c r="C24" s="62" t="s">
        <v>38</v>
      </c>
      <c r="D24" s="57">
        <v>3</v>
      </c>
      <c r="E24" s="52">
        <f>ROUND(2915000/1.2,2)*0.93</f>
        <v>2259125.0030999999</v>
      </c>
      <c r="F24" s="12">
        <f t="shared" si="0"/>
        <v>6777375.0099999998</v>
      </c>
      <c r="G24" s="12">
        <f t="shared" si="1"/>
        <v>8132850.0099999998</v>
      </c>
    </row>
    <row r="25" spans="1:8" s="64" customFormat="1" ht="19.5" customHeight="1" x14ac:dyDescent="0.3">
      <c r="A25" s="53">
        <f t="shared" si="2"/>
        <v>20</v>
      </c>
      <c r="B25" s="54" t="s">
        <v>78</v>
      </c>
      <c r="C25" s="59" t="s">
        <v>17</v>
      </c>
      <c r="D25" s="60">
        <v>9</v>
      </c>
      <c r="E25" s="19">
        <v>49990</v>
      </c>
      <c r="F25" s="19">
        <f t="shared" si="0"/>
        <v>449910</v>
      </c>
      <c r="G25" s="19">
        <f t="shared" si="1"/>
        <v>539892</v>
      </c>
      <c r="H25" s="65" t="s">
        <v>79</v>
      </c>
    </row>
    <row r="26" spans="1:8" x14ac:dyDescent="0.3">
      <c r="A26" s="44">
        <f t="shared" si="2"/>
        <v>21</v>
      </c>
      <c r="B26" s="10" t="s">
        <v>80</v>
      </c>
      <c r="C26" s="45" t="s">
        <v>17</v>
      </c>
      <c r="D26" s="57">
        <v>3</v>
      </c>
      <c r="E26" s="12">
        <f>ROUND(154000/1.2,2)</f>
        <v>128333.33</v>
      </c>
      <c r="F26" s="12">
        <f t="shared" si="0"/>
        <v>384999.99</v>
      </c>
      <c r="G26" s="12">
        <f t="shared" si="1"/>
        <v>461999.99</v>
      </c>
    </row>
    <row r="27" spans="1:8" x14ac:dyDescent="0.3">
      <c r="A27" s="44">
        <f t="shared" si="2"/>
        <v>22</v>
      </c>
      <c r="B27" s="10" t="s">
        <v>81</v>
      </c>
      <c r="C27" s="45" t="s">
        <v>17</v>
      </c>
      <c r="D27" s="57">
        <v>1</v>
      </c>
      <c r="E27" s="12">
        <f>ROUND(80000/1.2,2)</f>
        <v>66666.67</v>
      </c>
      <c r="F27" s="12">
        <f t="shared" si="0"/>
        <v>66666.67</v>
      </c>
      <c r="G27" s="12">
        <f t="shared" si="1"/>
        <v>80000</v>
      </c>
    </row>
    <row r="28" spans="1:8" x14ac:dyDescent="0.3">
      <c r="A28" s="44">
        <f t="shared" si="2"/>
        <v>23</v>
      </c>
      <c r="B28" s="10" t="s">
        <v>82</v>
      </c>
      <c r="C28" s="45" t="s">
        <v>10</v>
      </c>
      <c r="D28" s="47">
        <v>80</v>
      </c>
      <c r="E28" s="12">
        <v>1581</v>
      </c>
      <c r="F28" s="12">
        <f t="shared" si="0"/>
        <v>126480</v>
      </c>
      <c r="G28" s="12">
        <f t="shared" si="1"/>
        <v>151776</v>
      </c>
    </row>
    <row r="29" spans="1:8" x14ac:dyDescent="0.3">
      <c r="A29" s="66">
        <f t="shared" si="2"/>
        <v>24</v>
      </c>
      <c r="B29" s="48" t="s">
        <v>83</v>
      </c>
      <c r="C29" s="49" t="s">
        <v>84</v>
      </c>
      <c r="D29" s="51">
        <v>1</v>
      </c>
      <c r="E29" s="50">
        <v>330000</v>
      </c>
      <c r="F29" s="50">
        <f t="shared" si="0"/>
        <v>330000</v>
      </c>
      <c r="G29" s="50">
        <f t="shared" si="1"/>
        <v>396000</v>
      </c>
    </row>
    <row r="30" spans="1:8" s="1" customFormat="1" x14ac:dyDescent="0.3">
      <c r="A30" s="67"/>
      <c r="B30" s="131" t="s">
        <v>47</v>
      </c>
      <c r="C30" s="132"/>
      <c r="D30" s="132"/>
      <c r="E30" s="133"/>
      <c r="F30" s="35">
        <f>SUM(F4:F29)</f>
        <v>121856658.65000001</v>
      </c>
      <c r="G30" s="35">
        <f>SUM(G4:G29)</f>
        <v>146227990.36999997</v>
      </c>
    </row>
    <row r="33" spans="2:7" x14ac:dyDescent="0.3">
      <c r="B33" s="68"/>
      <c r="G33" s="69"/>
    </row>
  </sheetData>
  <mergeCells count="9">
    <mergeCell ref="H15:H16"/>
    <mergeCell ref="H18:H19"/>
    <mergeCell ref="B30:E30"/>
    <mergeCell ref="A1:A2"/>
    <mergeCell ref="B1:B2"/>
    <mergeCell ref="C1:C2"/>
    <mergeCell ref="D1:D2"/>
    <mergeCell ref="E1:G1"/>
    <mergeCell ref="H8:H9"/>
  </mergeCells>
  <pageMargins left="0.7" right="0.7" top="0.75" bottom="0.75" header="0.3" footer="0.3"/>
  <pageSetup paperSize="9" scale="6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K2:AD70"/>
  <sheetViews>
    <sheetView topLeftCell="G46" zoomScale="85" zoomScaleNormal="85" workbookViewId="0">
      <selection activeCell="Y70" sqref="Y70"/>
    </sheetView>
  </sheetViews>
  <sheetFormatPr defaultRowHeight="14.4" x14ac:dyDescent="0.3"/>
  <sheetData>
    <row r="2" spans="15:30" x14ac:dyDescent="0.3">
      <c r="AC2">
        <f>2.04+2.48</f>
        <v>4.5199999999999996</v>
      </c>
    </row>
    <row r="3" spans="15:30" x14ac:dyDescent="0.3">
      <c r="S3">
        <v>1.7</v>
      </c>
      <c r="AC3">
        <f>0.77+0.33</f>
        <v>1.1000000000000001</v>
      </c>
    </row>
    <row r="4" spans="15:30" x14ac:dyDescent="0.3">
      <c r="S4">
        <v>3.28</v>
      </c>
      <c r="AC4">
        <f>1.04+1.31</f>
        <v>2.35</v>
      </c>
    </row>
    <row r="5" spans="15:30" x14ac:dyDescent="0.3">
      <c r="S5">
        <v>3.3</v>
      </c>
      <c r="AC5">
        <f>4.92+5.36</f>
        <v>10.280000000000001</v>
      </c>
    </row>
    <row r="6" spans="15:30" x14ac:dyDescent="0.3">
      <c r="S6">
        <v>2.84</v>
      </c>
      <c r="AC6">
        <f>0.2+0.79</f>
        <v>0.99</v>
      </c>
    </row>
    <row r="8" spans="15:30" x14ac:dyDescent="0.3">
      <c r="AC8">
        <v>31.035</v>
      </c>
      <c r="AD8" t="s">
        <v>110</v>
      </c>
    </row>
    <row r="10" spans="15:30" x14ac:dyDescent="0.3">
      <c r="O10">
        <v>31.035</v>
      </c>
    </row>
    <row r="65" spans="11:25" x14ac:dyDescent="0.3">
      <c r="K65">
        <f>178.2+222.75</f>
        <v>400.95</v>
      </c>
      <c r="M65">
        <f>73.7+460.35</f>
        <v>534.05000000000007</v>
      </c>
    </row>
    <row r="70" spans="11:25" x14ac:dyDescent="0.3">
      <c r="Y70">
        <f>19.2+200+64.22</f>
        <v>283.41999999999996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FCD47-3146-4A0B-A6E1-4F3E50BDB91B}">
  <sheetPr>
    <tabColor rgb="FFFF0000"/>
  </sheetPr>
  <dimension ref="A1:J37"/>
  <sheetViews>
    <sheetView workbookViewId="0">
      <selection activeCell="J1" sqref="J1"/>
    </sheetView>
  </sheetViews>
  <sheetFormatPr defaultRowHeight="14.4" x14ac:dyDescent="0.3"/>
  <cols>
    <col min="1" max="1" width="37" style="73" customWidth="1"/>
    <col min="2" max="2" width="8.88671875" style="73"/>
    <col min="3" max="3" width="8.88671875" style="92"/>
    <col min="4" max="4" width="13.21875" style="92" bestFit="1" customWidth="1"/>
    <col min="5" max="5" width="17.6640625" style="92" customWidth="1"/>
    <col min="6" max="6" width="14.21875" style="92" bestFit="1" customWidth="1"/>
    <col min="7" max="7" width="36.88671875" style="83" customWidth="1"/>
    <col min="8" max="8" width="8.88671875" style="73"/>
    <col min="9" max="9" width="16" style="73" customWidth="1"/>
    <col min="10" max="10" width="17.21875" style="73" customWidth="1"/>
    <col min="11" max="16384" width="8.88671875" style="73"/>
  </cols>
  <sheetData>
    <row r="1" spans="1:10" s="82" customFormat="1" x14ac:dyDescent="0.3">
      <c r="A1" s="71" t="s">
        <v>107</v>
      </c>
      <c r="B1" s="71" t="s">
        <v>94</v>
      </c>
      <c r="C1" s="94" t="s">
        <v>3</v>
      </c>
      <c r="D1" s="94" t="s">
        <v>104</v>
      </c>
      <c r="E1" s="94" t="s">
        <v>108</v>
      </c>
      <c r="F1" s="95" t="s">
        <v>47</v>
      </c>
      <c r="G1" s="85" t="s">
        <v>109</v>
      </c>
      <c r="I1" s="113" t="s">
        <v>115</v>
      </c>
      <c r="J1" s="113">
        <v>20</v>
      </c>
    </row>
    <row r="2" spans="1:10" x14ac:dyDescent="0.3">
      <c r="A2" s="141" t="s">
        <v>85</v>
      </c>
      <c r="B2" s="142" t="s">
        <v>17</v>
      </c>
      <c r="C2" s="143">
        <v>1</v>
      </c>
      <c r="D2" s="143">
        <f>C2*J1</f>
        <v>20</v>
      </c>
      <c r="E2" s="143">
        <v>24000</v>
      </c>
      <c r="F2" s="144">
        <f>D2*E2</f>
        <v>480000</v>
      </c>
      <c r="G2" s="84" t="s">
        <v>106</v>
      </c>
      <c r="I2" s="113" t="s">
        <v>100</v>
      </c>
      <c r="J2" s="114">
        <f>F8+F14+F23+F29</f>
        <v>2230000</v>
      </c>
    </row>
    <row r="3" spans="1:10" x14ac:dyDescent="0.3">
      <c r="A3" s="74" t="s">
        <v>122</v>
      </c>
      <c r="B3" s="72" t="s">
        <v>17</v>
      </c>
      <c r="C3" s="96">
        <v>0</v>
      </c>
      <c r="D3" s="96">
        <v>4</v>
      </c>
      <c r="E3" s="96">
        <v>35000</v>
      </c>
      <c r="F3" s="97">
        <f t="shared" ref="F3" si="0">D3*E3</f>
        <v>140000</v>
      </c>
      <c r="G3" s="84" t="s">
        <v>123</v>
      </c>
    </row>
    <row r="4" spans="1:10" x14ac:dyDescent="0.3">
      <c r="A4" s="141" t="s">
        <v>86</v>
      </c>
      <c r="B4" s="142" t="s">
        <v>17</v>
      </c>
      <c r="C4" s="143">
        <v>1</v>
      </c>
      <c r="D4" s="143">
        <f>C4*J1</f>
        <v>20</v>
      </c>
      <c r="E4" s="143">
        <v>24000</v>
      </c>
      <c r="F4" s="144">
        <f t="shared" ref="F4:F6" si="1">D4*E4</f>
        <v>480000</v>
      </c>
      <c r="G4" s="84"/>
    </row>
    <row r="5" spans="1:10" x14ac:dyDescent="0.3">
      <c r="A5" s="141" t="s">
        <v>121</v>
      </c>
      <c r="B5" s="142" t="s">
        <v>17</v>
      </c>
      <c r="C5" s="143">
        <v>1</v>
      </c>
      <c r="D5" s="143">
        <f>C5*J1</f>
        <v>20</v>
      </c>
      <c r="E5" s="143">
        <v>15000</v>
      </c>
      <c r="F5" s="144">
        <f t="shared" ref="F5" si="2">D5*E5</f>
        <v>300000</v>
      </c>
      <c r="G5" s="84"/>
    </row>
    <row r="6" spans="1:10" x14ac:dyDescent="0.3">
      <c r="A6" s="74" t="s">
        <v>97</v>
      </c>
      <c r="B6" s="72" t="s">
        <v>17</v>
      </c>
      <c r="C6" s="96">
        <v>0</v>
      </c>
      <c r="D6" s="96">
        <f>C6*J1</f>
        <v>0</v>
      </c>
      <c r="E6" s="96">
        <v>2500</v>
      </c>
      <c r="F6" s="97">
        <f t="shared" si="1"/>
        <v>0</v>
      </c>
      <c r="G6" s="84"/>
    </row>
    <row r="7" spans="1:10" x14ac:dyDescent="0.3">
      <c r="A7" s="74" t="s">
        <v>111</v>
      </c>
      <c r="B7" s="72" t="s">
        <v>17</v>
      </c>
      <c r="C7" s="96">
        <v>0</v>
      </c>
      <c r="D7" s="96">
        <f>C7*J1</f>
        <v>0</v>
      </c>
      <c r="E7" s="96">
        <v>0</v>
      </c>
      <c r="F7" s="97">
        <f t="shared" ref="F7" si="3">D7*E7</f>
        <v>0</v>
      </c>
      <c r="G7" s="84" t="s">
        <v>113</v>
      </c>
    </row>
    <row r="8" spans="1:10" s="91" customFormat="1" x14ac:dyDescent="0.3">
      <c r="A8" s="89"/>
      <c r="B8" s="90"/>
      <c r="C8" s="98"/>
      <c r="D8" s="98"/>
      <c r="E8" s="99" t="s">
        <v>105</v>
      </c>
      <c r="F8" s="100">
        <f>SUM(F2:F6)</f>
        <v>1400000</v>
      </c>
      <c r="G8" s="93"/>
    </row>
    <row r="9" spans="1:10" x14ac:dyDescent="0.3">
      <c r="A9" s="75"/>
      <c r="B9" s="75"/>
      <c r="C9" s="101"/>
      <c r="D9" s="101"/>
      <c r="E9" s="101"/>
      <c r="F9" s="102"/>
      <c r="G9" s="84"/>
    </row>
    <row r="10" spans="1:10" x14ac:dyDescent="0.3">
      <c r="A10" s="76" t="s">
        <v>112</v>
      </c>
      <c r="B10" s="77"/>
      <c r="C10" s="103"/>
      <c r="D10" s="103"/>
      <c r="E10" s="103"/>
      <c r="F10" s="104"/>
      <c r="G10" s="84"/>
    </row>
    <row r="11" spans="1:10" x14ac:dyDescent="0.3">
      <c r="A11" s="78" t="s">
        <v>87</v>
      </c>
      <c r="B11" s="77" t="s">
        <v>95</v>
      </c>
      <c r="C11" s="103">
        <v>9</v>
      </c>
      <c r="D11" s="103">
        <f>C11*J1</f>
        <v>180</v>
      </c>
      <c r="E11" s="103">
        <v>3500</v>
      </c>
      <c r="F11" s="104">
        <f>D11*E11</f>
        <v>630000</v>
      </c>
      <c r="G11" s="84"/>
    </row>
    <row r="12" spans="1:10" x14ac:dyDescent="0.3">
      <c r="A12" s="78" t="s">
        <v>88</v>
      </c>
      <c r="B12" s="77" t="s">
        <v>95</v>
      </c>
      <c r="C12" s="103">
        <v>1</v>
      </c>
      <c r="D12" s="103">
        <f>C12*J1</f>
        <v>20</v>
      </c>
      <c r="E12" s="103">
        <v>5000</v>
      </c>
      <c r="F12" s="104">
        <f t="shared" ref="F12:F13" si="4">D12*E12</f>
        <v>100000</v>
      </c>
      <c r="G12" s="84"/>
    </row>
    <row r="13" spans="1:10" x14ac:dyDescent="0.3">
      <c r="A13" s="78" t="s">
        <v>89</v>
      </c>
      <c r="B13" s="77" t="s">
        <v>95</v>
      </c>
      <c r="C13" s="103">
        <v>1</v>
      </c>
      <c r="D13" s="103">
        <f>C13*J1</f>
        <v>20</v>
      </c>
      <c r="E13" s="103">
        <v>5000</v>
      </c>
      <c r="F13" s="104">
        <f t="shared" si="4"/>
        <v>100000</v>
      </c>
      <c r="G13" s="84"/>
    </row>
    <row r="14" spans="1:10" x14ac:dyDescent="0.3">
      <c r="A14" s="78"/>
      <c r="B14" s="77"/>
      <c r="C14" s="103"/>
      <c r="D14" s="103"/>
      <c r="E14" s="105" t="s">
        <v>105</v>
      </c>
      <c r="F14" s="106">
        <f>SUM(F11:F13)</f>
        <v>830000</v>
      </c>
      <c r="G14" s="84"/>
    </row>
    <row r="15" spans="1:10" x14ac:dyDescent="0.3">
      <c r="A15" s="75"/>
      <c r="B15" s="75"/>
      <c r="C15" s="101"/>
      <c r="D15" s="101"/>
      <c r="E15" s="101"/>
      <c r="F15" s="102"/>
      <c r="G15" s="84"/>
    </row>
    <row r="16" spans="1:10" x14ac:dyDescent="0.3">
      <c r="A16" s="86" t="s">
        <v>99</v>
      </c>
      <c r="B16" s="87"/>
      <c r="C16" s="107"/>
      <c r="D16" s="107"/>
      <c r="E16" s="107"/>
      <c r="F16" s="108"/>
      <c r="G16" s="84"/>
    </row>
    <row r="17" spans="1:7" ht="43.2" x14ac:dyDescent="0.3">
      <c r="A17" s="88" t="s">
        <v>75</v>
      </c>
      <c r="B17" s="87" t="s">
        <v>98</v>
      </c>
      <c r="C17" s="107">
        <v>1</v>
      </c>
      <c r="D17" s="107"/>
      <c r="E17" s="107">
        <f>'мат 417 путь'!E22*1.2</f>
        <v>3887399.9962800001</v>
      </c>
      <c r="F17" s="108">
        <f>C17*E17</f>
        <v>3887399.9962800001</v>
      </c>
      <c r="G17" s="84"/>
    </row>
    <row r="18" spans="1:7" ht="43.2" x14ac:dyDescent="0.3">
      <c r="A18" s="88" t="s">
        <v>76</v>
      </c>
      <c r="B18" s="87" t="s">
        <v>98</v>
      </c>
      <c r="C18" s="107">
        <v>1</v>
      </c>
      <c r="D18" s="107"/>
      <c r="E18" s="107">
        <f>'мат 417 путь'!E23*1.2</f>
        <v>3887399.9962800001</v>
      </c>
      <c r="F18" s="108">
        <f t="shared" ref="F18:F22" si="5">C18*E18</f>
        <v>3887399.9962800001</v>
      </c>
      <c r="G18" s="84"/>
    </row>
    <row r="19" spans="1:7" x14ac:dyDescent="0.3">
      <c r="A19" s="88" t="s">
        <v>117</v>
      </c>
      <c r="B19" s="87" t="s">
        <v>10</v>
      </c>
      <c r="C19" s="107">
        <f>C34</f>
        <v>68.277000000000001</v>
      </c>
      <c r="D19" s="107"/>
      <c r="E19" s="107">
        <f>'мат 417 путь'!E4*1.2</f>
        <v>1299.9959999999999</v>
      </c>
      <c r="F19" s="108">
        <f t="shared" si="5"/>
        <v>88759.826891999997</v>
      </c>
      <c r="G19" s="84"/>
    </row>
    <row r="20" spans="1:7" x14ac:dyDescent="0.3">
      <c r="A20" s="88" t="s">
        <v>118</v>
      </c>
      <c r="B20" s="87" t="s">
        <v>10</v>
      </c>
      <c r="C20" s="107">
        <f>C35</f>
        <v>280.5564</v>
      </c>
      <c r="D20" s="107"/>
      <c r="E20" s="107">
        <f>'мат 417 путь'!E5*1.2</f>
        <v>5300.0039999999999</v>
      </c>
      <c r="F20" s="108">
        <f t="shared" si="5"/>
        <v>1486950.0422256</v>
      </c>
      <c r="G20" s="84"/>
    </row>
    <row r="21" spans="1:7" x14ac:dyDescent="0.3">
      <c r="A21" s="88" t="s">
        <v>119</v>
      </c>
      <c r="B21" s="87" t="s">
        <v>10</v>
      </c>
      <c r="C21" s="107">
        <f>'из рд'!M65</f>
        <v>534.05000000000007</v>
      </c>
      <c r="D21" s="107"/>
      <c r="E21" s="107">
        <f>E19</f>
        <v>1299.9959999999999</v>
      </c>
      <c r="F21" s="108">
        <f t="shared" si="5"/>
        <v>694262.86380000005</v>
      </c>
      <c r="G21" s="84"/>
    </row>
    <row r="22" spans="1:7" x14ac:dyDescent="0.3">
      <c r="A22" s="88" t="s">
        <v>114</v>
      </c>
      <c r="B22" s="87" t="s">
        <v>10</v>
      </c>
      <c r="C22" s="107">
        <f>'из рд'!K65</f>
        <v>400.95</v>
      </c>
      <c r="D22" s="107"/>
      <c r="E22" s="107">
        <f>E20</f>
        <v>5300.0039999999999</v>
      </c>
      <c r="F22" s="108">
        <f t="shared" si="5"/>
        <v>2125036.6037999997</v>
      </c>
      <c r="G22" s="84"/>
    </row>
    <row r="23" spans="1:7" x14ac:dyDescent="0.3">
      <c r="A23" s="87"/>
      <c r="B23" s="87"/>
      <c r="C23" s="107"/>
      <c r="D23" s="107"/>
      <c r="E23" s="111" t="s">
        <v>105</v>
      </c>
      <c r="F23" s="112">
        <f>SUM(F17:F22)*0</f>
        <v>0</v>
      </c>
      <c r="G23" s="84"/>
    </row>
    <row r="24" spans="1:7" x14ac:dyDescent="0.3">
      <c r="A24" s="75"/>
      <c r="B24" s="75"/>
      <c r="C24" s="101"/>
      <c r="D24" s="101"/>
      <c r="E24" s="101"/>
      <c r="F24" s="102"/>
      <c r="G24" s="84"/>
    </row>
    <row r="25" spans="1:7" x14ac:dyDescent="0.3">
      <c r="A25" s="79" t="s">
        <v>124</v>
      </c>
      <c r="B25" s="80"/>
      <c r="C25" s="109"/>
      <c r="D25" s="109"/>
      <c r="E25" s="109"/>
      <c r="F25" s="110"/>
      <c r="G25" s="84"/>
    </row>
    <row r="26" spans="1:7" x14ac:dyDescent="0.3">
      <c r="A26" s="81" t="s">
        <v>116</v>
      </c>
      <c r="B26" s="80" t="s">
        <v>127</v>
      </c>
      <c r="C26" s="109">
        <v>5</v>
      </c>
      <c r="D26" s="109"/>
      <c r="E26" s="109"/>
      <c r="F26" s="110">
        <f>(F8+F14+F23)*C26/100</f>
        <v>111500</v>
      </c>
      <c r="G26" s="84"/>
    </row>
    <row r="27" spans="1:7" x14ac:dyDescent="0.3">
      <c r="A27" s="81" t="s">
        <v>120</v>
      </c>
      <c r="B27" s="80" t="s">
        <v>126</v>
      </c>
      <c r="C27" s="109">
        <v>5</v>
      </c>
      <c r="D27" s="109"/>
      <c r="E27" s="109"/>
      <c r="F27" s="110">
        <f>F22*C27/100</f>
        <v>106251.83018999998</v>
      </c>
      <c r="G27" s="84"/>
    </row>
    <row r="28" spans="1:7" x14ac:dyDescent="0.3">
      <c r="A28" s="81" t="s">
        <v>128</v>
      </c>
      <c r="B28" s="80" t="s">
        <v>125</v>
      </c>
      <c r="C28" s="109">
        <v>0</v>
      </c>
      <c r="D28" s="109"/>
      <c r="E28" s="109"/>
      <c r="F28" s="110">
        <f>F23*C28/100</f>
        <v>0</v>
      </c>
      <c r="G28" s="84"/>
    </row>
    <row r="29" spans="1:7" x14ac:dyDescent="0.3">
      <c r="A29" s="81"/>
      <c r="B29" s="80"/>
      <c r="C29" s="109"/>
      <c r="D29" s="109"/>
      <c r="E29" s="121" t="s">
        <v>105</v>
      </c>
      <c r="F29" s="122">
        <f>SUM(F26:F28)*0</f>
        <v>0</v>
      </c>
      <c r="G29" s="84"/>
    </row>
    <row r="30" spans="1:7" x14ac:dyDescent="0.3">
      <c r="A30" s="75"/>
      <c r="B30" s="75"/>
      <c r="C30" s="101"/>
      <c r="D30" s="101"/>
      <c r="E30" s="101"/>
      <c r="F30" s="102"/>
      <c r="G30" s="84"/>
    </row>
    <row r="31" spans="1:7" s="120" customFormat="1" x14ac:dyDescent="0.3">
      <c r="A31" s="115" t="s">
        <v>90</v>
      </c>
      <c r="B31" s="116"/>
      <c r="C31" s="117"/>
      <c r="D31" s="117"/>
      <c r="E31" s="117"/>
      <c r="F31" s="118"/>
      <c r="G31" s="119"/>
    </row>
    <row r="32" spans="1:7" s="120" customFormat="1" x14ac:dyDescent="0.3">
      <c r="A32" s="119" t="s">
        <v>96</v>
      </c>
      <c r="B32" s="116" t="s">
        <v>19</v>
      </c>
      <c r="C32" s="117">
        <f>'из рд'!O10*2</f>
        <v>62.07</v>
      </c>
      <c r="D32" s="117"/>
      <c r="E32" s="117"/>
      <c r="F32" s="118"/>
      <c r="G32" s="119"/>
    </row>
    <row r="33" spans="1:7" s="120" customFormat="1" x14ac:dyDescent="0.3">
      <c r="A33" s="119" t="s">
        <v>91</v>
      </c>
      <c r="B33" s="116" t="s">
        <v>10</v>
      </c>
      <c r="C33" s="117">
        <f>'из рд'!AC4*'из рд'!AC8*2</f>
        <v>145.86449999999999</v>
      </c>
      <c r="D33" s="117"/>
      <c r="E33" s="117"/>
      <c r="F33" s="118"/>
      <c r="G33" s="119"/>
    </row>
    <row r="34" spans="1:7" s="120" customFormat="1" x14ac:dyDescent="0.3">
      <c r="A34" s="119" t="s">
        <v>92</v>
      </c>
      <c r="B34" s="116" t="s">
        <v>10</v>
      </c>
      <c r="C34" s="117">
        <f>'из рд'!AC3*'из рд'!AC8*2</f>
        <v>68.277000000000001</v>
      </c>
      <c r="D34" s="117"/>
      <c r="E34" s="117"/>
      <c r="F34" s="118"/>
      <c r="G34" s="119"/>
    </row>
    <row r="35" spans="1:7" s="120" customFormat="1" x14ac:dyDescent="0.3">
      <c r="A35" s="119" t="s">
        <v>93</v>
      </c>
      <c r="B35" s="116" t="s">
        <v>10</v>
      </c>
      <c r="C35" s="117">
        <f>'из рд'!AC2*'из рд'!AC8*2</f>
        <v>280.5564</v>
      </c>
      <c r="D35" s="117"/>
      <c r="E35" s="117"/>
      <c r="F35" s="118"/>
      <c r="G35" s="119"/>
    </row>
    <row r="36" spans="1:7" s="120" customFormat="1" ht="28.8" x14ac:dyDescent="0.3">
      <c r="A36" s="119" t="s">
        <v>102</v>
      </c>
      <c r="B36" s="116" t="s">
        <v>103</v>
      </c>
      <c r="C36" s="117">
        <v>2</v>
      </c>
      <c r="D36" s="117"/>
      <c r="E36" s="117"/>
      <c r="F36" s="118"/>
      <c r="G36" s="119"/>
    </row>
    <row r="37" spans="1:7" s="120" customFormat="1" x14ac:dyDescent="0.3">
      <c r="A37" s="119" t="s">
        <v>101</v>
      </c>
      <c r="B37" s="116" t="s">
        <v>19</v>
      </c>
      <c r="C37" s="117">
        <f>'из рд'!Y70</f>
        <v>283.41999999999996</v>
      </c>
      <c r="D37" s="117"/>
      <c r="E37" s="117"/>
      <c r="F37" s="118"/>
      <c r="G37" s="1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ССТ (2)</vt:lpstr>
      <vt:lpstr>СМР 417 путь</vt:lpstr>
      <vt:lpstr>мат 417 путь</vt:lpstr>
      <vt:lpstr>из рд</vt:lpstr>
      <vt:lpstr>ССТ</vt:lpstr>
      <vt:lpstr>'мат 417 путь'!Область_печати</vt:lpstr>
      <vt:lpstr>'СМР 417 путь'!Область_печати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2023-10-02T07:59:30Z</dcterms:modified>
</cp:coreProperties>
</file>