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15C805CF-646A-47CB-BE77-76D60FD99AD3}" xr6:coauthVersionLast="43" xr6:coauthVersionMax="43" xr10:uidLastSave="{00000000-0000-0000-0000-000000000000}"/>
  <bookViews>
    <workbookView xWindow="28680" yWindow="1530" windowWidth="29040" windowHeight="15840" xr2:uid="{85BA5F29-E7E2-40DB-902F-CE55E18308EA}"/>
  </bookViews>
  <sheets>
    <sheet name="НВК3 В1-2-В1-2А" sheetId="1" r:id="rId1"/>
  </sheets>
  <definedNames>
    <definedName name="_xlnm.Print_Area" localSheetId="0">'НВК3 В1-2-В1-2А'!$A$1:$L$101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E34" i="1"/>
  <c r="E31" i="1"/>
  <c r="J101" i="1" l="1"/>
  <c r="I99" i="1" l="1"/>
  <c r="K99" i="1" s="1"/>
  <c r="F98" i="1"/>
  <c r="G98" i="1" s="1"/>
  <c r="L98" i="1" s="1"/>
  <c r="I97" i="1"/>
  <c r="F96" i="1"/>
  <c r="K96" i="1" s="1"/>
  <c r="D95" i="1"/>
  <c r="I95" i="1" s="1"/>
  <c r="D94" i="1"/>
  <c r="I94" i="1" s="1"/>
  <c r="D93" i="1"/>
  <c r="I93" i="1" s="1"/>
  <c r="I92" i="1"/>
  <c r="J92" i="1" s="1"/>
  <c r="L92" i="1" s="1"/>
  <c r="F91" i="1"/>
  <c r="K91" i="1" s="1"/>
  <c r="I90" i="1"/>
  <c r="K90" i="1" s="1"/>
  <c r="F89" i="1"/>
  <c r="K89" i="1" s="1"/>
  <c r="I87" i="1"/>
  <c r="J87" i="1" s="1"/>
  <c r="L87" i="1" s="1"/>
  <c r="D87" i="1"/>
  <c r="D86" i="1"/>
  <c r="I86" i="1" s="1"/>
  <c r="I85" i="1"/>
  <c r="K85" i="1" s="1"/>
  <c r="I84" i="1"/>
  <c r="I83" i="1"/>
  <c r="K83" i="1" s="1"/>
  <c r="I82" i="1"/>
  <c r="J82" i="1" s="1"/>
  <c r="L82" i="1" s="1"/>
  <c r="I81" i="1"/>
  <c r="K81" i="1" s="1"/>
  <c r="D80" i="1"/>
  <c r="F80" i="1" s="1"/>
  <c r="I78" i="1"/>
  <c r="K78" i="1" s="1"/>
  <c r="F77" i="1"/>
  <c r="K77" i="1" s="1"/>
  <c r="I76" i="1"/>
  <c r="K76" i="1" s="1"/>
  <c r="D76" i="1"/>
  <c r="F75" i="1"/>
  <c r="K75" i="1" s="1"/>
  <c r="F74" i="1"/>
  <c r="K74" i="1" s="1"/>
  <c r="I73" i="1"/>
  <c r="F72" i="1"/>
  <c r="G72" i="1" s="1"/>
  <c r="L72" i="1" s="1"/>
  <c r="I71" i="1"/>
  <c r="J71" i="1" s="1"/>
  <c r="L71" i="1" s="1"/>
  <c r="D71" i="1"/>
  <c r="D70" i="1"/>
  <c r="I70" i="1" s="1"/>
  <c r="I69" i="1"/>
  <c r="K69" i="1" s="1"/>
  <c r="D69" i="1"/>
  <c r="I68" i="1"/>
  <c r="K68" i="1" s="1"/>
  <c r="F67" i="1"/>
  <c r="K67" i="1" s="1"/>
  <c r="I66" i="1"/>
  <c r="J66" i="1" s="1"/>
  <c r="L66" i="1" s="1"/>
  <c r="F65" i="1"/>
  <c r="K65" i="1" s="1"/>
  <c r="I64" i="1"/>
  <c r="F63" i="1"/>
  <c r="K63" i="1" s="1"/>
  <c r="I62" i="1"/>
  <c r="K62" i="1" s="1"/>
  <c r="F61" i="1"/>
  <c r="K61" i="1" s="1"/>
  <c r="I60" i="1"/>
  <c r="K60" i="1" s="1"/>
  <c r="D60" i="1"/>
  <c r="D59" i="1"/>
  <c r="I59" i="1" s="1"/>
  <c r="D58" i="1"/>
  <c r="I58" i="1" s="1"/>
  <c r="J57" i="1"/>
  <c r="L57" i="1" s="1"/>
  <c r="I57" i="1"/>
  <c r="K57" i="1" s="1"/>
  <c r="F56" i="1"/>
  <c r="K56" i="1" s="1"/>
  <c r="I55" i="1"/>
  <c r="K55" i="1" s="1"/>
  <c r="F54" i="1"/>
  <c r="K54" i="1" s="1"/>
  <c r="I53" i="1"/>
  <c r="K53" i="1" s="1"/>
  <c r="F52" i="1"/>
  <c r="K52" i="1" s="1"/>
  <c r="I50" i="1"/>
  <c r="K50" i="1" s="1"/>
  <c r="D50" i="1"/>
  <c r="D49" i="1"/>
  <c r="I49" i="1" s="1"/>
  <c r="I48" i="1"/>
  <c r="K48" i="1" s="1"/>
  <c r="K47" i="1"/>
  <c r="I47" i="1"/>
  <c r="J47" i="1" s="1"/>
  <c r="L47" i="1" s="1"/>
  <c r="K46" i="1"/>
  <c r="J46" i="1"/>
  <c r="L46" i="1" s="1"/>
  <c r="I46" i="1"/>
  <c r="I45" i="1"/>
  <c r="K45" i="1" s="1"/>
  <c r="I44" i="1"/>
  <c r="J44" i="1" s="1"/>
  <c r="L44" i="1" s="1"/>
  <c r="D43" i="1"/>
  <c r="F43" i="1" s="1"/>
  <c r="D41" i="1"/>
  <c r="I41" i="1" s="1"/>
  <c r="F40" i="1"/>
  <c r="K40" i="1" s="1"/>
  <c r="D39" i="1"/>
  <c r="I39" i="1" s="1"/>
  <c r="F38" i="1"/>
  <c r="K38" i="1" s="1"/>
  <c r="F37" i="1"/>
  <c r="K37" i="1" s="1"/>
  <c r="I36" i="1"/>
  <c r="J36" i="1" s="1"/>
  <c r="L36" i="1" s="1"/>
  <c r="I35" i="1"/>
  <c r="K35" i="1" s="1"/>
  <c r="D35" i="1"/>
  <c r="F34" i="1"/>
  <c r="D33" i="1"/>
  <c r="I33" i="1" s="1"/>
  <c r="F32" i="1"/>
  <c r="K32" i="1" s="1"/>
  <c r="F31" i="1"/>
  <c r="F30" i="1"/>
  <c r="K30" i="1" s="1"/>
  <c r="F28" i="1"/>
  <c r="G28" i="1" s="1"/>
  <c r="L28" i="1" s="1"/>
  <c r="F27" i="1"/>
  <c r="G27" i="1" s="1"/>
  <c r="L27" i="1" s="1"/>
  <c r="F26" i="1"/>
  <c r="K26" i="1" s="1"/>
  <c r="D25" i="1"/>
  <c r="I25" i="1" s="1"/>
  <c r="F24" i="1"/>
  <c r="K24" i="1" s="1"/>
  <c r="D23" i="1"/>
  <c r="I23" i="1" s="1"/>
  <c r="F22" i="1"/>
  <c r="G22" i="1" s="1"/>
  <c r="L22" i="1" s="1"/>
  <c r="F21" i="1"/>
  <c r="K21" i="1" s="1"/>
  <c r="F20" i="1"/>
  <c r="F19" i="1"/>
  <c r="K19" i="1" s="1"/>
  <c r="F18" i="1"/>
  <c r="K18" i="1" s="1"/>
  <c r="F17" i="1"/>
  <c r="G17" i="1" s="1"/>
  <c r="L17" i="1" s="1"/>
  <c r="I16" i="1"/>
  <c r="J16" i="1" s="1"/>
  <c r="L16" i="1" s="1"/>
  <c r="D16" i="1"/>
  <c r="F15" i="1"/>
  <c r="K15" i="1" s="1"/>
  <c r="I14" i="1"/>
  <c r="K14" i="1" s="1"/>
  <c r="D14" i="1"/>
  <c r="F13" i="1"/>
  <c r="G13" i="1" s="1"/>
  <c r="L13" i="1" s="1"/>
  <c r="F12" i="1"/>
  <c r="K12" i="1" s="1"/>
  <c r="F11" i="1"/>
  <c r="G11" i="1" s="1"/>
  <c r="L11" i="1" s="1"/>
  <c r="F9" i="1"/>
  <c r="G9" i="1" s="1"/>
  <c r="L9" i="1" s="1"/>
  <c r="D9" i="1"/>
  <c r="A9" i="1"/>
  <c r="A11" i="1" s="1"/>
  <c r="A12" i="1" s="1"/>
  <c r="A13" i="1" s="1"/>
  <c r="A15" i="1" s="1"/>
  <c r="A17" i="1" s="1"/>
  <c r="A18" i="1" s="1"/>
  <c r="A19" i="1" s="1"/>
  <c r="A20" i="1" s="1"/>
  <c r="A21" i="1" s="1"/>
  <c r="A22" i="1" s="1"/>
  <c r="A24" i="1" s="1"/>
  <c r="A26" i="1" s="1"/>
  <c r="A27" i="1" s="1"/>
  <c r="A28" i="1" s="1"/>
  <c r="A30" i="1" s="1"/>
  <c r="A31" i="1" s="1"/>
  <c r="A32" i="1" s="1"/>
  <c r="A34" i="1" s="1"/>
  <c r="A37" i="1" s="1"/>
  <c r="A38" i="1" s="1"/>
  <c r="A40" i="1" s="1"/>
  <c r="A43" i="1" s="1"/>
  <c r="A52" i="1" s="1"/>
  <c r="A54" i="1" s="1"/>
  <c r="A56" i="1" s="1"/>
  <c r="A61" i="1" s="1"/>
  <c r="A63" i="1" s="1"/>
  <c r="A65" i="1" s="1"/>
  <c r="A67" i="1" s="1"/>
  <c r="A72" i="1" s="1"/>
  <c r="A74" i="1" s="1"/>
  <c r="A75" i="1" s="1"/>
  <c r="A77" i="1" s="1"/>
  <c r="A80" i="1" s="1"/>
  <c r="A89" i="1" s="1"/>
  <c r="A91" i="1" s="1"/>
  <c r="A96" i="1" s="1"/>
  <c r="A98" i="1" s="1"/>
  <c r="F8" i="1"/>
  <c r="G8" i="1" s="1"/>
  <c r="G67" i="1" l="1"/>
  <c r="L67" i="1" s="1"/>
  <c r="K27" i="1"/>
  <c r="G56" i="1"/>
  <c r="L56" i="1" s="1"/>
  <c r="K11" i="1"/>
  <c r="K9" i="1"/>
  <c r="K44" i="1"/>
  <c r="J62" i="1"/>
  <c r="L62" i="1" s="1"/>
  <c r="K66" i="1"/>
  <c r="J78" i="1"/>
  <c r="L78" i="1" s="1"/>
  <c r="K82" i="1"/>
  <c r="K16" i="1"/>
  <c r="J53" i="1"/>
  <c r="L53" i="1" s="1"/>
  <c r="J83" i="1"/>
  <c r="L83" i="1" s="1"/>
  <c r="K92" i="1"/>
  <c r="K36" i="1"/>
  <c r="K71" i="1"/>
  <c r="K87" i="1"/>
  <c r="G15" i="1"/>
  <c r="L15" i="1" s="1"/>
  <c r="K72" i="1"/>
  <c r="K17" i="1"/>
  <c r="G21" i="1"/>
  <c r="L21" i="1" s="1"/>
  <c r="K28" i="1"/>
  <c r="G77" i="1"/>
  <c r="L77" i="1" s="1"/>
  <c r="G61" i="1"/>
  <c r="L61" i="1" s="1"/>
  <c r="G89" i="1"/>
  <c r="L89" i="1" s="1"/>
  <c r="K98" i="1"/>
  <c r="G30" i="1"/>
  <c r="L30" i="1" s="1"/>
  <c r="G37" i="1"/>
  <c r="L37" i="1" s="1"/>
  <c r="G52" i="1"/>
  <c r="L52" i="1" s="1"/>
  <c r="K8" i="1"/>
  <c r="K22" i="1"/>
  <c r="J70" i="1"/>
  <c r="L70" i="1" s="1"/>
  <c r="K70" i="1"/>
  <c r="K80" i="1"/>
  <c r="G80" i="1"/>
  <c r="L80" i="1" s="1"/>
  <c r="K95" i="1"/>
  <c r="J95" i="1"/>
  <c r="L95" i="1" s="1"/>
  <c r="K73" i="1"/>
  <c r="J73" i="1"/>
  <c r="L73" i="1" s="1"/>
  <c r="J97" i="1"/>
  <c r="L97" i="1" s="1"/>
  <c r="K97" i="1"/>
  <c r="K31" i="1"/>
  <c r="G31" i="1"/>
  <c r="L31" i="1" s="1"/>
  <c r="K25" i="1"/>
  <c r="J25" i="1"/>
  <c r="L25" i="1" s="1"/>
  <c r="K39" i="1"/>
  <c r="J39" i="1"/>
  <c r="L39" i="1" s="1"/>
  <c r="K33" i="1"/>
  <c r="J33" i="1"/>
  <c r="L33" i="1" s="1"/>
  <c r="L8" i="1"/>
  <c r="K34" i="1"/>
  <c r="G34" i="1"/>
  <c r="L34" i="1" s="1"/>
  <c r="J41" i="1"/>
  <c r="L41" i="1" s="1"/>
  <c r="K41" i="1"/>
  <c r="K64" i="1"/>
  <c r="J64" i="1"/>
  <c r="L64" i="1" s="1"/>
  <c r="K84" i="1"/>
  <c r="J84" i="1"/>
  <c r="L84" i="1" s="1"/>
  <c r="G43" i="1"/>
  <c r="L43" i="1" s="1"/>
  <c r="K43" i="1"/>
  <c r="K58" i="1"/>
  <c r="J58" i="1"/>
  <c r="L58" i="1" s="1"/>
  <c r="K93" i="1"/>
  <c r="J93" i="1"/>
  <c r="L93" i="1" s="1"/>
  <c r="F101" i="1"/>
  <c r="G101" i="1" s="1"/>
  <c r="K23" i="1"/>
  <c r="J23" i="1"/>
  <c r="L23" i="1" s="1"/>
  <c r="K49" i="1"/>
  <c r="J49" i="1"/>
  <c r="L49" i="1" s="1"/>
  <c r="K59" i="1"/>
  <c r="J59" i="1"/>
  <c r="L59" i="1" s="1"/>
  <c r="J86" i="1"/>
  <c r="L86" i="1" s="1"/>
  <c r="K86" i="1"/>
  <c r="K94" i="1"/>
  <c r="J94" i="1"/>
  <c r="L94" i="1" s="1"/>
  <c r="J14" i="1"/>
  <c r="G26" i="1"/>
  <c r="L26" i="1" s="1"/>
  <c r="J35" i="1"/>
  <c r="L35" i="1" s="1"/>
  <c r="G40" i="1"/>
  <c r="L40" i="1" s="1"/>
  <c r="J50" i="1"/>
  <c r="L50" i="1" s="1"/>
  <c r="J55" i="1"/>
  <c r="L55" i="1" s="1"/>
  <c r="J60" i="1"/>
  <c r="L60" i="1" s="1"/>
  <c r="G65" i="1"/>
  <c r="L65" i="1" s="1"/>
  <c r="J69" i="1"/>
  <c r="L69" i="1" s="1"/>
  <c r="J76" i="1"/>
  <c r="L76" i="1" s="1"/>
  <c r="J85" i="1"/>
  <c r="L85" i="1" s="1"/>
  <c r="G91" i="1"/>
  <c r="L91" i="1" s="1"/>
  <c r="G96" i="1"/>
  <c r="L96" i="1" s="1"/>
  <c r="J45" i="1"/>
  <c r="L45" i="1" s="1"/>
  <c r="J68" i="1"/>
  <c r="L68" i="1" s="1"/>
  <c r="G75" i="1"/>
  <c r="L75" i="1" s="1"/>
  <c r="J81" i="1"/>
  <c r="L81" i="1" s="1"/>
  <c r="J90" i="1"/>
  <c r="L90" i="1" s="1"/>
  <c r="I101" i="1"/>
  <c r="G20" i="1"/>
  <c r="L20" i="1" s="1"/>
  <c r="G19" i="1"/>
  <c r="L19" i="1" s="1"/>
  <c r="K20" i="1"/>
  <c r="G12" i="1"/>
  <c r="L12" i="1" s="1"/>
  <c r="K13" i="1"/>
  <c r="G18" i="1"/>
  <c r="L18" i="1" s="1"/>
  <c r="G24" i="1"/>
  <c r="L24" i="1" s="1"/>
  <c r="G32" i="1"/>
  <c r="L32" i="1" s="1"/>
  <c r="G38" i="1"/>
  <c r="L38" i="1" s="1"/>
  <c r="J48" i="1"/>
  <c r="L48" i="1" s="1"/>
  <c r="G54" i="1"/>
  <c r="L54" i="1" s="1"/>
  <c r="G63" i="1"/>
  <c r="L63" i="1" s="1"/>
  <c r="G74" i="1"/>
  <c r="L74" i="1" s="1"/>
  <c r="J99" i="1"/>
  <c r="L99" i="1" s="1"/>
  <c r="K101" i="1" l="1"/>
  <c r="L101" i="1" s="1"/>
  <c r="L14" i="1"/>
</calcChain>
</file>

<file path=xl/sharedStrings.xml><?xml version="1.0" encoding="utf-8"?>
<sst xmlns="http://schemas.openxmlformats.org/spreadsheetml/2006/main" count="259" uniqueCount="157">
  <si>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</si>
  <si>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</si>
  <si>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</si>
  <si>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</si>
  <si>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</si>
  <si>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</si>
  <si>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</si>
  <si>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</si>
  <si>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</si>
  <si>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</si>
  <si>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</si>
  <si>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</si>
  <si>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</si>
  <si>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131-23-НВК3. Переустройство хозпитьевого водопровода (В1) на участке В1-2 – В1-2А</t>
  </si>
  <si>
    <t>Разборка дорожных покрытий</t>
  </si>
  <si>
    <t>Разборка дорожных ж/б плит  (3м*1,75м*0,17м)</t>
  </si>
  <si>
    <t>шт.</t>
  </si>
  <si>
    <t>сметная стоимость</t>
  </si>
  <si>
    <t>Погрузка демонтированных плит на строительной площадке</t>
  </si>
  <si>
    <t>м3</t>
  </si>
  <si>
    <t>стоимости из 217 пути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</si>
  <si>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</si>
  <si>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</si>
  <si>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</si>
  <si>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Устройство песчаного основания h=0,1м под трубы вручную</t>
  </si>
  <si>
    <t>5.1</t>
  </si>
  <si>
    <t>Песок природный  средний</t>
  </si>
  <si>
    <t>Обратная засыпка песком вручную h=0,3 м</t>
  </si>
  <si>
    <t>6.1</t>
  </si>
  <si>
    <t xml:space="preserve">Обратная засыпка грунта бульдозером </t>
  </si>
  <si>
    <t>Уплотнение грунта пневматическими трамбовками</t>
  </si>
  <si>
    <t>Планировка площадей: механизированным способом</t>
  </si>
  <si>
    <t>м2</t>
  </si>
  <si>
    <t xml:space="preserve">Разработка грунта в котловане под колодцы механизированным способом </t>
  </si>
  <si>
    <t xml:space="preserve">Доработка грунта дна колодцев вручную </t>
  </si>
  <si>
    <t>Устройство щебеночного основания под колодец h=0,1м</t>
  </si>
  <si>
    <t>стоимость из НВК5</t>
  </si>
  <si>
    <t>12.1</t>
  </si>
  <si>
    <t>Щебень</t>
  </si>
  <si>
    <t>Обсыпка песком колодцев</t>
  </si>
  <si>
    <t>13.1</t>
  </si>
  <si>
    <t>Обратная засыпка грунтом колодцев</t>
  </si>
  <si>
    <t>Погрузка лишнего грунта в автосамосвалы</t>
  </si>
  <si>
    <t>т</t>
  </si>
  <si>
    <t>Прокладка трубопровода</t>
  </si>
  <si>
    <t>Сварка труб Ф530х8 (изготовление футляра)</t>
  </si>
  <si>
    <t>стык</t>
  </si>
  <si>
    <t>Стоимость из 217 трансбордер, ТС1, п.166</t>
  </si>
  <si>
    <t>Изоляция сварного стыка термоусаживающими лентами</t>
  </si>
  <si>
    <t xml:space="preserve">Прокладка труб стальных с полиэтиленовым защитным покрытием ВУС 530х 8мм (футляр) </t>
  </si>
  <si>
    <t>м</t>
  </si>
  <si>
    <t>19.1</t>
  </si>
  <si>
    <t>Труба стальная с полиэтиленовым защитным покрытием ВУС 530х 8мм</t>
  </si>
  <si>
    <t>Протаскивание трубы ПЭ100 SDR17 315х18,7 с установкой колец опорно-направляющего ОНК-315/530</t>
  </si>
  <si>
    <t>20.1</t>
  </si>
  <si>
    <t>Труба ПЭ100 SDR17 PN 10 315х18,7</t>
  </si>
  <si>
    <t>20.2</t>
  </si>
  <si>
    <t>Опорно-направляющее кольцо ОНК-315 для трубы Дн=315 мм</t>
  </si>
  <si>
    <t>Заделка концов футляра 530х8мм</t>
  </si>
  <si>
    <t>футляр</t>
  </si>
  <si>
    <t>Заполнение межтрубного пространства в футляре (кожухе) цементно-песчаным раствором М100</t>
  </si>
  <si>
    <t>22.1</t>
  </si>
  <si>
    <t>Цементно-песчаный раствор М100</t>
  </si>
  <si>
    <t>Прокладка труб полиэтиленовых напорных ПЭ100 SDR17 ø315х18,7 «питьевая»</t>
  </si>
  <si>
    <t>23.1</t>
  </si>
  <si>
    <t>Устройство колодца из сборных ж.б. элементов В1-2</t>
  </si>
  <si>
    <t>Устройство круглых сборных железобетонных канализационных колодцев  в мокрых грунтах</t>
  </si>
  <si>
    <t>24.1</t>
  </si>
  <si>
    <t>Плита днища ПН20-1</t>
  </si>
  <si>
    <t>24.2</t>
  </si>
  <si>
    <t>Кольцо колодезное стеновое КС20-9</t>
  </si>
  <si>
    <t>24.3</t>
  </si>
  <si>
    <t xml:space="preserve">Плита перекрытия колодца ПП20-2 </t>
  </si>
  <si>
    <t>24.4</t>
  </si>
  <si>
    <t>Кольцо доборное колодезное КС7-1,5</t>
  </si>
  <si>
    <t>Стоимость из счета</t>
  </si>
  <si>
    <t>24.5</t>
  </si>
  <si>
    <t>Люк чугунный тяжелый тип Т (В)</t>
  </si>
  <si>
    <t>24.6</t>
  </si>
  <si>
    <t>Праймер Технониколь</t>
  </si>
  <si>
    <t>кг</t>
  </si>
  <si>
    <t>24.7</t>
  </si>
  <si>
    <t xml:space="preserve">Битумная мастика Технониколь </t>
  </si>
  <si>
    <t>Установка трубопроводной арматуры в колодцах В1-2</t>
  </si>
  <si>
    <t>Установка задвижки чугунной с обрезиненнным клином невыдвижным шпинделем фланцевая М38-300 (DN300) Ру1,6 Мпа (16 кгс/см2) 30ч39р</t>
  </si>
  <si>
    <t>25.1</t>
  </si>
  <si>
    <t>Задвижка чугунная с обрезиненнным клином невыдвижным шпинделем фланцевая М38-300 (DN300) Ру1,6 Мпа (16 кгс/см2) 30ч39р</t>
  </si>
  <si>
    <t>Установка втулки под фланец ПЭ100 SDR17 d 315мм PN10 кгс/см2</t>
  </si>
  <si>
    <t>26.1</t>
  </si>
  <si>
    <t>Втулка под фланец ПЭ100 SDR17 d 315мм PN10 кгс/см2</t>
  </si>
  <si>
    <t>Установка ответного фланца свободного стального Dy 300 мм (для труб ф315 мм</t>
  </si>
  <si>
    <t>27.1</t>
  </si>
  <si>
    <t>Фланец свободный стальной Dу 300 мм (для труб ∅315 мм)</t>
  </si>
  <si>
    <t>27.2</t>
  </si>
  <si>
    <t>Болт М20х65 (32 шт.)</t>
  </si>
  <si>
    <t>27.3</t>
  </si>
  <si>
    <t>Гайка М20 (32шт.)</t>
  </si>
  <si>
    <t>27.4</t>
  </si>
  <si>
    <t>Шайба М20 (64 шт.)</t>
  </si>
  <si>
    <t>Установка задвижки чугунной клиновой с обрезиненнным клином 30ч39р Ду 100 1.6 Мпа</t>
  </si>
  <si>
    <t>28.1</t>
  </si>
  <si>
    <t>Задвижка чугунная клиновая с обрезиненнным клином 30ч39р Ду 100 1.6 Мпа</t>
  </si>
  <si>
    <t>Установка ответного фланцевого адаптера (ПФРК) UNIVERSAL DN300 (315-332)</t>
  </si>
  <si>
    <t>29.1</t>
  </si>
  <si>
    <t>Ответный фланцевый адаптер (ПФРК) UNIVERSAL DN300 (315-332)</t>
  </si>
  <si>
    <t>цена по счету</t>
  </si>
  <si>
    <t>Установка втулки под фланец свободный металлический ПЭ100 SDR17 d 110мм</t>
  </si>
  <si>
    <t>30.1</t>
  </si>
  <si>
    <t>Втулка под фланец d=100 мм SDR 17</t>
  </si>
  <si>
    <t>Установка стального фланца для ПЭ d110/DN100, PN10/16</t>
  </si>
  <si>
    <t>31.1</t>
  </si>
  <si>
    <t>Стальной фланец для ПЭ d110/DN100, PN10/16</t>
  </si>
  <si>
    <t>31.2</t>
  </si>
  <si>
    <t>Болт М16х65 (16 шт.)</t>
  </si>
  <si>
    <t>31.3</t>
  </si>
  <si>
    <t>Гайка М16 (16шт.)</t>
  </si>
  <si>
    <t>31.4</t>
  </si>
  <si>
    <t>Шайба М16 (32 шт.)</t>
  </si>
  <si>
    <t>Установка тройника с пожарной подставкой фланцевого ППТФ чугунного ВЧШГ с ЦПП Ду 300х300 боковая врезка 125 с подставкой под гидрант</t>
  </si>
  <si>
    <t>32.1</t>
  </si>
  <si>
    <t>Тройник с пожарной подставкой фланцевый ППТФ чугунный ВЧШГ с ЦПП Ду 300х300 боковая врезка 125 с подставкой под гидрант</t>
  </si>
  <si>
    <r>
      <t xml:space="preserve">Установка гидранта ГП-Н-2,0м (сталь) условный проход 125мм +прокладка под гидрант усиленной </t>
    </r>
    <r>
      <rPr>
        <sz val="11"/>
        <color rgb="FFFF0000"/>
        <rFont val="Times New Roman"/>
        <family val="1"/>
        <charset val="204"/>
      </rPr>
      <t>(материал Заказчика)</t>
    </r>
  </si>
  <si>
    <t>из 217 пути</t>
  </si>
  <si>
    <t>Прокладка трубы полиэтиленовой ПЭ100 SDR17-110х6,6 "питьевой"</t>
  </si>
  <si>
    <t>34.1</t>
  </si>
  <si>
    <t xml:space="preserve">Труба ПЭ100 SDR17 PN 10 110х6.6 </t>
  </si>
  <si>
    <t>Установка отвода 90 град ПЭ100 SDR11 с ЗН</t>
  </si>
  <si>
    <t xml:space="preserve"> из раздела НВК2</t>
  </si>
  <si>
    <t>35.1</t>
  </si>
  <si>
    <t>Отвод ПЭ100 электросварной 90 град диаметр 110мм</t>
  </si>
  <si>
    <t>Устройство колодца из сборных ж.б. элементов В1-2А</t>
  </si>
  <si>
    <t>36.1</t>
  </si>
  <si>
    <t xml:space="preserve">Плита днища колодца ПН10-1 </t>
  </si>
  <si>
    <t>36.2</t>
  </si>
  <si>
    <t xml:space="preserve">Кольцо колодезное стеновое КС10-9 </t>
  </si>
  <si>
    <t>36.3</t>
  </si>
  <si>
    <t xml:space="preserve">Плита перекрытия колодца ПП10-2 </t>
  </si>
  <si>
    <t>36.4</t>
  </si>
  <si>
    <t>36.5</t>
  </si>
  <si>
    <t>Люка чугунный тяжелый тип Т (В)</t>
  </si>
  <si>
    <t>36.6</t>
  </si>
  <si>
    <t>л</t>
  </si>
  <si>
    <t>36.7</t>
  </si>
  <si>
    <t>Установка трубопроводной арматуры в колодцах В1-2А</t>
  </si>
  <si>
    <t>37.1</t>
  </si>
  <si>
    <t>Установка фланца свободного стального Dy 300 мм (для труб ф315 мм)</t>
  </si>
  <si>
    <t>38.1</t>
  </si>
  <si>
    <t>38.2</t>
  </si>
  <si>
    <t>38.3</t>
  </si>
  <si>
    <t>Гайка М20 (32 шт.)</t>
  </si>
  <si>
    <t>38.4</t>
  </si>
  <si>
    <t>Шайба М20(64 шт.)</t>
  </si>
  <si>
    <t>Установка фланцевого адаптера (ПФРК) UNIVERSAL DN300 (315-332)</t>
  </si>
  <si>
    <t>39.1</t>
  </si>
  <si>
    <t>Фланцевый адаптер (ПФРК) UNIVERSAL DN300 (315-332)</t>
  </si>
  <si>
    <t>40.1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</si>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</sst>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89">
    <xf numFmtId="0" fontId="0" fillId="0" borderId="0" xfId="0"/>
    <xf numFmtId="0" fontId="3" fillId="0" borderId="0" xfId="0" applyFont="1"/>
    <xf numFmtId="4" fontId="2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4" fontId="2" fillId="2" borderId="3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0" fontId="8" fillId="3" borderId="3" xfId="3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8" fillId="0" borderId="3" xfId="1" applyFont="1" applyBorder="1" applyAlignment="1">
      <alignment vertical="center"/>
    </xf>
    <xf numFmtId="0" fontId="3" fillId="0" borderId="0" xfId="0" applyFont="1" applyAlignment="1">
      <alignment vertical="center"/>
    </xf>
    <xf numFmtId="43" fontId="8" fillId="3" borderId="3" xfId="1" applyFont="1" applyFill="1" applyBorder="1" applyAlignment="1">
      <alignment vertical="center"/>
    </xf>
    <xf numFmtId="49" fontId="9" fillId="3" borderId="3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8" fillId="3" borderId="3" xfId="0" applyNumberFormat="1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vertical="center"/>
    </xf>
    <xf numFmtId="43" fontId="9" fillId="3" borderId="3" xfId="1" applyNumberFormat="1" applyFont="1" applyFill="1" applyBorder="1" applyAlignment="1">
      <alignment horizontal="center"/>
    </xf>
    <xf numFmtId="43" fontId="9" fillId="3" borderId="3" xfId="1" applyFont="1" applyFill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 wrapText="1"/>
    </xf>
    <xf numFmtId="166" fontId="8" fillId="3" borderId="3" xfId="0" applyNumberFormat="1" applyFont="1" applyFill="1" applyBorder="1" applyAlignment="1">
      <alignment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0" fontId="8" fillId="4" borderId="3" xfId="0" applyFont="1" applyFill="1" applyBorder="1" applyAlignment="1">
      <alignment horizontal="center" wrapText="1"/>
    </xf>
    <xf numFmtId="43" fontId="8" fillId="4" borderId="3" xfId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horizontal="center"/>
    </xf>
    <xf numFmtId="0" fontId="8" fillId="0" borderId="3" xfId="3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1" fontId="8" fillId="4" borderId="3" xfId="0" applyNumberFormat="1" applyFont="1" applyFill="1" applyBorder="1" applyAlignment="1">
      <alignment vertical="center" wrapText="1"/>
    </xf>
    <xf numFmtId="1" fontId="8" fillId="0" borderId="3" xfId="0" applyNumberFormat="1" applyFont="1" applyFill="1" applyBorder="1" applyAlignment="1">
      <alignment vertical="center" wrapText="1"/>
    </xf>
    <xf numFmtId="0" fontId="2" fillId="3" borderId="11" xfId="3" applyFont="1" applyFill="1" applyBorder="1" applyAlignment="1">
      <alignment horizontal="left" vertical="center" wrapText="1"/>
    </xf>
    <xf numFmtId="0" fontId="8" fillId="4" borderId="11" xfId="3" applyFont="1" applyFill="1" applyBorder="1" applyAlignment="1">
      <alignment horizontal="left" vertical="center" wrapText="1"/>
    </xf>
    <xf numFmtId="43" fontId="6" fillId="4" borderId="3" xfId="1" applyNumberFormat="1" applyFont="1" applyFill="1" applyBorder="1" applyAlignment="1">
      <alignment horizontal="center"/>
    </xf>
    <xf numFmtId="0" fontId="8" fillId="3" borderId="11" xfId="3" applyFont="1" applyFill="1" applyBorder="1" applyAlignment="1">
      <alignment horizontal="left" vertical="center" wrapText="1"/>
    </xf>
    <xf numFmtId="164" fontId="8" fillId="3" borderId="3" xfId="1" applyNumberFormat="1" applyFont="1" applyFill="1" applyBorder="1" applyAlignment="1">
      <alignment vertical="center" wrapText="1"/>
    </xf>
    <xf numFmtId="164" fontId="8" fillId="4" borderId="3" xfId="1" applyNumberFormat="1" applyFont="1" applyFill="1" applyBorder="1" applyAlignment="1">
      <alignment vertical="center" wrapText="1"/>
    </xf>
    <xf numFmtId="43" fontId="6" fillId="4" borderId="3" xfId="1" applyNumberFormat="1" applyFont="1" applyFill="1" applyBorder="1" applyAlignment="1">
      <alignment horizontal="center" vertical="center"/>
    </xf>
    <xf numFmtId="43" fontId="8" fillId="4" borderId="3" xfId="1" applyNumberFormat="1" applyFont="1" applyFill="1" applyBorder="1" applyAlignment="1">
      <alignment vertical="center" wrapText="1"/>
    </xf>
    <xf numFmtId="164" fontId="6" fillId="4" borderId="3" xfId="1" applyNumberFormat="1" applyFont="1" applyFill="1" applyBorder="1" applyAlignment="1">
      <alignment vertical="center"/>
    </xf>
    <xf numFmtId="43" fontId="12" fillId="0" borderId="3" xfId="1" applyFont="1" applyBorder="1" applyAlignment="1">
      <alignment horizontal="center"/>
    </xf>
    <xf numFmtId="164" fontId="13" fillId="0" borderId="0" xfId="1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0" fillId="0" borderId="0" xfId="1" applyNumberFormat="1" applyFont="1"/>
    <xf numFmtId="43" fontId="12" fillId="0" borderId="3" xfId="1" applyFont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0" borderId="11" xfId="3" applyFont="1" applyBorder="1" applyAlignment="1">
      <alignment horizontal="right" wrapText="1"/>
    </xf>
    <xf numFmtId="0" fontId="11" fillId="0" borderId="12" xfId="3" applyFont="1" applyBorder="1" applyAlignment="1">
      <alignment horizontal="right" wrapText="1"/>
    </xf>
    <xf numFmtId="0" fontId="11" fillId="0" borderId="13" xfId="3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488E6C11-CBF8-483E-B6D7-FF501CCB6D16}"/>
    <cellStyle name="Обычный" xfId="0" builtinId="0"/>
    <cellStyle name="Обычный 2" xfId="3" xr:uid="{FDDBCD44-64BB-4E34-91C9-3255D7852AA5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85E0-7953-457E-9F73-1B7EC8B39AC2}">
  <dimension ref="A1:M101"/>
  <sheetViews>
    <sheetView tabSelected="1" view="pageBreakPreview" topLeftCell="A91" zoomScale="80" zoomScaleNormal="100" zoomScaleSheetLayoutView="80" workbookViewId="0">
      <selection activeCell="G96" sqref="G96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0" customWidth="1"/>
    <col min="8" max="8" width="16.140625" style="70" customWidth="1"/>
    <col min="9" max="12" width="16.140625" customWidth="1"/>
    <col min="13" max="13" width="55.42578125" style="1" customWidth="1"/>
  </cols>
  <sheetData>
    <row r="1" spans="1:13" ht="14.45" customHeight="1" x14ac:dyDescent="0.25">
      <c r="A1" s="77" t="s">
        <v>0</v>
      </c>
      <c r="B1" s="80" t="s">
        <v>1</v>
      </c>
      <c r="C1" s="83" t="s">
        <v>2</v>
      </c>
      <c r="D1" s="83" t="s">
        <v>3</v>
      </c>
      <c r="E1" s="84" t="s">
        <v>4</v>
      </c>
      <c r="F1" s="85"/>
      <c r="G1" s="85"/>
      <c r="H1" s="85"/>
      <c r="I1" s="85"/>
      <c r="J1" s="85"/>
      <c r="K1" s="85"/>
      <c r="L1" s="85"/>
    </row>
    <row r="2" spans="1:13" ht="14.45" customHeight="1" x14ac:dyDescent="0.25">
      <c r="A2" s="78"/>
      <c r="B2" s="81"/>
      <c r="C2" s="83"/>
      <c r="D2" s="83"/>
      <c r="E2" s="86"/>
      <c r="F2" s="87"/>
      <c r="G2" s="87"/>
      <c r="H2" s="87"/>
      <c r="I2" s="87"/>
      <c r="J2" s="87"/>
      <c r="K2" s="87"/>
      <c r="L2" s="87"/>
    </row>
    <row r="3" spans="1:13" ht="27.75" customHeight="1" x14ac:dyDescent="0.25">
      <c r="A3" s="78"/>
      <c r="B3" s="81"/>
      <c r="C3" s="83"/>
      <c r="D3" s="83"/>
      <c r="E3" s="83" t="s">
        <v>5</v>
      </c>
      <c r="F3" s="83"/>
      <c r="G3" s="83"/>
      <c r="H3" s="83" t="s">
        <v>6</v>
      </c>
      <c r="I3" s="83"/>
      <c r="J3" s="83"/>
      <c r="K3" s="88" t="s">
        <v>7</v>
      </c>
      <c r="L3" s="88"/>
    </row>
    <row r="4" spans="1:13" ht="56.1" customHeight="1" x14ac:dyDescent="0.25">
      <c r="A4" s="79"/>
      <c r="B4" s="82"/>
      <c r="C4" s="83"/>
      <c r="D4" s="83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4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72" t="s">
        <v>13</v>
      </c>
      <c r="C6" s="73"/>
      <c r="D6" s="73"/>
      <c r="E6" s="8"/>
      <c r="F6" s="9"/>
      <c r="G6" s="10"/>
      <c r="H6" s="10"/>
      <c r="I6" s="10"/>
      <c r="J6" s="10"/>
      <c r="K6" s="10"/>
      <c r="L6" s="10"/>
    </row>
    <row r="7" spans="1:13" ht="24" customHeight="1" x14ac:dyDescent="0.25">
      <c r="A7" s="11"/>
      <c r="B7" s="12" t="s">
        <v>14</v>
      </c>
      <c r="C7" s="13"/>
      <c r="D7" s="13"/>
      <c r="E7" s="14"/>
      <c r="F7" s="15"/>
      <c r="G7" s="15"/>
      <c r="H7" s="16"/>
      <c r="I7" s="17"/>
      <c r="J7" s="17"/>
      <c r="K7" s="14"/>
      <c r="L7" s="15"/>
    </row>
    <row r="8" spans="1:13" ht="18" customHeight="1" x14ac:dyDescent="0.25">
      <c r="A8" s="11">
        <v>1</v>
      </c>
      <c r="B8" s="18" t="s">
        <v>15</v>
      </c>
      <c r="C8" s="19" t="s">
        <v>16</v>
      </c>
      <c r="D8" s="20">
        <v>14</v>
      </c>
      <c r="E8" s="21">
        <v>3982.45</v>
      </c>
      <c r="F8" s="15">
        <f t="shared" ref="F8:F9" si="0">ROUND(E8*D8,2)</f>
        <v>55754.3</v>
      </c>
      <c r="G8" s="15">
        <f t="shared" ref="G8:G9" si="1">ROUND(F8*1.2,2)</f>
        <v>66905.16</v>
      </c>
      <c r="H8" s="16"/>
      <c r="I8" s="17"/>
      <c r="J8" s="17"/>
      <c r="K8" s="14">
        <f t="shared" ref="K8:L9" si="2">F8+I8</f>
        <v>55754.3</v>
      </c>
      <c r="L8" s="15">
        <f t="shared" si="2"/>
        <v>66905.16</v>
      </c>
      <c r="M8" s="22" t="s">
        <v>17</v>
      </c>
    </row>
    <row r="9" spans="1:13" ht="18" customHeight="1" x14ac:dyDescent="0.25">
      <c r="A9" s="11">
        <f>A8+1</f>
        <v>2</v>
      </c>
      <c r="B9" s="18" t="s">
        <v>18</v>
      </c>
      <c r="C9" s="19" t="s">
        <v>19</v>
      </c>
      <c r="D9" s="20">
        <f>3*1.75*0.17*14</f>
        <v>12.495000000000001</v>
      </c>
      <c r="E9" s="23">
        <v>544.86</v>
      </c>
      <c r="F9" s="15">
        <f t="shared" si="0"/>
        <v>6808.03</v>
      </c>
      <c r="G9" s="15">
        <f t="shared" si="1"/>
        <v>8169.64</v>
      </c>
      <c r="H9" s="16"/>
      <c r="I9" s="17"/>
      <c r="J9" s="17"/>
      <c r="K9" s="14">
        <f t="shared" si="2"/>
        <v>6808.03</v>
      </c>
      <c r="L9" s="15">
        <f t="shared" si="2"/>
        <v>8169.64</v>
      </c>
      <c r="M9" s="1" t="s">
        <v>20</v>
      </c>
    </row>
    <row r="10" spans="1:13" ht="20.25" customHeight="1" x14ac:dyDescent="0.25">
      <c r="A10" s="24"/>
      <c r="B10" s="25" t="s">
        <v>21</v>
      </c>
      <c r="C10" s="19"/>
      <c r="D10" s="26"/>
      <c r="E10" s="27"/>
      <c r="F10" s="28"/>
      <c r="G10" s="29"/>
      <c r="H10" s="30"/>
      <c r="I10" s="31"/>
      <c r="J10" s="31"/>
      <c r="K10" s="32"/>
      <c r="L10" s="31"/>
    </row>
    <row r="11" spans="1:13" ht="20.25" customHeight="1" x14ac:dyDescent="0.25">
      <c r="A11" s="33">
        <f>A9+1</f>
        <v>3</v>
      </c>
      <c r="B11" s="18" t="s">
        <v>22</v>
      </c>
      <c r="C11" s="19" t="s">
        <v>19</v>
      </c>
      <c r="D11" s="20">
        <v>106.66</v>
      </c>
      <c r="E11" s="16">
        <v>308.75</v>
      </c>
      <c r="F11" s="17">
        <f t="shared" ref="F11:F15" si="3">ROUND(E11*D11,2)</f>
        <v>32931.279999999999</v>
      </c>
      <c r="G11" s="17">
        <f t="shared" ref="G11:G28" si="4">ROUND(F11*1.2,2)</f>
        <v>39517.54</v>
      </c>
      <c r="H11" s="30"/>
      <c r="I11" s="31"/>
      <c r="J11" s="31"/>
      <c r="K11" s="34">
        <f t="shared" ref="K11:L26" si="5">F11+I11</f>
        <v>32931.279999999999</v>
      </c>
      <c r="L11" s="23">
        <f t="shared" si="5"/>
        <v>39517.54</v>
      </c>
    </row>
    <row r="12" spans="1:13" ht="20.25" customHeight="1" x14ac:dyDescent="0.25">
      <c r="A12" s="11">
        <f>A11+1</f>
        <v>4</v>
      </c>
      <c r="B12" s="18" t="s">
        <v>23</v>
      </c>
      <c r="C12" s="19" t="s">
        <v>19</v>
      </c>
      <c r="D12" s="35">
        <v>3.3</v>
      </c>
      <c r="E12" s="16">
        <v>1688.15</v>
      </c>
      <c r="F12" s="17">
        <f t="shared" si="3"/>
        <v>5570.9</v>
      </c>
      <c r="G12" s="17">
        <f t="shared" si="4"/>
        <v>6685.08</v>
      </c>
      <c r="H12" s="30"/>
      <c r="I12" s="31"/>
      <c r="J12" s="31"/>
      <c r="K12" s="34">
        <f t="shared" si="5"/>
        <v>5570.9</v>
      </c>
      <c r="L12" s="23">
        <f t="shared" si="5"/>
        <v>6685.08</v>
      </c>
    </row>
    <row r="13" spans="1:13" ht="20.25" customHeight="1" x14ac:dyDescent="0.25">
      <c r="A13" s="11">
        <f t="shared" ref="A13" si="6">A12+1</f>
        <v>5</v>
      </c>
      <c r="B13" s="18" t="s">
        <v>24</v>
      </c>
      <c r="C13" s="19" t="s">
        <v>19</v>
      </c>
      <c r="D13" s="20">
        <v>0.44</v>
      </c>
      <c r="E13" s="16">
        <v>1310.05</v>
      </c>
      <c r="F13" s="17">
        <f t="shared" si="3"/>
        <v>576.41999999999996</v>
      </c>
      <c r="G13" s="17">
        <f t="shared" si="4"/>
        <v>691.7</v>
      </c>
      <c r="H13" s="30"/>
      <c r="I13" s="31"/>
      <c r="J13" s="31"/>
      <c r="K13" s="34">
        <f t="shared" si="5"/>
        <v>576.41999999999996</v>
      </c>
      <c r="L13" s="23">
        <f t="shared" si="5"/>
        <v>691.7</v>
      </c>
    </row>
    <row r="14" spans="1:13" ht="20.25" customHeight="1" x14ac:dyDescent="0.25">
      <c r="A14" s="36" t="s">
        <v>25</v>
      </c>
      <c r="B14" s="37" t="s">
        <v>26</v>
      </c>
      <c r="C14" s="38" t="s">
        <v>19</v>
      </c>
      <c r="D14" s="39">
        <f>0.44*1.1</f>
        <v>0.48400000000000004</v>
      </c>
      <c r="E14" s="40"/>
      <c r="F14" s="41"/>
      <c r="G14" s="41"/>
      <c r="H14" s="42">
        <v>1191.3</v>
      </c>
      <c r="I14" s="41">
        <f>ROUND(H14*D14,2)</f>
        <v>576.59</v>
      </c>
      <c r="J14" s="41">
        <f>ROUND(I14*1.2,2)</f>
        <v>691.91</v>
      </c>
      <c r="K14" s="43">
        <f t="shared" si="5"/>
        <v>576.59</v>
      </c>
      <c r="L14" s="41">
        <f t="shared" si="5"/>
        <v>691.91</v>
      </c>
    </row>
    <row r="15" spans="1:13" s="45" customFormat="1" ht="21.75" customHeight="1" x14ac:dyDescent="0.25">
      <c r="A15" s="33">
        <f>A13+1</f>
        <v>6</v>
      </c>
      <c r="B15" s="18" t="s">
        <v>27</v>
      </c>
      <c r="C15" s="19" t="s">
        <v>19</v>
      </c>
      <c r="D15" s="20">
        <v>91.03</v>
      </c>
      <c r="E15" s="16">
        <v>1310.05</v>
      </c>
      <c r="F15" s="17">
        <f t="shared" si="3"/>
        <v>119253.85</v>
      </c>
      <c r="G15" s="17">
        <f t="shared" si="4"/>
        <v>143104.62</v>
      </c>
      <c r="H15" s="30"/>
      <c r="I15" s="31"/>
      <c r="J15" s="31"/>
      <c r="K15" s="34">
        <f t="shared" si="5"/>
        <v>119253.85</v>
      </c>
      <c r="L15" s="23">
        <f t="shared" si="5"/>
        <v>143104.62</v>
      </c>
      <c r="M15" s="44"/>
    </row>
    <row r="16" spans="1:13" s="45" customFormat="1" ht="21.75" customHeight="1" x14ac:dyDescent="0.25">
      <c r="A16" s="36" t="s">
        <v>28</v>
      </c>
      <c r="B16" s="37" t="s">
        <v>26</v>
      </c>
      <c r="C16" s="38" t="s">
        <v>19</v>
      </c>
      <c r="D16" s="39">
        <f>91.03*1.1</f>
        <v>100.13300000000001</v>
      </c>
      <c r="E16" s="40"/>
      <c r="F16" s="41"/>
      <c r="G16" s="41"/>
      <c r="H16" s="42">
        <v>1191.3</v>
      </c>
      <c r="I16" s="41">
        <f>ROUND(H16*D16,2)</f>
        <v>119288.44</v>
      </c>
      <c r="J16" s="41">
        <f>ROUND(I16*1.2,2)</f>
        <v>143146.13</v>
      </c>
      <c r="K16" s="43">
        <f t="shared" si="5"/>
        <v>119288.44</v>
      </c>
      <c r="L16" s="41">
        <f t="shared" si="5"/>
        <v>143146.13</v>
      </c>
      <c r="M16" s="44"/>
    </row>
    <row r="17" spans="1:13" ht="18.75" customHeight="1" x14ac:dyDescent="0.25">
      <c r="A17" s="11">
        <f>A15+1</f>
        <v>7</v>
      </c>
      <c r="B17" s="18" t="s">
        <v>29</v>
      </c>
      <c r="C17" s="19" t="s">
        <v>19</v>
      </c>
      <c r="D17" s="20">
        <v>14.57</v>
      </c>
      <c r="E17" s="16">
        <v>118.75</v>
      </c>
      <c r="F17" s="17">
        <f>ROUND(E17*D17,2)</f>
        <v>1730.19</v>
      </c>
      <c r="G17" s="17">
        <f t="shared" si="4"/>
        <v>2076.23</v>
      </c>
      <c r="H17" s="34"/>
      <c r="I17" s="17"/>
      <c r="J17" s="17"/>
      <c r="K17" s="34">
        <f t="shared" si="5"/>
        <v>1730.19</v>
      </c>
      <c r="L17" s="23">
        <f t="shared" si="5"/>
        <v>2076.23</v>
      </c>
    </row>
    <row r="18" spans="1:13" ht="18" customHeight="1" x14ac:dyDescent="0.25">
      <c r="A18" s="11">
        <f>A17+1</f>
        <v>8</v>
      </c>
      <c r="B18" s="18" t="s">
        <v>30</v>
      </c>
      <c r="C18" s="19" t="s">
        <v>19</v>
      </c>
      <c r="D18" s="20">
        <v>14.57</v>
      </c>
      <c r="E18" s="16">
        <v>188.1</v>
      </c>
      <c r="F18" s="23">
        <f t="shared" ref="F18:F28" si="7">ROUND(E18*D18,2)</f>
        <v>2740.62</v>
      </c>
      <c r="G18" s="23">
        <f t="shared" si="4"/>
        <v>3288.74</v>
      </c>
      <c r="H18" s="16"/>
      <c r="I18" s="23"/>
      <c r="J18" s="23"/>
      <c r="K18" s="34">
        <f t="shared" si="5"/>
        <v>2740.62</v>
      </c>
      <c r="L18" s="23">
        <f t="shared" si="5"/>
        <v>3288.74</v>
      </c>
      <c r="M18" s="22"/>
    </row>
    <row r="19" spans="1:13" ht="18" customHeight="1" x14ac:dyDescent="0.25">
      <c r="A19" s="11">
        <f t="shared" ref="A19:A22" si="8">A18+1</f>
        <v>9</v>
      </c>
      <c r="B19" s="18" t="s">
        <v>31</v>
      </c>
      <c r="C19" s="19" t="s">
        <v>32</v>
      </c>
      <c r="D19" s="35">
        <v>81.400000000000006</v>
      </c>
      <c r="E19" s="16">
        <v>118.75</v>
      </c>
      <c r="F19" s="23">
        <f t="shared" si="7"/>
        <v>9666.25</v>
      </c>
      <c r="G19" s="23">
        <f t="shared" si="4"/>
        <v>11599.5</v>
      </c>
      <c r="H19" s="16"/>
      <c r="I19" s="23"/>
      <c r="J19" s="23"/>
      <c r="K19" s="34">
        <f t="shared" si="5"/>
        <v>9666.25</v>
      </c>
      <c r="L19" s="23">
        <f t="shared" si="5"/>
        <v>11599.5</v>
      </c>
      <c r="M19" s="22"/>
    </row>
    <row r="20" spans="1:13" ht="28.5" customHeight="1" x14ac:dyDescent="0.25">
      <c r="A20" s="11">
        <f t="shared" si="8"/>
        <v>10</v>
      </c>
      <c r="B20" s="18" t="s">
        <v>33</v>
      </c>
      <c r="C20" s="19" t="s">
        <v>19</v>
      </c>
      <c r="D20" s="20">
        <v>121.32</v>
      </c>
      <c r="E20" s="16">
        <v>308.75</v>
      </c>
      <c r="F20" s="17">
        <f t="shared" si="7"/>
        <v>37457.550000000003</v>
      </c>
      <c r="G20" s="17">
        <f t="shared" si="4"/>
        <v>44949.06</v>
      </c>
      <c r="H20" s="30"/>
      <c r="I20" s="31"/>
      <c r="J20" s="31"/>
      <c r="K20" s="34">
        <f t="shared" si="5"/>
        <v>37457.550000000003</v>
      </c>
      <c r="L20" s="23">
        <f t="shared" si="5"/>
        <v>44949.06</v>
      </c>
      <c r="M20" s="22"/>
    </row>
    <row r="21" spans="1:13" ht="18" customHeight="1" x14ac:dyDescent="0.25">
      <c r="A21" s="11">
        <f t="shared" si="8"/>
        <v>11</v>
      </c>
      <c r="B21" s="18" t="s">
        <v>34</v>
      </c>
      <c r="C21" s="19" t="s">
        <v>19</v>
      </c>
      <c r="D21" s="20">
        <v>40.64</v>
      </c>
      <c r="E21" s="16">
        <v>1688.15</v>
      </c>
      <c r="F21" s="17">
        <f t="shared" si="7"/>
        <v>68606.42</v>
      </c>
      <c r="G21" s="17">
        <f t="shared" si="4"/>
        <v>82327.7</v>
      </c>
      <c r="H21" s="30"/>
      <c r="I21" s="31"/>
      <c r="J21" s="31"/>
      <c r="K21" s="34">
        <f t="shared" si="5"/>
        <v>68606.42</v>
      </c>
      <c r="L21" s="23">
        <f t="shared" si="5"/>
        <v>82327.7</v>
      </c>
      <c r="M21" s="22"/>
    </row>
    <row r="22" spans="1:13" ht="18" customHeight="1" x14ac:dyDescent="0.25">
      <c r="A22" s="11">
        <f t="shared" si="8"/>
        <v>12</v>
      </c>
      <c r="B22" s="18" t="s">
        <v>35</v>
      </c>
      <c r="C22" s="19" t="s">
        <v>19</v>
      </c>
      <c r="D22" s="20">
        <v>2.39</v>
      </c>
      <c r="E22" s="16">
        <v>2057.89</v>
      </c>
      <c r="F22" s="23">
        <f t="shared" si="7"/>
        <v>4918.3599999999997</v>
      </c>
      <c r="G22" s="23">
        <f t="shared" si="4"/>
        <v>5902.03</v>
      </c>
      <c r="H22" s="16"/>
      <c r="I22" s="23"/>
      <c r="J22" s="23"/>
      <c r="K22" s="34">
        <f t="shared" si="5"/>
        <v>4918.3599999999997</v>
      </c>
      <c r="L22" s="23">
        <f t="shared" si="5"/>
        <v>5902.03</v>
      </c>
      <c r="M22" s="22" t="s">
        <v>36</v>
      </c>
    </row>
    <row r="23" spans="1:13" ht="18" customHeight="1" x14ac:dyDescent="0.25">
      <c r="A23" s="36" t="s">
        <v>37</v>
      </c>
      <c r="B23" s="37" t="s">
        <v>38</v>
      </c>
      <c r="C23" s="46" t="s">
        <v>19</v>
      </c>
      <c r="D23" s="39">
        <f>2.39*1.26</f>
        <v>3.0114000000000001</v>
      </c>
      <c r="E23" s="40"/>
      <c r="F23" s="47"/>
      <c r="G23" s="47"/>
      <c r="H23" s="40">
        <v>1299.5999999999999</v>
      </c>
      <c r="I23" s="41">
        <f>ROUND(H23*D23,2)</f>
        <v>3913.62</v>
      </c>
      <c r="J23" s="41">
        <f>ROUND(I23*1.2,2)</f>
        <v>4696.34</v>
      </c>
      <c r="K23" s="43">
        <f t="shared" si="5"/>
        <v>3913.62</v>
      </c>
      <c r="L23" s="41">
        <f t="shared" si="5"/>
        <v>4696.34</v>
      </c>
      <c r="M23" s="22"/>
    </row>
    <row r="24" spans="1:13" ht="18" customHeight="1" x14ac:dyDescent="0.25">
      <c r="A24" s="11">
        <f>A22+1</f>
        <v>13</v>
      </c>
      <c r="B24" s="18" t="s">
        <v>39</v>
      </c>
      <c r="C24" s="19" t="s">
        <v>19</v>
      </c>
      <c r="D24" s="20">
        <v>19.93</v>
      </c>
      <c r="E24" s="16">
        <v>1310.05</v>
      </c>
      <c r="F24" s="23">
        <f t="shared" ref="F24" si="9">ROUND(E24*D24,2)</f>
        <v>26109.3</v>
      </c>
      <c r="G24" s="23">
        <f t="shared" ref="G24" si="10">ROUND(F24*1.2,2)</f>
        <v>31331.16</v>
      </c>
      <c r="H24" s="16"/>
      <c r="I24" s="23"/>
      <c r="J24" s="23"/>
      <c r="K24" s="34">
        <f t="shared" si="5"/>
        <v>26109.3</v>
      </c>
      <c r="L24" s="23">
        <f t="shared" si="5"/>
        <v>31331.16</v>
      </c>
      <c r="M24" s="22"/>
    </row>
    <row r="25" spans="1:13" ht="18" customHeight="1" x14ac:dyDescent="0.25">
      <c r="A25" s="36" t="s">
        <v>40</v>
      </c>
      <c r="B25" s="37" t="s">
        <v>26</v>
      </c>
      <c r="C25" s="38" t="s">
        <v>19</v>
      </c>
      <c r="D25" s="39">
        <f>19.93*1.1</f>
        <v>21.923000000000002</v>
      </c>
      <c r="E25" s="40"/>
      <c r="F25" s="41"/>
      <c r="G25" s="41"/>
      <c r="H25" s="42">
        <v>1191.3</v>
      </c>
      <c r="I25" s="41">
        <f>ROUND(H25*D25,2)</f>
        <v>26116.87</v>
      </c>
      <c r="J25" s="41">
        <f>ROUND(I25*1.2,2)</f>
        <v>31340.240000000002</v>
      </c>
      <c r="K25" s="43">
        <f t="shared" si="5"/>
        <v>26116.87</v>
      </c>
      <c r="L25" s="41">
        <f t="shared" si="5"/>
        <v>31340.240000000002</v>
      </c>
      <c r="M25" s="22"/>
    </row>
    <row r="26" spans="1:13" ht="18" customHeight="1" x14ac:dyDescent="0.25">
      <c r="A26" s="11">
        <f>A24+1</f>
        <v>14</v>
      </c>
      <c r="B26" s="18" t="s">
        <v>41</v>
      </c>
      <c r="C26" s="19" t="s">
        <v>19</v>
      </c>
      <c r="D26" s="20">
        <v>88.68</v>
      </c>
      <c r="E26" s="16">
        <v>118.75</v>
      </c>
      <c r="F26" s="17">
        <f>ROUND(E26*D26,2)</f>
        <v>10530.75</v>
      </c>
      <c r="G26" s="17">
        <f t="shared" ref="G26:G27" si="11">ROUND(F26*1.2,2)</f>
        <v>12636.9</v>
      </c>
      <c r="H26" s="34"/>
      <c r="I26" s="17"/>
      <c r="J26" s="17"/>
      <c r="K26" s="34">
        <f t="shared" si="5"/>
        <v>10530.75</v>
      </c>
      <c r="L26" s="23">
        <f t="shared" si="5"/>
        <v>12636.9</v>
      </c>
      <c r="M26" s="22"/>
    </row>
    <row r="27" spans="1:13" ht="18" customHeight="1" x14ac:dyDescent="0.25">
      <c r="A27" s="11">
        <f>A26+1</f>
        <v>15</v>
      </c>
      <c r="B27" s="18" t="s">
        <v>30</v>
      </c>
      <c r="C27" s="19" t="s">
        <v>19</v>
      </c>
      <c r="D27" s="20">
        <v>88.68</v>
      </c>
      <c r="E27" s="16">
        <v>188.1</v>
      </c>
      <c r="F27" s="23">
        <f t="shared" ref="F27" si="12">ROUND(E27*D27,2)</f>
        <v>16680.71</v>
      </c>
      <c r="G27" s="23">
        <f t="shared" si="11"/>
        <v>20016.849999999999</v>
      </c>
      <c r="H27" s="16"/>
      <c r="I27" s="23"/>
      <c r="J27" s="23"/>
      <c r="K27" s="34">
        <f t="shared" ref="K27:L28" si="13">F27+I27</f>
        <v>16680.71</v>
      </c>
      <c r="L27" s="23">
        <f t="shared" si="13"/>
        <v>20016.849999999999</v>
      </c>
      <c r="M27" s="22"/>
    </row>
    <row r="28" spans="1:13" ht="18" customHeight="1" x14ac:dyDescent="0.25">
      <c r="A28" s="11">
        <f t="shared" ref="A28" si="14">A27+1</f>
        <v>16</v>
      </c>
      <c r="B28" s="18" t="s">
        <v>42</v>
      </c>
      <c r="C28" s="19" t="s">
        <v>43</v>
      </c>
      <c r="D28" s="20">
        <v>320.47000000000003</v>
      </c>
      <c r="E28" s="16">
        <v>308.75</v>
      </c>
      <c r="F28" s="23">
        <f t="shared" si="7"/>
        <v>98945.11</v>
      </c>
      <c r="G28" s="23">
        <f t="shared" si="4"/>
        <v>118734.13</v>
      </c>
      <c r="H28" s="16"/>
      <c r="I28" s="23"/>
      <c r="J28" s="23"/>
      <c r="K28" s="34">
        <f t="shared" si="13"/>
        <v>98945.11</v>
      </c>
      <c r="L28" s="23">
        <f t="shared" si="13"/>
        <v>118734.13</v>
      </c>
      <c r="M28" s="22"/>
    </row>
    <row r="29" spans="1:13" ht="18" customHeight="1" x14ac:dyDescent="0.25">
      <c r="A29" s="36"/>
      <c r="B29" s="25" t="s">
        <v>44</v>
      </c>
      <c r="C29" s="19"/>
      <c r="D29" s="26"/>
      <c r="E29" s="27"/>
      <c r="F29" s="28"/>
      <c r="G29" s="29"/>
      <c r="H29" s="48"/>
      <c r="I29" s="17"/>
      <c r="J29" s="17"/>
      <c r="K29" s="14"/>
      <c r="L29" s="17"/>
    </row>
    <row r="30" spans="1:13" ht="18" customHeight="1" x14ac:dyDescent="0.25">
      <c r="A30" s="11">
        <f>A28+1</f>
        <v>17</v>
      </c>
      <c r="B30" s="49" t="s">
        <v>45</v>
      </c>
      <c r="C30" s="19" t="s">
        <v>46</v>
      </c>
      <c r="D30" s="26">
        <v>1</v>
      </c>
      <c r="E30" s="16">
        <v>9339.7999999999993</v>
      </c>
      <c r="F30" s="23">
        <f t="shared" ref="F30:F32" si="15">ROUND(E30*D30,2)</f>
        <v>9339.7999999999993</v>
      </c>
      <c r="G30" s="23">
        <f t="shared" ref="G30:G32" si="16">ROUND(F30*1.2,2)</f>
        <v>11207.76</v>
      </c>
      <c r="H30" s="16"/>
      <c r="I30" s="23"/>
      <c r="J30" s="23"/>
      <c r="K30" s="34">
        <f t="shared" ref="K30:L41" si="17">F30+I30</f>
        <v>9339.7999999999993</v>
      </c>
      <c r="L30" s="23">
        <f t="shared" si="17"/>
        <v>11207.76</v>
      </c>
      <c r="M30" s="22" t="s">
        <v>47</v>
      </c>
    </row>
    <row r="31" spans="1:13" ht="18" customHeight="1" x14ac:dyDescent="0.25">
      <c r="A31" s="11">
        <f>A30+1</f>
        <v>18</v>
      </c>
      <c r="B31" s="49" t="s">
        <v>48</v>
      </c>
      <c r="C31" s="19" t="s">
        <v>46</v>
      </c>
      <c r="D31" s="26">
        <v>1</v>
      </c>
      <c r="E31" s="16">
        <f>ROUND(2803.18*1.33,2)</f>
        <v>3728.23</v>
      </c>
      <c r="F31" s="23">
        <f t="shared" si="15"/>
        <v>3728.23</v>
      </c>
      <c r="G31" s="23">
        <f t="shared" si="16"/>
        <v>4473.88</v>
      </c>
      <c r="H31" s="16"/>
      <c r="I31" s="23"/>
      <c r="J31" s="23"/>
      <c r="K31" s="34">
        <f t="shared" si="17"/>
        <v>3728.23</v>
      </c>
      <c r="L31" s="23">
        <f t="shared" si="17"/>
        <v>4473.88</v>
      </c>
      <c r="M31" s="22" t="s">
        <v>17</v>
      </c>
    </row>
    <row r="32" spans="1:13" ht="37.5" customHeight="1" x14ac:dyDescent="0.25">
      <c r="A32" s="11">
        <f>A31+1</f>
        <v>19</v>
      </c>
      <c r="B32" s="49" t="s">
        <v>49</v>
      </c>
      <c r="C32" s="50" t="s">
        <v>50</v>
      </c>
      <c r="D32" s="51">
        <v>17.12</v>
      </c>
      <c r="E32" s="52">
        <v>5316.2</v>
      </c>
      <c r="F32" s="17">
        <f t="shared" si="15"/>
        <v>91013.34</v>
      </c>
      <c r="G32" s="17">
        <f t="shared" si="16"/>
        <v>109216.01</v>
      </c>
      <c r="H32" s="48"/>
      <c r="I32" s="17"/>
      <c r="J32" s="17"/>
      <c r="K32" s="34">
        <f t="shared" si="17"/>
        <v>91013.34</v>
      </c>
      <c r="L32" s="23">
        <f t="shared" si="17"/>
        <v>109216.01</v>
      </c>
    </row>
    <row r="33" spans="1:13" ht="38.25" customHeight="1" x14ac:dyDescent="0.25">
      <c r="A33" s="36" t="s">
        <v>51</v>
      </c>
      <c r="B33" s="37" t="s">
        <v>52</v>
      </c>
      <c r="C33" s="38" t="s">
        <v>50</v>
      </c>
      <c r="D33" s="39">
        <f>1.02*17.12</f>
        <v>17.462400000000002</v>
      </c>
      <c r="E33" s="40"/>
      <c r="F33" s="41"/>
      <c r="G33" s="41"/>
      <c r="H33" s="53">
        <v>13103.35</v>
      </c>
      <c r="I33" s="47">
        <f>ROUND(H33*D33,2)</f>
        <v>228815.94</v>
      </c>
      <c r="J33" s="47">
        <f>ROUND(I33*1.2,2)</f>
        <v>274579.13</v>
      </c>
      <c r="K33" s="54">
        <f t="shared" si="17"/>
        <v>228815.94</v>
      </c>
      <c r="L33" s="47">
        <f t="shared" si="17"/>
        <v>274579.13</v>
      </c>
    </row>
    <row r="34" spans="1:13" ht="36.75" customHeight="1" x14ac:dyDescent="0.25">
      <c r="A34" s="11">
        <f>A32+1</f>
        <v>20</v>
      </c>
      <c r="B34" s="49" t="s">
        <v>53</v>
      </c>
      <c r="C34" s="50" t="s">
        <v>50</v>
      </c>
      <c r="D34" s="51">
        <v>17.12</v>
      </c>
      <c r="E34" s="52">
        <f>ROUND(1572.68*1.33,2)</f>
        <v>2091.66</v>
      </c>
      <c r="F34" s="17">
        <f t="shared" ref="F34" si="18">ROUND(E34*D34,2)</f>
        <v>35809.22</v>
      </c>
      <c r="G34" s="17">
        <f t="shared" ref="G34" si="19">ROUND(F34*1.2,2)</f>
        <v>42971.06</v>
      </c>
      <c r="H34" s="48"/>
      <c r="I34" s="17"/>
      <c r="J34" s="17"/>
      <c r="K34" s="34">
        <f t="shared" si="17"/>
        <v>35809.22</v>
      </c>
      <c r="L34" s="23">
        <f t="shared" si="17"/>
        <v>42971.06</v>
      </c>
      <c r="M34" s="22" t="s">
        <v>17</v>
      </c>
    </row>
    <row r="35" spans="1:13" ht="21" customHeight="1" x14ac:dyDescent="0.25">
      <c r="A35" s="36" t="s">
        <v>54</v>
      </c>
      <c r="B35" s="37" t="s">
        <v>55</v>
      </c>
      <c r="C35" s="38" t="s">
        <v>50</v>
      </c>
      <c r="D35" s="39">
        <f>1.02*17.12</f>
        <v>17.462400000000002</v>
      </c>
      <c r="E35" s="40"/>
      <c r="F35" s="41"/>
      <c r="G35" s="41"/>
      <c r="H35" s="42">
        <v>3479.85</v>
      </c>
      <c r="I35" s="41">
        <f>ROUND(H35*D35,2)</f>
        <v>60766.53</v>
      </c>
      <c r="J35" s="41">
        <f>ROUND(I35*1.2,2)</f>
        <v>72919.839999999997</v>
      </c>
      <c r="K35" s="43">
        <f t="shared" si="17"/>
        <v>60766.53</v>
      </c>
      <c r="L35" s="41">
        <f t="shared" si="17"/>
        <v>72919.839999999997</v>
      </c>
    </row>
    <row r="36" spans="1:13" ht="24.75" customHeight="1" x14ac:dyDescent="0.25">
      <c r="A36" s="36" t="s">
        <v>56</v>
      </c>
      <c r="B36" s="37" t="s">
        <v>57</v>
      </c>
      <c r="C36" s="38" t="s">
        <v>16</v>
      </c>
      <c r="D36" s="55">
        <v>8</v>
      </c>
      <c r="E36" s="40"/>
      <c r="F36" s="41"/>
      <c r="G36" s="41"/>
      <c r="H36" s="42">
        <v>917.7</v>
      </c>
      <c r="I36" s="41">
        <f>ROUND(H36*D36,2)</f>
        <v>7341.6</v>
      </c>
      <c r="J36" s="41">
        <f>ROUND(I36*1.2,2)</f>
        <v>8809.92</v>
      </c>
      <c r="K36" s="43">
        <f t="shared" si="17"/>
        <v>7341.6</v>
      </c>
      <c r="L36" s="41">
        <f t="shared" si="17"/>
        <v>8809.92</v>
      </c>
    </row>
    <row r="37" spans="1:13" ht="27.75" customHeight="1" x14ac:dyDescent="0.25">
      <c r="A37" s="11">
        <f>A34+1</f>
        <v>21</v>
      </c>
      <c r="B37" s="49" t="s">
        <v>58</v>
      </c>
      <c r="C37" s="50" t="s">
        <v>59</v>
      </c>
      <c r="D37" s="56">
        <v>1</v>
      </c>
      <c r="E37" s="52">
        <v>6060.29</v>
      </c>
      <c r="F37" s="17">
        <f t="shared" ref="F37:F40" si="20">ROUND(E37*D37,2)</f>
        <v>6060.29</v>
      </c>
      <c r="G37" s="17">
        <f t="shared" ref="G37:G40" si="21">ROUND(F37*1.2,2)</f>
        <v>7272.35</v>
      </c>
      <c r="H37" s="48"/>
      <c r="I37" s="17"/>
      <c r="J37" s="17"/>
      <c r="K37" s="34">
        <f t="shared" si="17"/>
        <v>6060.29</v>
      </c>
      <c r="L37" s="23">
        <f t="shared" si="17"/>
        <v>7272.35</v>
      </c>
    </row>
    <row r="38" spans="1:13" ht="30" x14ac:dyDescent="0.25">
      <c r="A38" s="11">
        <f>A37+1</f>
        <v>22</v>
      </c>
      <c r="B38" s="18" t="s">
        <v>60</v>
      </c>
      <c r="C38" s="19" t="s">
        <v>19</v>
      </c>
      <c r="D38" s="20">
        <v>2.4500000000000002</v>
      </c>
      <c r="E38" s="16">
        <v>8327.42</v>
      </c>
      <c r="F38" s="17">
        <f t="shared" si="20"/>
        <v>20402.18</v>
      </c>
      <c r="G38" s="17">
        <f t="shared" si="21"/>
        <v>24482.62</v>
      </c>
      <c r="H38" s="48"/>
      <c r="I38" s="17"/>
      <c r="J38" s="17"/>
      <c r="K38" s="34">
        <f t="shared" si="17"/>
        <v>20402.18</v>
      </c>
      <c r="L38" s="23">
        <f t="shared" si="17"/>
        <v>24482.62</v>
      </c>
    </row>
    <row r="39" spans="1:13" ht="19.5" customHeight="1" x14ac:dyDescent="0.25">
      <c r="A39" s="36" t="s">
        <v>61</v>
      </c>
      <c r="B39" s="37" t="s">
        <v>62</v>
      </c>
      <c r="C39" s="38" t="s">
        <v>19</v>
      </c>
      <c r="D39" s="39">
        <f>1.02*2.45</f>
        <v>2.4990000000000001</v>
      </c>
      <c r="E39" s="40"/>
      <c r="F39" s="41"/>
      <c r="G39" s="41"/>
      <c r="H39" s="42">
        <v>3657.5</v>
      </c>
      <c r="I39" s="41">
        <f t="shared" ref="I39" si="22">ROUND(H39*D39,2)</f>
        <v>9140.09</v>
      </c>
      <c r="J39" s="41">
        <f t="shared" ref="J39" si="23">ROUND(I39*1.2,2)</f>
        <v>10968.11</v>
      </c>
      <c r="K39" s="43">
        <f t="shared" si="17"/>
        <v>9140.09</v>
      </c>
      <c r="L39" s="41">
        <f t="shared" si="17"/>
        <v>10968.11</v>
      </c>
    </row>
    <row r="40" spans="1:13" ht="35.25" customHeight="1" x14ac:dyDescent="0.25">
      <c r="A40" s="11">
        <f>A38+1</f>
        <v>23</v>
      </c>
      <c r="B40" s="49" t="s">
        <v>63</v>
      </c>
      <c r="C40" s="50" t="s">
        <v>50</v>
      </c>
      <c r="D40" s="51">
        <v>24.47</v>
      </c>
      <c r="E40" s="52">
        <v>1419.5</v>
      </c>
      <c r="F40" s="17">
        <f t="shared" si="20"/>
        <v>34735.17</v>
      </c>
      <c r="G40" s="17">
        <f t="shared" si="21"/>
        <v>41682.199999999997</v>
      </c>
      <c r="H40" s="48"/>
      <c r="I40" s="17"/>
      <c r="J40" s="17"/>
      <c r="K40" s="34">
        <f t="shared" si="17"/>
        <v>34735.17</v>
      </c>
      <c r="L40" s="23">
        <f t="shared" si="17"/>
        <v>41682.199999999997</v>
      </c>
    </row>
    <row r="41" spans="1:13" ht="23.25" customHeight="1" x14ac:dyDescent="0.25">
      <c r="A41" s="36" t="s">
        <v>64</v>
      </c>
      <c r="B41" s="37" t="s">
        <v>55</v>
      </c>
      <c r="C41" s="38" t="s">
        <v>50</v>
      </c>
      <c r="D41" s="39">
        <f>1.02*24.47</f>
        <v>24.959399999999999</v>
      </c>
      <c r="E41" s="40"/>
      <c r="F41" s="41"/>
      <c r="G41" s="41"/>
      <c r="H41" s="42">
        <v>3479.85</v>
      </c>
      <c r="I41" s="41">
        <f>ROUND(H41*D41,2)</f>
        <v>86854.97</v>
      </c>
      <c r="J41" s="41">
        <f>ROUND(I41*1.2,2)</f>
        <v>104225.96</v>
      </c>
      <c r="K41" s="43">
        <f t="shared" si="17"/>
        <v>86854.97</v>
      </c>
      <c r="L41" s="41">
        <f t="shared" si="17"/>
        <v>104225.96</v>
      </c>
    </row>
    <row r="42" spans="1:13" ht="20.25" customHeight="1" x14ac:dyDescent="0.25">
      <c r="A42" s="33"/>
      <c r="B42" s="57" t="s">
        <v>65</v>
      </c>
      <c r="C42" s="19"/>
      <c r="D42" s="26"/>
      <c r="E42" s="16"/>
      <c r="F42" s="17"/>
      <c r="G42" s="17"/>
      <c r="H42" s="48"/>
      <c r="I42" s="17"/>
      <c r="J42" s="17"/>
      <c r="K42" s="34"/>
      <c r="L42" s="23"/>
    </row>
    <row r="43" spans="1:13" ht="30.75" customHeight="1" x14ac:dyDescent="0.25">
      <c r="A43" s="11">
        <f>A40+1</f>
        <v>24</v>
      </c>
      <c r="B43" s="49" t="s">
        <v>66</v>
      </c>
      <c r="C43" s="19" t="s">
        <v>19</v>
      </c>
      <c r="D43" s="20">
        <f>1*0.59+3*0.59+1*0.55+2*0.02</f>
        <v>2.95</v>
      </c>
      <c r="E43" s="52">
        <v>17265.68</v>
      </c>
      <c r="F43" s="17">
        <f t="shared" ref="F43" si="24">ROUND(E43*D43,2)</f>
        <v>50933.760000000002</v>
      </c>
      <c r="G43" s="17">
        <f t="shared" ref="G43" si="25">ROUND(F43*1.2,2)</f>
        <v>61120.51</v>
      </c>
      <c r="H43" s="48"/>
      <c r="I43" s="17"/>
      <c r="J43" s="17"/>
      <c r="K43" s="34">
        <f t="shared" ref="K43:L50" si="26">F43+I43</f>
        <v>50933.760000000002</v>
      </c>
      <c r="L43" s="23">
        <f t="shared" si="26"/>
        <v>61120.51</v>
      </c>
    </row>
    <row r="44" spans="1:13" ht="18.75" customHeight="1" x14ac:dyDescent="0.25">
      <c r="A44" s="36" t="s">
        <v>67</v>
      </c>
      <c r="B44" s="58" t="s">
        <v>68</v>
      </c>
      <c r="C44" s="38" t="s">
        <v>16</v>
      </c>
      <c r="D44" s="55">
        <v>1</v>
      </c>
      <c r="E44" s="40"/>
      <c r="F44" s="41"/>
      <c r="G44" s="41"/>
      <c r="H44" s="59">
        <v>10215.35</v>
      </c>
      <c r="I44" s="41">
        <f t="shared" ref="I44:I50" si="27">ROUND(H44*D44,2)</f>
        <v>10215.35</v>
      </c>
      <c r="J44" s="41">
        <f t="shared" ref="J44:J50" si="28">ROUND(I44*1.2,2)</f>
        <v>12258.42</v>
      </c>
      <c r="K44" s="43">
        <f t="shared" si="26"/>
        <v>10215.35</v>
      </c>
      <c r="L44" s="41">
        <f t="shared" si="26"/>
        <v>12258.42</v>
      </c>
    </row>
    <row r="45" spans="1:13" ht="18.75" customHeight="1" x14ac:dyDescent="0.25">
      <c r="A45" s="36" t="s">
        <v>69</v>
      </c>
      <c r="B45" s="58" t="s">
        <v>70</v>
      </c>
      <c r="C45" s="38" t="s">
        <v>16</v>
      </c>
      <c r="D45" s="55">
        <v>3</v>
      </c>
      <c r="E45" s="40"/>
      <c r="F45" s="41"/>
      <c r="G45" s="41"/>
      <c r="H45" s="59">
        <v>10455.700000000001</v>
      </c>
      <c r="I45" s="41">
        <f t="shared" si="27"/>
        <v>31367.1</v>
      </c>
      <c r="J45" s="41">
        <f t="shared" si="28"/>
        <v>37640.519999999997</v>
      </c>
      <c r="K45" s="43">
        <f t="shared" si="26"/>
        <v>31367.1</v>
      </c>
      <c r="L45" s="41">
        <f t="shared" si="26"/>
        <v>37640.519999999997</v>
      </c>
    </row>
    <row r="46" spans="1:13" ht="18.75" customHeight="1" x14ac:dyDescent="0.25">
      <c r="A46" s="36" t="s">
        <v>71</v>
      </c>
      <c r="B46" s="58" t="s">
        <v>72</v>
      </c>
      <c r="C46" s="38" t="s">
        <v>16</v>
      </c>
      <c r="D46" s="55">
        <v>1</v>
      </c>
      <c r="E46" s="40"/>
      <c r="F46" s="41"/>
      <c r="G46" s="41"/>
      <c r="H46" s="59">
        <v>10815.75</v>
      </c>
      <c r="I46" s="41">
        <f t="shared" si="27"/>
        <v>10815.75</v>
      </c>
      <c r="J46" s="41">
        <f t="shared" si="28"/>
        <v>12978.9</v>
      </c>
      <c r="K46" s="43">
        <f t="shared" si="26"/>
        <v>10815.75</v>
      </c>
      <c r="L46" s="41">
        <f t="shared" si="26"/>
        <v>12978.9</v>
      </c>
    </row>
    <row r="47" spans="1:13" ht="18.75" customHeight="1" x14ac:dyDescent="0.25">
      <c r="A47" s="36" t="s">
        <v>73</v>
      </c>
      <c r="B47" s="58" t="s">
        <v>74</v>
      </c>
      <c r="C47" s="38" t="s">
        <v>16</v>
      </c>
      <c r="D47" s="55">
        <v>2</v>
      </c>
      <c r="E47" s="40"/>
      <c r="F47" s="41"/>
      <c r="G47" s="41"/>
      <c r="H47" s="59">
        <v>1102.08</v>
      </c>
      <c r="I47" s="41">
        <f t="shared" si="27"/>
        <v>2204.16</v>
      </c>
      <c r="J47" s="41">
        <f t="shared" si="28"/>
        <v>2644.99</v>
      </c>
      <c r="K47" s="43">
        <f t="shared" si="26"/>
        <v>2204.16</v>
      </c>
      <c r="L47" s="41">
        <f t="shared" si="26"/>
        <v>2644.99</v>
      </c>
      <c r="M47" s="22" t="s">
        <v>75</v>
      </c>
    </row>
    <row r="48" spans="1:13" ht="18.75" customHeight="1" x14ac:dyDescent="0.25">
      <c r="A48" s="36" t="s">
        <v>76</v>
      </c>
      <c r="B48" s="58" t="s">
        <v>77</v>
      </c>
      <c r="C48" s="38" t="s">
        <v>16</v>
      </c>
      <c r="D48" s="55">
        <v>1</v>
      </c>
      <c r="E48" s="40"/>
      <c r="F48" s="41"/>
      <c r="G48" s="41"/>
      <c r="H48" s="59">
        <v>14421</v>
      </c>
      <c r="I48" s="41">
        <f t="shared" si="27"/>
        <v>14421</v>
      </c>
      <c r="J48" s="41">
        <f t="shared" si="28"/>
        <v>17305.2</v>
      </c>
      <c r="K48" s="43">
        <f t="shared" si="26"/>
        <v>14421</v>
      </c>
      <c r="L48" s="41">
        <f t="shared" si="26"/>
        <v>17305.2</v>
      </c>
    </row>
    <row r="49" spans="1:13" ht="18.75" customHeight="1" x14ac:dyDescent="0.25">
      <c r="A49" s="36" t="s">
        <v>78</v>
      </c>
      <c r="B49" s="58" t="s">
        <v>79</v>
      </c>
      <c r="C49" s="38" t="s">
        <v>80</v>
      </c>
      <c r="D49" s="39">
        <f>ROUND(21.38*0.3*20/16,2)</f>
        <v>8.02</v>
      </c>
      <c r="E49" s="40"/>
      <c r="F49" s="41"/>
      <c r="G49" s="41"/>
      <c r="H49" s="59">
        <v>237.5</v>
      </c>
      <c r="I49" s="41">
        <f t="shared" si="27"/>
        <v>1904.75</v>
      </c>
      <c r="J49" s="41">
        <f t="shared" si="28"/>
        <v>2285.6999999999998</v>
      </c>
      <c r="K49" s="43">
        <f t="shared" si="26"/>
        <v>1904.75</v>
      </c>
      <c r="L49" s="41">
        <f t="shared" si="26"/>
        <v>2285.6999999999998</v>
      </c>
    </row>
    <row r="50" spans="1:13" ht="18.75" customHeight="1" x14ac:dyDescent="0.25">
      <c r="A50" s="36" t="s">
        <v>81</v>
      </c>
      <c r="B50" s="58" t="s">
        <v>82</v>
      </c>
      <c r="C50" s="38" t="s">
        <v>80</v>
      </c>
      <c r="D50" s="39">
        <f>ROUND(21.38*0.3*2,2)</f>
        <v>12.83</v>
      </c>
      <c r="E50" s="40"/>
      <c r="F50" s="41"/>
      <c r="G50" s="41"/>
      <c r="H50" s="59">
        <v>296.39999999999998</v>
      </c>
      <c r="I50" s="41">
        <f t="shared" si="27"/>
        <v>3802.81</v>
      </c>
      <c r="J50" s="41">
        <f t="shared" si="28"/>
        <v>4563.37</v>
      </c>
      <c r="K50" s="43">
        <f t="shared" si="26"/>
        <v>3802.81</v>
      </c>
      <c r="L50" s="41">
        <f t="shared" si="26"/>
        <v>4563.37</v>
      </c>
    </row>
    <row r="51" spans="1:13" ht="22.5" customHeight="1" x14ac:dyDescent="0.25">
      <c r="A51" s="33"/>
      <c r="B51" s="57" t="s">
        <v>83</v>
      </c>
      <c r="C51" s="19"/>
      <c r="D51" s="26"/>
      <c r="E51" s="16"/>
      <c r="F51" s="17"/>
      <c r="G51" s="17"/>
      <c r="H51" s="48"/>
      <c r="I51" s="17"/>
      <c r="J51" s="17"/>
      <c r="K51" s="34"/>
      <c r="L51" s="23"/>
    </row>
    <row r="52" spans="1:13" ht="45" x14ac:dyDescent="0.25">
      <c r="A52" s="33">
        <f>A43+1</f>
        <v>25</v>
      </c>
      <c r="B52" s="60" t="s">
        <v>84</v>
      </c>
      <c r="C52" s="19" t="s">
        <v>16</v>
      </c>
      <c r="D52" s="61">
        <v>1</v>
      </c>
      <c r="E52" s="16">
        <v>14312.75</v>
      </c>
      <c r="F52" s="17">
        <f t="shared" ref="F52:F77" si="29">ROUND(E52*D52,2)</f>
        <v>14312.75</v>
      </c>
      <c r="G52" s="17">
        <f t="shared" ref="G52:G77" si="30">ROUND(F52*1.2,2)</f>
        <v>17175.3</v>
      </c>
      <c r="H52" s="48"/>
      <c r="I52" s="17"/>
      <c r="J52" s="17"/>
      <c r="K52" s="34">
        <f t="shared" ref="K52:L78" si="31">F52+I52</f>
        <v>14312.75</v>
      </c>
      <c r="L52" s="23">
        <f t="shared" si="31"/>
        <v>17175.3</v>
      </c>
    </row>
    <row r="53" spans="1:13" ht="45" x14ac:dyDescent="0.25">
      <c r="A53" s="36" t="s">
        <v>85</v>
      </c>
      <c r="B53" s="58" t="s">
        <v>86</v>
      </c>
      <c r="C53" s="38" t="s">
        <v>16</v>
      </c>
      <c r="D53" s="62">
        <v>1</v>
      </c>
      <c r="E53" s="40"/>
      <c r="F53" s="41"/>
      <c r="G53" s="41"/>
      <c r="H53" s="63">
        <v>109202.5</v>
      </c>
      <c r="I53" s="41">
        <f t="shared" ref="I53" si="32">ROUND(H53*D53,2)</f>
        <v>109202.5</v>
      </c>
      <c r="J53" s="41">
        <f t="shared" ref="J53" si="33">ROUND(I53*1.2,2)</f>
        <v>131043</v>
      </c>
      <c r="K53" s="43">
        <f t="shared" si="31"/>
        <v>109202.5</v>
      </c>
      <c r="L53" s="41">
        <f t="shared" si="31"/>
        <v>131043</v>
      </c>
    </row>
    <row r="54" spans="1:13" ht="21.75" customHeight="1" x14ac:dyDescent="0.25">
      <c r="A54" s="11">
        <f>A52+1</f>
        <v>26</v>
      </c>
      <c r="B54" s="60" t="s">
        <v>87</v>
      </c>
      <c r="C54" s="19" t="s">
        <v>16</v>
      </c>
      <c r="D54" s="61">
        <v>1</v>
      </c>
      <c r="E54" s="16">
        <v>6691.94</v>
      </c>
      <c r="F54" s="17">
        <f t="shared" si="29"/>
        <v>6691.94</v>
      </c>
      <c r="G54" s="17">
        <f t="shared" si="30"/>
        <v>8030.33</v>
      </c>
      <c r="H54" s="48"/>
      <c r="I54" s="17"/>
      <c r="J54" s="17"/>
      <c r="K54" s="34">
        <f t="shared" si="31"/>
        <v>6691.94</v>
      </c>
      <c r="L54" s="23">
        <f t="shared" si="31"/>
        <v>8030.33</v>
      </c>
    </row>
    <row r="55" spans="1:13" ht="21.75" customHeight="1" x14ac:dyDescent="0.25">
      <c r="A55" s="36" t="s">
        <v>88</v>
      </c>
      <c r="B55" s="58" t="s">
        <v>89</v>
      </c>
      <c r="C55" s="38" t="s">
        <v>16</v>
      </c>
      <c r="D55" s="62">
        <v>1</v>
      </c>
      <c r="E55" s="40"/>
      <c r="F55" s="41"/>
      <c r="G55" s="41"/>
      <c r="H55" s="59">
        <v>2638.15</v>
      </c>
      <c r="I55" s="41">
        <f t="shared" ref="I55" si="34">ROUND(H55*D55,2)</f>
        <v>2638.15</v>
      </c>
      <c r="J55" s="41">
        <f t="shared" ref="J55" si="35">ROUND(I55*1.2,2)</f>
        <v>3165.78</v>
      </c>
      <c r="K55" s="43">
        <f t="shared" si="31"/>
        <v>2638.15</v>
      </c>
      <c r="L55" s="41">
        <f t="shared" si="31"/>
        <v>3165.78</v>
      </c>
    </row>
    <row r="56" spans="1:13" ht="30" x14ac:dyDescent="0.25">
      <c r="A56" s="11">
        <f>A54+1</f>
        <v>27</v>
      </c>
      <c r="B56" s="60" t="s">
        <v>90</v>
      </c>
      <c r="C56" s="19" t="s">
        <v>16</v>
      </c>
      <c r="D56" s="61">
        <v>1</v>
      </c>
      <c r="E56" s="16">
        <v>6891.24</v>
      </c>
      <c r="F56" s="17">
        <f t="shared" si="29"/>
        <v>6891.24</v>
      </c>
      <c r="G56" s="17">
        <f t="shared" si="30"/>
        <v>8269.49</v>
      </c>
      <c r="H56" s="48"/>
      <c r="I56" s="17"/>
      <c r="J56" s="17"/>
      <c r="K56" s="34">
        <f t="shared" si="31"/>
        <v>6891.24</v>
      </c>
      <c r="L56" s="23">
        <f t="shared" si="31"/>
        <v>8269.49</v>
      </c>
    </row>
    <row r="57" spans="1:13" ht="18.75" customHeight="1" x14ac:dyDescent="0.25">
      <c r="A57" s="36" t="s">
        <v>91</v>
      </c>
      <c r="B57" s="37" t="s">
        <v>92</v>
      </c>
      <c r="C57" s="38" t="s">
        <v>16</v>
      </c>
      <c r="D57" s="62">
        <v>1</v>
      </c>
      <c r="E57" s="40"/>
      <c r="F57" s="41"/>
      <c r="G57" s="41"/>
      <c r="H57" s="59">
        <v>5092</v>
      </c>
      <c r="I57" s="41">
        <f t="shared" ref="I57:I60" si="36">ROUND(H57*D57,2)</f>
        <v>5092</v>
      </c>
      <c r="J57" s="41">
        <f t="shared" ref="J57:J64" si="37">ROUND(I57*1.2,2)</f>
        <v>6110.4</v>
      </c>
      <c r="K57" s="43">
        <f t="shared" si="31"/>
        <v>5092</v>
      </c>
      <c r="L57" s="41">
        <f t="shared" si="31"/>
        <v>6110.4</v>
      </c>
    </row>
    <row r="58" spans="1:13" ht="18.75" customHeight="1" x14ac:dyDescent="0.25">
      <c r="A58" s="36" t="s">
        <v>93</v>
      </c>
      <c r="B58" s="37" t="s">
        <v>94</v>
      </c>
      <c r="C58" s="46" t="s">
        <v>80</v>
      </c>
      <c r="D58" s="39">
        <f>ROUND(32*0.243,2)</f>
        <v>7.78</v>
      </c>
      <c r="E58" s="40"/>
      <c r="F58" s="41"/>
      <c r="G58" s="41"/>
      <c r="H58" s="42">
        <v>120.65</v>
      </c>
      <c r="I58" s="41">
        <f t="shared" si="36"/>
        <v>938.66</v>
      </c>
      <c r="J58" s="41">
        <f t="shared" si="37"/>
        <v>1126.3900000000001</v>
      </c>
      <c r="K58" s="43">
        <f t="shared" si="31"/>
        <v>938.66</v>
      </c>
      <c r="L58" s="41">
        <f t="shared" si="31"/>
        <v>1126.3900000000001</v>
      </c>
    </row>
    <row r="59" spans="1:13" ht="18.75" customHeight="1" x14ac:dyDescent="0.25">
      <c r="A59" s="36" t="s">
        <v>95</v>
      </c>
      <c r="B59" s="37" t="s">
        <v>96</v>
      </c>
      <c r="C59" s="46" t="s">
        <v>80</v>
      </c>
      <c r="D59" s="39">
        <f>ROUND(32*0.071,2)</f>
        <v>2.27</v>
      </c>
      <c r="E59" s="40"/>
      <c r="F59" s="41"/>
      <c r="G59" s="41"/>
      <c r="H59" s="42">
        <v>139.65</v>
      </c>
      <c r="I59" s="41">
        <f t="shared" si="36"/>
        <v>317.01</v>
      </c>
      <c r="J59" s="41">
        <f t="shared" si="37"/>
        <v>380.41</v>
      </c>
      <c r="K59" s="43">
        <f t="shared" si="31"/>
        <v>317.01</v>
      </c>
      <c r="L59" s="41">
        <f t="shared" si="31"/>
        <v>380.41</v>
      </c>
    </row>
    <row r="60" spans="1:13" ht="18.75" customHeight="1" x14ac:dyDescent="0.25">
      <c r="A60" s="36" t="s">
        <v>97</v>
      </c>
      <c r="B60" s="37" t="s">
        <v>98</v>
      </c>
      <c r="C60" s="46" t="s">
        <v>80</v>
      </c>
      <c r="D60" s="39">
        <f>ROUND(64*0.0172,2)</f>
        <v>1.1000000000000001</v>
      </c>
      <c r="E60" s="40"/>
      <c r="F60" s="41"/>
      <c r="G60" s="41"/>
      <c r="H60" s="42">
        <v>188.1</v>
      </c>
      <c r="I60" s="41">
        <f t="shared" si="36"/>
        <v>206.91</v>
      </c>
      <c r="J60" s="41">
        <f t="shared" si="37"/>
        <v>248.29</v>
      </c>
      <c r="K60" s="43">
        <f t="shared" si="31"/>
        <v>206.91</v>
      </c>
      <c r="L60" s="41">
        <f t="shared" si="31"/>
        <v>248.29</v>
      </c>
    </row>
    <row r="61" spans="1:13" ht="30" x14ac:dyDescent="0.25">
      <c r="A61" s="11">
        <f>A56+1</f>
        <v>28</v>
      </c>
      <c r="B61" s="60" t="s">
        <v>99</v>
      </c>
      <c r="C61" s="19" t="s">
        <v>16</v>
      </c>
      <c r="D61" s="61">
        <v>1</v>
      </c>
      <c r="E61" s="16">
        <v>2337</v>
      </c>
      <c r="F61" s="17">
        <f t="shared" si="29"/>
        <v>2337</v>
      </c>
      <c r="G61" s="17">
        <f t="shared" si="30"/>
        <v>2804.4</v>
      </c>
      <c r="H61" s="48"/>
      <c r="I61" s="17"/>
      <c r="J61" s="17"/>
      <c r="K61" s="34">
        <f t="shared" si="31"/>
        <v>2337</v>
      </c>
      <c r="L61" s="23">
        <f t="shared" si="31"/>
        <v>2804.4</v>
      </c>
    </row>
    <row r="62" spans="1:13" ht="30" x14ac:dyDescent="0.25">
      <c r="A62" s="36" t="s">
        <v>100</v>
      </c>
      <c r="B62" s="58" t="s">
        <v>101</v>
      </c>
      <c r="C62" s="38" t="s">
        <v>16</v>
      </c>
      <c r="D62" s="62">
        <v>1</v>
      </c>
      <c r="E62" s="40"/>
      <c r="F62" s="41"/>
      <c r="G62" s="41"/>
      <c r="H62" s="40">
        <v>14060.95</v>
      </c>
      <c r="I62" s="41">
        <f t="shared" ref="I62" si="38">ROUND(H62*D62,2)</f>
        <v>14060.95</v>
      </c>
      <c r="J62" s="41">
        <f t="shared" si="37"/>
        <v>16873.14</v>
      </c>
      <c r="K62" s="43">
        <f t="shared" si="31"/>
        <v>14060.95</v>
      </c>
      <c r="L62" s="41">
        <f t="shared" si="31"/>
        <v>16873.14</v>
      </c>
    </row>
    <row r="63" spans="1:13" ht="30" x14ac:dyDescent="0.25">
      <c r="A63" s="11">
        <f>A61+1</f>
        <v>29</v>
      </c>
      <c r="B63" s="60" t="s">
        <v>102</v>
      </c>
      <c r="C63" s="19" t="s">
        <v>16</v>
      </c>
      <c r="D63" s="61">
        <v>1</v>
      </c>
      <c r="E63" s="16">
        <v>6891.24</v>
      </c>
      <c r="F63" s="17">
        <f t="shared" si="29"/>
        <v>6891.24</v>
      </c>
      <c r="G63" s="17">
        <f t="shared" si="30"/>
        <v>8269.49</v>
      </c>
      <c r="H63" s="48"/>
      <c r="I63" s="17"/>
      <c r="J63" s="17"/>
      <c r="K63" s="34">
        <f t="shared" si="31"/>
        <v>6891.24</v>
      </c>
      <c r="L63" s="23">
        <f t="shared" si="31"/>
        <v>8269.49</v>
      </c>
    </row>
    <row r="64" spans="1:13" ht="30" x14ac:dyDescent="0.25">
      <c r="A64" s="36" t="s">
        <v>103</v>
      </c>
      <c r="B64" s="58" t="s">
        <v>104</v>
      </c>
      <c r="C64" s="38" t="s">
        <v>16</v>
      </c>
      <c r="D64" s="62">
        <v>1</v>
      </c>
      <c r="E64" s="40"/>
      <c r="F64" s="41"/>
      <c r="G64" s="41"/>
      <c r="H64" s="63">
        <v>12662.42</v>
      </c>
      <c r="I64" s="41">
        <f t="shared" ref="I64" si="39">ROUND(H64*D64,2)</f>
        <v>12662.42</v>
      </c>
      <c r="J64" s="41">
        <f t="shared" si="37"/>
        <v>15194.9</v>
      </c>
      <c r="K64" s="43">
        <f t="shared" si="31"/>
        <v>12662.42</v>
      </c>
      <c r="L64" s="41">
        <f t="shared" si="31"/>
        <v>15194.9</v>
      </c>
      <c r="M64" s="22" t="s">
        <v>105</v>
      </c>
    </row>
    <row r="65" spans="1:13" ht="30" x14ac:dyDescent="0.25">
      <c r="A65" s="11">
        <f>A63+1</f>
        <v>30</v>
      </c>
      <c r="B65" s="60" t="s">
        <v>106</v>
      </c>
      <c r="C65" s="19" t="s">
        <v>16</v>
      </c>
      <c r="D65" s="61">
        <v>1</v>
      </c>
      <c r="E65" s="16">
        <v>1389.85</v>
      </c>
      <c r="F65" s="17">
        <f t="shared" si="29"/>
        <v>1389.85</v>
      </c>
      <c r="G65" s="17">
        <f t="shared" si="30"/>
        <v>1667.82</v>
      </c>
      <c r="H65" s="48"/>
      <c r="I65" s="17"/>
      <c r="J65" s="17"/>
      <c r="K65" s="34">
        <f t="shared" si="31"/>
        <v>1389.85</v>
      </c>
      <c r="L65" s="23">
        <f t="shared" si="31"/>
        <v>1667.82</v>
      </c>
    </row>
    <row r="66" spans="1:13" s="45" customFormat="1" ht="18" customHeight="1" x14ac:dyDescent="0.25">
      <c r="A66" s="36" t="s">
        <v>107</v>
      </c>
      <c r="B66" s="37" t="s">
        <v>108</v>
      </c>
      <c r="C66" s="38" t="s">
        <v>16</v>
      </c>
      <c r="D66" s="62">
        <v>1</v>
      </c>
      <c r="E66" s="42"/>
      <c r="F66" s="41"/>
      <c r="G66" s="41"/>
      <c r="H66" s="42">
        <v>585.20000000000005</v>
      </c>
      <c r="I66" s="41">
        <f>ROUND(H66*D66,2)</f>
        <v>585.20000000000005</v>
      </c>
      <c r="J66" s="41">
        <f>ROUND(I66*1.2,2)</f>
        <v>702.24</v>
      </c>
      <c r="K66" s="43">
        <f t="shared" si="31"/>
        <v>585.20000000000005</v>
      </c>
      <c r="L66" s="41">
        <f t="shared" si="31"/>
        <v>702.24</v>
      </c>
      <c r="M66" s="44"/>
    </row>
    <row r="67" spans="1:13" ht="19.5" customHeight="1" x14ac:dyDescent="0.25">
      <c r="A67" s="11">
        <f>A65+1</f>
        <v>31</v>
      </c>
      <c r="B67" s="60" t="s">
        <v>109</v>
      </c>
      <c r="C67" s="19" t="s">
        <v>16</v>
      </c>
      <c r="D67" s="61">
        <v>1</v>
      </c>
      <c r="E67" s="16">
        <v>3601.88</v>
      </c>
      <c r="F67" s="17">
        <f t="shared" si="29"/>
        <v>3601.88</v>
      </c>
      <c r="G67" s="17">
        <f t="shared" si="30"/>
        <v>4322.26</v>
      </c>
      <c r="H67" s="48"/>
      <c r="I67" s="17"/>
      <c r="J67" s="17"/>
      <c r="K67" s="34">
        <f t="shared" si="31"/>
        <v>3601.88</v>
      </c>
      <c r="L67" s="23">
        <f t="shared" si="31"/>
        <v>4322.26</v>
      </c>
    </row>
    <row r="68" spans="1:13" ht="18.75" customHeight="1" x14ac:dyDescent="0.25">
      <c r="A68" s="36" t="s">
        <v>110</v>
      </c>
      <c r="B68" s="58" t="s">
        <v>111</v>
      </c>
      <c r="C68" s="38" t="s">
        <v>16</v>
      </c>
      <c r="D68" s="62">
        <v>1</v>
      </c>
      <c r="E68" s="40"/>
      <c r="F68" s="41"/>
      <c r="G68" s="41"/>
      <c r="H68" s="59">
        <v>6897</v>
      </c>
      <c r="I68" s="41">
        <f>ROUND(H68*D68,2)</f>
        <v>6897</v>
      </c>
      <c r="J68" s="41">
        <f>ROUND(I68*1.2,2)</f>
        <v>8276.4</v>
      </c>
      <c r="K68" s="43">
        <f t="shared" si="31"/>
        <v>6897</v>
      </c>
      <c r="L68" s="41">
        <f t="shared" si="31"/>
        <v>8276.4</v>
      </c>
    </row>
    <row r="69" spans="1:13" ht="18.75" customHeight="1" x14ac:dyDescent="0.25">
      <c r="A69" s="36" t="s">
        <v>112</v>
      </c>
      <c r="B69" s="37" t="s">
        <v>113</v>
      </c>
      <c r="C69" s="46" t="s">
        <v>80</v>
      </c>
      <c r="D69" s="39">
        <f>ROUND(16*0.137,2)</f>
        <v>2.19</v>
      </c>
      <c r="E69" s="40"/>
      <c r="F69" s="41"/>
      <c r="G69" s="41"/>
      <c r="H69" s="42">
        <v>120.65</v>
      </c>
      <c r="I69" s="41">
        <f t="shared" ref="I69:I71" si="40">ROUND(H69*D69,2)</f>
        <v>264.22000000000003</v>
      </c>
      <c r="J69" s="41">
        <f t="shared" ref="J69:J71" si="41">ROUND(I69*1.2,2)</f>
        <v>317.06</v>
      </c>
      <c r="K69" s="43">
        <f t="shared" si="31"/>
        <v>264.22000000000003</v>
      </c>
      <c r="L69" s="41">
        <f t="shared" si="31"/>
        <v>317.06</v>
      </c>
    </row>
    <row r="70" spans="1:13" ht="18.75" customHeight="1" x14ac:dyDescent="0.25">
      <c r="A70" s="36" t="s">
        <v>114</v>
      </c>
      <c r="B70" s="37" t="s">
        <v>115</v>
      </c>
      <c r="C70" s="46" t="s">
        <v>80</v>
      </c>
      <c r="D70" s="39">
        <f>ROUND(16*0.032,2)</f>
        <v>0.51</v>
      </c>
      <c r="E70" s="40"/>
      <c r="F70" s="41"/>
      <c r="G70" s="41"/>
      <c r="H70" s="42">
        <v>139.65</v>
      </c>
      <c r="I70" s="41">
        <f t="shared" si="40"/>
        <v>71.22</v>
      </c>
      <c r="J70" s="41">
        <f t="shared" si="41"/>
        <v>85.46</v>
      </c>
      <c r="K70" s="43">
        <f t="shared" si="31"/>
        <v>71.22</v>
      </c>
      <c r="L70" s="41">
        <f t="shared" si="31"/>
        <v>85.46</v>
      </c>
    </row>
    <row r="71" spans="1:13" ht="18.75" customHeight="1" x14ac:dyDescent="0.25">
      <c r="A71" s="36" t="s">
        <v>116</v>
      </c>
      <c r="B71" s="37" t="s">
        <v>117</v>
      </c>
      <c r="C71" s="46" t="s">
        <v>80</v>
      </c>
      <c r="D71" s="39">
        <f>ROUND(32*0.013,2)</f>
        <v>0.42</v>
      </c>
      <c r="E71" s="40"/>
      <c r="F71" s="41"/>
      <c r="G71" s="41"/>
      <c r="H71" s="42">
        <v>188.1</v>
      </c>
      <c r="I71" s="41">
        <f t="shared" si="40"/>
        <v>79</v>
      </c>
      <c r="J71" s="41">
        <f t="shared" si="41"/>
        <v>94.8</v>
      </c>
      <c r="K71" s="43">
        <f t="shared" si="31"/>
        <v>79</v>
      </c>
      <c r="L71" s="41">
        <f t="shared" si="31"/>
        <v>94.8</v>
      </c>
    </row>
    <row r="72" spans="1:13" ht="45" x14ac:dyDescent="0.25">
      <c r="A72" s="11">
        <f>A67+1</f>
        <v>32</v>
      </c>
      <c r="B72" s="60" t="s">
        <v>118</v>
      </c>
      <c r="C72" s="19" t="s">
        <v>16</v>
      </c>
      <c r="D72" s="61">
        <v>1</v>
      </c>
      <c r="E72" s="16">
        <f>ROUND(14174.05*1.33,2)</f>
        <v>18851.490000000002</v>
      </c>
      <c r="F72" s="17">
        <f t="shared" si="29"/>
        <v>18851.490000000002</v>
      </c>
      <c r="G72" s="17">
        <f t="shared" si="30"/>
        <v>22621.79</v>
      </c>
      <c r="H72" s="48"/>
      <c r="I72" s="17"/>
      <c r="J72" s="17"/>
      <c r="K72" s="34">
        <f t="shared" si="31"/>
        <v>18851.490000000002</v>
      </c>
      <c r="L72" s="23">
        <f t="shared" si="31"/>
        <v>22621.79</v>
      </c>
      <c r="M72" s="22" t="s">
        <v>17</v>
      </c>
    </row>
    <row r="73" spans="1:13" ht="30" x14ac:dyDescent="0.25">
      <c r="A73" s="36" t="s">
        <v>119</v>
      </c>
      <c r="B73" s="58" t="s">
        <v>120</v>
      </c>
      <c r="C73" s="38" t="s">
        <v>16</v>
      </c>
      <c r="D73" s="62">
        <v>1</v>
      </c>
      <c r="E73" s="40"/>
      <c r="F73" s="41"/>
      <c r="G73" s="41"/>
      <c r="H73" s="63">
        <v>45520.45</v>
      </c>
      <c r="I73" s="41">
        <f>ROUND(H73*D73,2)</f>
        <v>45520.45</v>
      </c>
      <c r="J73" s="41">
        <f>ROUND(I73*1.2,2)</f>
        <v>54624.54</v>
      </c>
      <c r="K73" s="43">
        <f t="shared" si="31"/>
        <v>45520.45</v>
      </c>
      <c r="L73" s="41">
        <f t="shared" si="31"/>
        <v>54624.54</v>
      </c>
      <c r="M73" s="22" t="s">
        <v>105</v>
      </c>
    </row>
    <row r="74" spans="1:13" ht="30" x14ac:dyDescent="0.25">
      <c r="A74" s="11">
        <f>A72+1</f>
        <v>33</v>
      </c>
      <c r="B74" s="60" t="s">
        <v>121</v>
      </c>
      <c r="C74" s="19" t="s">
        <v>16</v>
      </c>
      <c r="D74" s="61">
        <v>1</v>
      </c>
      <c r="E74" s="52">
        <v>7080.73</v>
      </c>
      <c r="F74" s="17">
        <f t="shared" si="29"/>
        <v>7080.73</v>
      </c>
      <c r="G74" s="17">
        <f t="shared" si="30"/>
        <v>8496.8799999999992</v>
      </c>
      <c r="H74" s="48"/>
      <c r="I74" s="17"/>
      <c r="J74" s="17"/>
      <c r="K74" s="34">
        <f t="shared" si="31"/>
        <v>7080.73</v>
      </c>
      <c r="L74" s="23">
        <f t="shared" si="31"/>
        <v>8496.8799999999992</v>
      </c>
      <c r="M74" s="22" t="s">
        <v>122</v>
      </c>
    </row>
    <row r="75" spans="1:13" ht="23.25" customHeight="1" x14ac:dyDescent="0.25">
      <c r="A75" s="33">
        <f>A74+1</f>
        <v>34</v>
      </c>
      <c r="B75" s="60" t="s">
        <v>123</v>
      </c>
      <c r="C75" s="19" t="s">
        <v>50</v>
      </c>
      <c r="D75" s="61">
        <v>2</v>
      </c>
      <c r="E75" s="16">
        <v>2321.87</v>
      </c>
      <c r="F75" s="17">
        <f t="shared" si="29"/>
        <v>4643.74</v>
      </c>
      <c r="G75" s="17">
        <f t="shared" si="30"/>
        <v>5572.49</v>
      </c>
      <c r="H75" s="48"/>
      <c r="I75" s="17"/>
      <c r="J75" s="17"/>
      <c r="K75" s="34">
        <f t="shared" si="31"/>
        <v>4643.74</v>
      </c>
      <c r="L75" s="23">
        <f t="shared" si="31"/>
        <v>5572.49</v>
      </c>
      <c r="M75" s="1" t="s">
        <v>17</v>
      </c>
    </row>
    <row r="76" spans="1:13" ht="18.75" customHeight="1" x14ac:dyDescent="0.25">
      <c r="A76" s="36" t="s">
        <v>124</v>
      </c>
      <c r="B76" s="37" t="s">
        <v>125</v>
      </c>
      <c r="C76" s="38" t="s">
        <v>50</v>
      </c>
      <c r="D76" s="64">
        <f>1.02*2</f>
        <v>2.04</v>
      </c>
      <c r="E76" s="42"/>
      <c r="F76" s="41"/>
      <c r="G76" s="41"/>
      <c r="H76" s="42">
        <v>376.2</v>
      </c>
      <c r="I76" s="41">
        <f>ROUND(H76*D76,2)</f>
        <v>767.45</v>
      </c>
      <c r="J76" s="41">
        <f>ROUND(I76*1.2,2)</f>
        <v>920.94</v>
      </c>
      <c r="K76" s="43">
        <f t="shared" si="31"/>
        <v>767.45</v>
      </c>
      <c r="L76" s="41">
        <f t="shared" si="31"/>
        <v>920.94</v>
      </c>
    </row>
    <row r="77" spans="1:13" ht="18.75" customHeight="1" x14ac:dyDescent="0.25">
      <c r="A77" s="11">
        <f>A75+1</f>
        <v>35</v>
      </c>
      <c r="B77" s="60" t="s">
        <v>126</v>
      </c>
      <c r="C77" s="19" t="s">
        <v>16</v>
      </c>
      <c r="D77" s="61">
        <v>2</v>
      </c>
      <c r="E77" s="16">
        <v>4704.3999999999996</v>
      </c>
      <c r="F77" s="17">
        <f t="shared" si="29"/>
        <v>9408.7999999999993</v>
      </c>
      <c r="G77" s="17">
        <f t="shared" si="30"/>
        <v>11290.56</v>
      </c>
      <c r="H77" s="48"/>
      <c r="I77" s="17"/>
      <c r="J77" s="17"/>
      <c r="K77" s="34">
        <f t="shared" si="31"/>
        <v>9408.7999999999993</v>
      </c>
      <c r="L77" s="23">
        <f t="shared" si="31"/>
        <v>11290.56</v>
      </c>
      <c r="M77" s="1" t="s">
        <v>127</v>
      </c>
    </row>
    <row r="78" spans="1:13" ht="18.75" customHeight="1" x14ac:dyDescent="0.25">
      <c r="A78" s="36" t="s">
        <v>128</v>
      </c>
      <c r="B78" s="58" t="s">
        <v>129</v>
      </c>
      <c r="C78" s="38" t="s">
        <v>16</v>
      </c>
      <c r="D78" s="65">
        <v>2</v>
      </c>
      <c r="E78" s="40"/>
      <c r="F78" s="41"/>
      <c r="G78" s="41"/>
      <c r="H78" s="42">
        <v>1254</v>
      </c>
      <c r="I78" s="41">
        <f>ROUND(H78*D78,2)</f>
        <v>2508</v>
      </c>
      <c r="J78" s="41">
        <f>ROUND(I78*1.2,2)</f>
        <v>3009.6</v>
      </c>
      <c r="K78" s="43">
        <f t="shared" si="31"/>
        <v>2508</v>
      </c>
      <c r="L78" s="41">
        <f t="shared" si="31"/>
        <v>3009.6</v>
      </c>
      <c r="M78" s="1" t="s">
        <v>127</v>
      </c>
    </row>
    <row r="79" spans="1:13" ht="20.25" customHeight="1" x14ac:dyDescent="0.25">
      <c r="A79" s="33"/>
      <c r="B79" s="57" t="s">
        <v>130</v>
      </c>
      <c r="C79" s="19"/>
      <c r="D79" s="26"/>
      <c r="E79" s="16"/>
      <c r="F79" s="17"/>
      <c r="G79" s="17"/>
      <c r="H79" s="48"/>
      <c r="I79" s="17"/>
      <c r="J79" s="17"/>
      <c r="K79" s="34"/>
      <c r="L79" s="23"/>
    </row>
    <row r="80" spans="1:13" ht="36.75" customHeight="1" x14ac:dyDescent="0.25">
      <c r="A80" s="11">
        <f>A77+1</f>
        <v>36</v>
      </c>
      <c r="B80" s="49" t="s">
        <v>66</v>
      </c>
      <c r="C80" s="19" t="s">
        <v>19</v>
      </c>
      <c r="D80" s="20">
        <f>1*0.18+3*0.24+1*0.1+2*0.02</f>
        <v>1.0399999999999998</v>
      </c>
      <c r="E80" s="52">
        <v>17265.68</v>
      </c>
      <c r="F80" s="17">
        <f t="shared" ref="F80" si="42">ROUND(E80*D80,2)</f>
        <v>17956.310000000001</v>
      </c>
      <c r="G80" s="17">
        <f t="shared" ref="G80" si="43">ROUND(F80*1.2,2)</f>
        <v>21547.57</v>
      </c>
      <c r="H80" s="48"/>
      <c r="I80" s="17"/>
      <c r="J80" s="17"/>
      <c r="K80" s="34">
        <f t="shared" ref="K80:L87" si="44">F80+I80</f>
        <v>17956.310000000001</v>
      </c>
      <c r="L80" s="23">
        <f t="shared" si="44"/>
        <v>21547.57</v>
      </c>
    </row>
    <row r="81" spans="1:13" ht="18.75" customHeight="1" x14ac:dyDescent="0.25">
      <c r="A81" s="36" t="s">
        <v>131</v>
      </c>
      <c r="B81" s="58" t="s">
        <v>132</v>
      </c>
      <c r="C81" s="38" t="s">
        <v>16</v>
      </c>
      <c r="D81" s="55">
        <v>1</v>
      </c>
      <c r="E81" s="40"/>
      <c r="F81" s="41"/>
      <c r="G81" s="41"/>
      <c r="H81" s="59">
        <v>1657.75</v>
      </c>
      <c r="I81" s="41">
        <f t="shared" ref="I81:I87" si="45">ROUND(H81*D81,2)</f>
        <v>1657.75</v>
      </c>
      <c r="J81" s="41">
        <f t="shared" ref="J81:J87" si="46">ROUND(I81*1.2,2)</f>
        <v>1989.3</v>
      </c>
      <c r="K81" s="43">
        <f t="shared" si="44"/>
        <v>1657.75</v>
      </c>
      <c r="L81" s="41">
        <f t="shared" si="44"/>
        <v>1989.3</v>
      </c>
    </row>
    <row r="82" spans="1:13" ht="18.75" customHeight="1" x14ac:dyDescent="0.25">
      <c r="A82" s="36" t="s">
        <v>133</v>
      </c>
      <c r="B82" s="58" t="s">
        <v>134</v>
      </c>
      <c r="C82" s="38" t="s">
        <v>16</v>
      </c>
      <c r="D82" s="55">
        <v>3</v>
      </c>
      <c r="E82" s="40"/>
      <c r="F82" s="41"/>
      <c r="G82" s="41"/>
      <c r="H82" s="59">
        <v>2500.4</v>
      </c>
      <c r="I82" s="41">
        <f t="shared" si="45"/>
        <v>7501.2</v>
      </c>
      <c r="J82" s="41">
        <f t="shared" si="46"/>
        <v>9001.44</v>
      </c>
      <c r="K82" s="43">
        <f t="shared" si="44"/>
        <v>7501.2</v>
      </c>
      <c r="L82" s="41">
        <f t="shared" si="44"/>
        <v>9001.44</v>
      </c>
    </row>
    <row r="83" spans="1:13" ht="18.75" customHeight="1" x14ac:dyDescent="0.25">
      <c r="A83" s="36" t="s">
        <v>135</v>
      </c>
      <c r="B83" s="58" t="s">
        <v>136</v>
      </c>
      <c r="C83" s="38" t="s">
        <v>16</v>
      </c>
      <c r="D83" s="55">
        <v>1</v>
      </c>
      <c r="E83" s="40"/>
      <c r="F83" s="41"/>
      <c r="G83" s="41"/>
      <c r="H83" s="59">
        <v>1427.85</v>
      </c>
      <c r="I83" s="41">
        <f t="shared" si="45"/>
        <v>1427.85</v>
      </c>
      <c r="J83" s="41">
        <f t="shared" si="46"/>
        <v>1713.42</v>
      </c>
      <c r="K83" s="43">
        <f t="shared" si="44"/>
        <v>1427.85</v>
      </c>
      <c r="L83" s="41">
        <f t="shared" si="44"/>
        <v>1713.42</v>
      </c>
    </row>
    <row r="84" spans="1:13" ht="18.75" customHeight="1" x14ac:dyDescent="0.25">
      <c r="A84" s="36" t="s">
        <v>137</v>
      </c>
      <c r="B84" s="58" t="s">
        <v>74</v>
      </c>
      <c r="C84" s="38" t="s">
        <v>16</v>
      </c>
      <c r="D84" s="55">
        <v>2</v>
      </c>
      <c r="E84" s="40"/>
      <c r="F84" s="41"/>
      <c r="G84" s="41"/>
      <c r="H84" s="59">
        <v>1102.08</v>
      </c>
      <c r="I84" s="41">
        <f t="shared" si="45"/>
        <v>2204.16</v>
      </c>
      <c r="J84" s="41">
        <f t="shared" si="46"/>
        <v>2644.99</v>
      </c>
      <c r="K84" s="43">
        <f t="shared" si="44"/>
        <v>2204.16</v>
      </c>
      <c r="L84" s="41">
        <f t="shared" si="44"/>
        <v>2644.99</v>
      </c>
      <c r="M84" s="22" t="s">
        <v>75</v>
      </c>
    </row>
    <row r="85" spans="1:13" ht="18.75" customHeight="1" x14ac:dyDescent="0.25">
      <c r="A85" s="36" t="s">
        <v>138</v>
      </c>
      <c r="B85" s="58" t="s">
        <v>139</v>
      </c>
      <c r="C85" s="38" t="s">
        <v>16</v>
      </c>
      <c r="D85" s="55">
        <v>1</v>
      </c>
      <c r="E85" s="40"/>
      <c r="F85" s="41"/>
      <c r="G85" s="41"/>
      <c r="H85" s="59">
        <v>14421</v>
      </c>
      <c r="I85" s="41">
        <f t="shared" si="45"/>
        <v>14421</v>
      </c>
      <c r="J85" s="41">
        <f t="shared" si="46"/>
        <v>17305.2</v>
      </c>
      <c r="K85" s="43">
        <f t="shared" si="44"/>
        <v>14421</v>
      </c>
      <c r="L85" s="41">
        <f t="shared" si="44"/>
        <v>17305.2</v>
      </c>
    </row>
    <row r="86" spans="1:13" ht="18.75" customHeight="1" x14ac:dyDescent="0.25">
      <c r="A86" s="36" t="s">
        <v>140</v>
      </c>
      <c r="B86" s="58" t="s">
        <v>79</v>
      </c>
      <c r="C86" s="38" t="s">
        <v>141</v>
      </c>
      <c r="D86" s="39">
        <f>ROUND(11.5*0.3*20/16,2)</f>
        <v>4.3099999999999996</v>
      </c>
      <c r="E86" s="40"/>
      <c r="F86" s="41"/>
      <c r="G86" s="41"/>
      <c r="H86" s="59">
        <v>237.5</v>
      </c>
      <c r="I86" s="41">
        <f t="shared" si="45"/>
        <v>1023.63</v>
      </c>
      <c r="J86" s="41">
        <f t="shared" si="46"/>
        <v>1228.3599999999999</v>
      </c>
      <c r="K86" s="43">
        <f t="shared" si="44"/>
        <v>1023.63</v>
      </c>
      <c r="L86" s="41">
        <f t="shared" si="44"/>
        <v>1228.3599999999999</v>
      </c>
    </row>
    <row r="87" spans="1:13" ht="18.75" customHeight="1" x14ac:dyDescent="0.25">
      <c r="A87" s="36" t="s">
        <v>142</v>
      </c>
      <c r="B87" s="58" t="s">
        <v>82</v>
      </c>
      <c r="C87" s="38" t="s">
        <v>80</v>
      </c>
      <c r="D87" s="39">
        <f>ROUND(11.5*0.3*2,2)</f>
        <v>6.9</v>
      </c>
      <c r="E87" s="40"/>
      <c r="F87" s="41"/>
      <c r="G87" s="41"/>
      <c r="H87" s="59">
        <v>296.39999999999998</v>
      </c>
      <c r="I87" s="41">
        <f t="shared" si="45"/>
        <v>2045.16</v>
      </c>
      <c r="J87" s="41">
        <f t="shared" si="46"/>
        <v>2454.19</v>
      </c>
      <c r="K87" s="43">
        <f t="shared" si="44"/>
        <v>2045.16</v>
      </c>
      <c r="L87" s="41">
        <f t="shared" si="44"/>
        <v>2454.19</v>
      </c>
    </row>
    <row r="88" spans="1:13" ht="27" customHeight="1" x14ac:dyDescent="0.25">
      <c r="A88" s="33"/>
      <c r="B88" s="57" t="s">
        <v>143</v>
      </c>
      <c r="C88" s="19"/>
      <c r="D88" s="26"/>
      <c r="E88" s="16"/>
      <c r="F88" s="17"/>
      <c r="G88" s="17"/>
      <c r="H88" s="48"/>
      <c r="I88" s="17"/>
      <c r="J88" s="17"/>
      <c r="K88" s="34"/>
      <c r="L88" s="23"/>
    </row>
    <row r="89" spans="1:13" ht="45" x14ac:dyDescent="0.25">
      <c r="A89" s="33">
        <f>A80+1</f>
        <v>37</v>
      </c>
      <c r="B89" s="60" t="s">
        <v>84</v>
      </c>
      <c r="C89" s="19" t="s">
        <v>16</v>
      </c>
      <c r="D89" s="26">
        <v>1</v>
      </c>
      <c r="E89" s="16">
        <v>14312.75</v>
      </c>
      <c r="F89" s="17">
        <f t="shared" ref="F89:F98" si="47">ROUND(E89*D89,2)</f>
        <v>14312.75</v>
      </c>
      <c r="G89" s="17">
        <f t="shared" ref="G89:G98" si="48">ROUND(F89*1.2,2)</f>
        <v>17175.3</v>
      </c>
      <c r="H89" s="48"/>
      <c r="I89" s="17"/>
      <c r="J89" s="17"/>
      <c r="K89" s="34">
        <f t="shared" ref="K89:L99" si="49">F89+I89</f>
        <v>14312.75</v>
      </c>
      <c r="L89" s="23">
        <f t="shared" si="49"/>
        <v>17175.3</v>
      </c>
    </row>
    <row r="90" spans="1:13" ht="45" x14ac:dyDescent="0.25">
      <c r="A90" s="36" t="s">
        <v>144</v>
      </c>
      <c r="B90" s="58" t="s">
        <v>86</v>
      </c>
      <c r="C90" s="38" t="s">
        <v>16</v>
      </c>
      <c r="D90" s="55">
        <v>1</v>
      </c>
      <c r="E90" s="40"/>
      <c r="F90" s="41"/>
      <c r="G90" s="41"/>
      <c r="H90" s="63">
        <v>109202.5</v>
      </c>
      <c r="I90" s="41">
        <f t="shared" ref="I90" si="50">ROUND(H90*D90,2)</f>
        <v>109202.5</v>
      </c>
      <c r="J90" s="41">
        <f t="shared" ref="J90:J97" si="51">ROUND(I90*1.2,2)</f>
        <v>131043</v>
      </c>
      <c r="K90" s="43">
        <f t="shared" si="49"/>
        <v>109202.5</v>
      </c>
      <c r="L90" s="41">
        <f t="shared" si="49"/>
        <v>131043</v>
      </c>
    </row>
    <row r="91" spans="1:13" ht="30" x14ac:dyDescent="0.25">
      <c r="A91" s="11">
        <f>A89+1</f>
        <v>38</v>
      </c>
      <c r="B91" s="60" t="s">
        <v>145</v>
      </c>
      <c r="C91" s="19" t="s">
        <v>16</v>
      </c>
      <c r="D91" s="26">
        <v>1</v>
      </c>
      <c r="E91" s="16">
        <v>6891.24</v>
      </c>
      <c r="F91" s="17">
        <f t="shared" si="47"/>
        <v>6891.24</v>
      </c>
      <c r="G91" s="17">
        <f t="shared" si="48"/>
        <v>8269.49</v>
      </c>
      <c r="H91" s="48"/>
      <c r="I91" s="17"/>
      <c r="J91" s="17"/>
      <c r="K91" s="34">
        <f t="shared" si="49"/>
        <v>6891.24</v>
      </c>
      <c r="L91" s="23">
        <f t="shared" si="49"/>
        <v>8269.49</v>
      </c>
    </row>
    <row r="92" spans="1:13" ht="18.75" customHeight="1" x14ac:dyDescent="0.25">
      <c r="A92" s="36" t="s">
        <v>146</v>
      </c>
      <c r="B92" s="37" t="s">
        <v>92</v>
      </c>
      <c r="C92" s="38" t="s">
        <v>16</v>
      </c>
      <c r="D92" s="55">
        <v>1</v>
      </c>
      <c r="E92" s="40"/>
      <c r="F92" s="41"/>
      <c r="G92" s="41"/>
      <c r="H92" s="59">
        <v>5092</v>
      </c>
      <c r="I92" s="41">
        <f t="shared" ref="I92:I95" si="52">ROUND(H92*D92,2)</f>
        <v>5092</v>
      </c>
      <c r="J92" s="41">
        <f t="shared" si="51"/>
        <v>6110.4</v>
      </c>
      <c r="K92" s="43">
        <f t="shared" si="49"/>
        <v>5092</v>
      </c>
      <c r="L92" s="41">
        <f t="shared" si="49"/>
        <v>6110.4</v>
      </c>
    </row>
    <row r="93" spans="1:13" ht="18.75" customHeight="1" x14ac:dyDescent="0.25">
      <c r="A93" s="36" t="s">
        <v>147</v>
      </c>
      <c r="B93" s="37" t="s">
        <v>94</v>
      </c>
      <c r="C93" s="46" t="s">
        <v>80</v>
      </c>
      <c r="D93" s="39">
        <f>ROUND(32*0.243,2)</f>
        <v>7.78</v>
      </c>
      <c r="E93" s="40"/>
      <c r="F93" s="41"/>
      <c r="G93" s="41"/>
      <c r="H93" s="59">
        <v>120.65</v>
      </c>
      <c r="I93" s="41">
        <f t="shared" si="52"/>
        <v>938.66</v>
      </c>
      <c r="J93" s="41">
        <f t="shared" si="51"/>
        <v>1126.3900000000001</v>
      </c>
      <c r="K93" s="43">
        <f t="shared" si="49"/>
        <v>938.66</v>
      </c>
      <c r="L93" s="41">
        <f t="shared" si="49"/>
        <v>1126.3900000000001</v>
      </c>
    </row>
    <row r="94" spans="1:13" ht="18.75" customHeight="1" x14ac:dyDescent="0.25">
      <c r="A94" s="36" t="s">
        <v>148</v>
      </c>
      <c r="B94" s="37" t="s">
        <v>149</v>
      </c>
      <c r="C94" s="46" t="s">
        <v>80</v>
      </c>
      <c r="D94" s="39">
        <f>ROUND(32*0.071,2)</f>
        <v>2.27</v>
      </c>
      <c r="E94" s="40"/>
      <c r="F94" s="41"/>
      <c r="G94" s="41"/>
      <c r="H94" s="59">
        <v>139.65</v>
      </c>
      <c r="I94" s="41">
        <f t="shared" si="52"/>
        <v>317.01</v>
      </c>
      <c r="J94" s="41">
        <f t="shared" si="51"/>
        <v>380.41</v>
      </c>
      <c r="K94" s="43">
        <f t="shared" si="49"/>
        <v>317.01</v>
      </c>
      <c r="L94" s="41">
        <f t="shared" si="49"/>
        <v>380.41</v>
      </c>
    </row>
    <row r="95" spans="1:13" ht="18.75" customHeight="1" x14ac:dyDescent="0.25">
      <c r="A95" s="36" t="s">
        <v>150</v>
      </c>
      <c r="B95" s="37" t="s">
        <v>151</v>
      </c>
      <c r="C95" s="46" t="s">
        <v>80</v>
      </c>
      <c r="D95" s="39">
        <f>ROUND(64*0.0172,2)</f>
        <v>1.1000000000000001</v>
      </c>
      <c r="E95" s="40"/>
      <c r="F95" s="41"/>
      <c r="G95" s="41"/>
      <c r="H95" s="59">
        <v>188.1</v>
      </c>
      <c r="I95" s="41">
        <f t="shared" si="52"/>
        <v>206.91</v>
      </c>
      <c r="J95" s="41">
        <f t="shared" si="51"/>
        <v>248.29</v>
      </c>
      <c r="K95" s="43">
        <f t="shared" si="49"/>
        <v>206.91</v>
      </c>
      <c r="L95" s="41">
        <f t="shared" si="49"/>
        <v>248.29</v>
      </c>
    </row>
    <row r="96" spans="1:13" ht="30" x14ac:dyDescent="0.25">
      <c r="A96" s="11">
        <f>A91+1</f>
        <v>39</v>
      </c>
      <c r="B96" s="60" t="s">
        <v>152</v>
      </c>
      <c r="C96" s="19" t="s">
        <v>16</v>
      </c>
      <c r="D96" s="26">
        <v>1</v>
      </c>
      <c r="E96" s="16">
        <v>6891.24</v>
      </c>
      <c r="F96" s="17">
        <f t="shared" si="47"/>
        <v>6891.24</v>
      </c>
      <c r="G96" s="17">
        <f t="shared" si="48"/>
        <v>8269.49</v>
      </c>
      <c r="H96" s="48"/>
      <c r="I96" s="17"/>
      <c r="J96" s="17"/>
      <c r="K96" s="34">
        <f t="shared" si="49"/>
        <v>6891.24</v>
      </c>
      <c r="L96" s="23">
        <f t="shared" si="49"/>
        <v>8269.49</v>
      </c>
    </row>
    <row r="97" spans="1:13" ht="18.75" customHeight="1" x14ac:dyDescent="0.25">
      <c r="A97" s="36" t="s">
        <v>153</v>
      </c>
      <c r="B97" s="58" t="s">
        <v>154</v>
      </c>
      <c r="C97" s="38" t="s">
        <v>16</v>
      </c>
      <c r="D97" s="55">
        <v>1</v>
      </c>
      <c r="E97" s="40"/>
      <c r="F97" s="41"/>
      <c r="G97" s="41"/>
      <c r="H97" s="59">
        <v>12662.42</v>
      </c>
      <c r="I97" s="41">
        <f t="shared" ref="I97" si="53">ROUND(H97*D97,2)</f>
        <v>12662.42</v>
      </c>
      <c r="J97" s="41">
        <f t="shared" si="51"/>
        <v>15194.9</v>
      </c>
      <c r="K97" s="43">
        <f t="shared" si="49"/>
        <v>12662.42</v>
      </c>
      <c r="L97" s="41">
        <f t="shared" si="49"/>
        <v>15194.9</v>
      </c>
      <c r="M97" s="1" t="s">
        <v>105</v>
      </c>
    </row>
    <row r="98" spans="1:13" ht="18.75" customHeight="1" x14ac:dyDescent="0.25">
      <c r="A98" s="11">
        <f>A96+1</f>
        <v>40</v>
      </c>
      <c r="B98" s="60" t="s">
        <v>87</v>
      </c>
      <c r="C98" s="19" t="s">
        <v>16</v>
      </c>
      <c r="D98" s="26">
        <v>1</v>
      </c>
      <c r="E98" s="16">
        <v>6039.48</v>
      </c>
      <c r="F98" s="17">
        <f t="shared" si="47"/>
        <v>6039.48</v>
      </c>
      <c r="G98" s="17">
        <f t="shared" si="48"/>
        <v>7247.38</v>
      </c>
      <c r="H98" s="48"/>
      <c r="I98" s="17"/>
      <c r="J98" s="17"/>
      <c r="K98" s="34">
        <f t="shared" si="49"/>
        <v>6039.48</v>
      </c>
      <c r="L98" s="23">
        <f t="shared" si="49"/>
        <v>7247.38</v>
      </c>
    </row>
    <row r="99" spans="1:13" ht="18.75" customHeight="1" x14ac:dyDescent="0.25">
      <c r="A99" s="36" t="s">
        <v>155</v>
      </c>
      <c r="B99" s="58" t="s">
        <v>89</v>
      </c>
      <c r="C99" s="38" t="s">
        <v>16</v>
      </c>
      <c r="D99" s="55">
        <v>1</v>
      </c>
      <c r="E99" s="40"/>
      <c r="F99" s="41"/>
      <c r="G99" s="41"/>
      <c r="H99" s="59">
        <v>2886.1</v>
      </c>
      <c r="I99" s="41">
        <f t="shared" ref="I99" si="54">ROUND(H99*D99,2)</f>
        <v>2886.1</v>
      </c>
      <c r="J99" s="41">
        <f t="shared" ref="J99" si="55">ROUND(I99*1.2,2)</f>
        <v>3463.32</v>
      </c>
      <c r="K99" s="43">
        <f t="shared" si="49"/>
        <v>2886.1</v>
      </c>
      <c r="L99" s="41">
        <f t="shared" si="49"/>
        <v>3463.32</v>
      </c>
    </row>
    <row r="100" spans="1:13" ht="15.75" x14ac:dyDescent="0.25">
      <c r="A100" s="33"/>
      <c r="B100" s="60"/>
      <c r="C100" s="19"/>
      <c r="D100" s="26"/>
      <c r="E100" s="16"/>
      <c r="F100" s="17"/>
      <c r="G100" s="17"/>
      <c r="H100" s="48"/>
      <c r="I100" s="17"/>
      <c r="J100" s="17"/>
      <c r="K100" s="34"/>
      <c r="L100" s="23"/>
    </row>
    <row r="101" spans="1:13" s="69" customFormat="1" ht="21.75" customHeight="1" x14ac:dyDescent="0.3">
      <c r="A101" s="74" t="s">
        <v>156</v>
      </c>
      <c r="B101" s="75"/>
      <c r="C101" s="75"/>
      <c r="D101" s="75"/>
      <c r="E101" s="76"/>
      <c r="F101" s="66">
        <f>SUM(F7:F100)</f>
        <v>884493.71</v>
      </c>
      <c r="G101" s="71">
        <f>ROUND(F101*1.2,2)</f>
        <v>1061392.45</v>
      </c>
      <c r="H101" s="67"/>
      <c r="I101" s="66">
        <f>SUM(I7:I100)</f>
        <v>980943.06</v>
      </c>
      <c r="J101" s="71">
        <f>ROUND(I101*1.2,2)</f>
        <v>1177131.67</v>
      </c>
      <c r="K101" s="66">
        <f>SUM(K7:K100)</f>
        <v>1865436.7699999991</v>
      </c>
      <c r="L101" s="71">
        <f>ROUND(K101*1.2,2)</f>
        <v>2238524.12</v>
      </c>
      <c r="M101" s="68"/>
    </row>
  </sheetData>
  <mergeCells count="10">
    <mergeCell ref="B6:D6"/>
    <mergeCell ref="A101:E10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НВК3 В1-2-В1-2А</vt:lpstr>
      <vt:lpstr>'НВК3 В1-2-В1-2А'!Область_печати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2024-02-27T12:09:41Z</dcterms:created>
  <dcterms:modified xsi:type="dcterms:W3CDTF">2024-03-01T10:32:39Z</dcterms:modified>
</cp:coreProperties>
</file>