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DB8EC663-BF07-43AD-9CDE-34A86993A8B4}" xr6:coauthVersionLast="43" xr6:coauthVersionMax="43" xr10:uidLastSave="{00000000-0000-0000-0000-000000000000}"/>
  <bookViews>
    <workbookView xWindow="28680" yWindow="1530" windowWidth="29040" windowHeight="15840" xr2:uid="{EC95C2B4-156B-4EE4-8ADB-CC39E78B4A4D}"/>
  </bookViews>
  <sheets>
    <sheet name="НВК3 В1-3А, В1-4" sheetId="1" r:id="rId1"/>
  </sheets>
  <definedNames>
    <definedName name="_xlnm.Print_Area" localSheetId="0">'НВК3 В1-3А, В1-4'!$A$1:$L$156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7" i="1" l="1"/>
  <c r="E79" i="1"/>
  <c r="E76" i="1"/>
  <c r="E33" i="1"/>
  <c r="E29" i="1"/>
  <c r="E28" i="1"/>
  <c r="E27" i="1"/>
  <c r="E26" i="1"/>
  <c r="E24" i="1"/>
  <c r="E23" i="1"/>
  <c r="E22" i="1"/>
  <c r="E21" i="1"/>
  <c r="E20" i="1"/>
  <c r="E19" i="1"/>
  <c r="E18" i="1"/>
  <c r="E12" i="1"/>
  <c r="E9" i="1"/>
  <c r="J156" i="1" l="1"/>
  <c r="I155" i="1" l="1"/>
  <c r="K155" i="1" s="1"/>
  <c r="L154" i="1"/>
  <c r="K154" i="1"/>
  <c r="I153" i="1"/>
  <c r="K153" i="1" s="1"/>
  <c r="F152" i="1"/>
  <c r="K152" i="1" s="1"/>
  <c r="I151" i="1"/>
  <c r="J151" i="1" s="1"/>
  <c r="L151" i="1" s="1"/>
  <c r="F150" i="1"/>
  <c r="I149" i="1"/>
  <c r="K149" i="1" s="1"/>
  <c r="D148" i="1"/>
  <c r="I148" i="1" s="1"/>
  <c r="I147" i="1"/>
  <c r="J147" i="1" s="1"/>
  <c r="L147" i="1" s="1"/>
  <c r="D147" i="1"/>
  <c r="D146" i="1"/>
  <c r="I146" i="1" s="1"/>
  <c r="K146" i="1" s="1"/>
  <c r="I145" i="1"/>
  <c r="F144" i="1"/>
  <c r="K144" i="1" s="1"/>
  <c r="I143" i="1"/>
  <c r="K143" i="1" s="1"/>
  <c r="F142" i="1"/>
  <c r="K142" i="1" s="1"/>
  <c r="I141" i="1"/>
  <c r="I140" i="1"/>
  <c r="K140" i="1" s="1"/>
  <c r="D140" i="1"/>
  <c r="D139" i="1"/>
  <c r="I139" i="1" s="1"/>
  <c r="I138" i="1"/>
  <c r="J138" i="1" s="1"/>
  <c r="L138" i="1" s="1"/>
  <c r="D138" i="1"/>
  <c r="I137" i="1"/>
  <c r="K137" i="1" s="1"/>
  <c r="F136" i="1"/>
  <c r="K136" i="1" s="1"/>
  <c r="I135" i="1"/>
  <c r="K135" i="1" s="1"/>
  <c r="F134" i="1"/>
  <c r="K134" i="1" s="1"/>
  <c r="I133" i="1"/>
  <c r="J133" i="1" s="1"/>
  <c r="L133" i="1" s="1"/>
  <c r="F132" i="1"/>
  <c r="I130" i="1"/>
  <c r="K130" i="1" s="1"/>
  <c r="F129" i="1"/>
  <c r="K129" i="1" s="1"/>
  <c r="I128" i="1"/>
  <c r="J128" i="1" s="1"/>
  <c r="L128" i="1" s="1"/>
  <c r="F127" i="1"/>
  <c r="K127" i="1" s="1"/>
  <c r="I126" i="1"/>
  <c r="J126" i="1" s="1"/>
  <c r="L126" i="1" s="1"/>
  <c r="G125" i="1"/>
  <c r="L125" i="1" s="1"/>
  <c r="F125" i="1"/>
  <c r="K125" i="1" s="1"/>
  <c r="I124" i="1"/>
  <c r="K124" i="1" s="1"/>
  <c r="K123" i="1"/>
  <c r="I123" i="1"/>
  <c r="J123" i="1" s="1"/>
  <c r="L123" i="1" s="1"/>
  <c r="D123" i="1"/>
  <c r="D122" i="1"/>
  <c r="I122" i="1" s="1"/>
  <c r="K122" i="1" s="1"/>
  <c r="I121" i="1"/>
  <c r="D121" i="1"/>
  <c r="J120" i="1"/>
  <c r="L120" i="1" s="1"/>
  <c r="I120" i="1"/>
  <c r="K120" i="1" s="1"/>
  <c r="F119" i="1"/>
  <c r="K119" i="1" s="1"/>
  <c r="I118" i="1"/>
  <c r="J118" i="1" s="1"/>
  <c r="L118" i="1" s="1"/>
  <c r="F117" i="1"/>
  <c r="J116" i="1"/>
  <c r="L116" i="1" s="1"/>
  <c r="I116" i="1"/>
  <c r="K116" i="1" s="1"/>
  <c r="D115" i="1"/>
  <c r="I115" i="1" s="1"/>
  <c r="I114" i="1"/>
  <c r="J114" i="1" s="1"/>
  <c r="L114" i="1" s="1"/>
  <c r="D114" i="1"/>
  <c r="J113" i="1"/>
  <c r="L113" i="1" s="1"/>
  <c r="D113" i="1"/>
  <c r="I113" i="1" s="1"/>
  <c r="K113" i="1" s="1"/>
  <c r="I112" i="1"/>
  <c r="F111" i="1"/>
  <c r="K111" i="1" s="1"/>
  <c r="I110" i="1"/>
  <c r="F109" i="1"/>
  <c r="G109" i="1" s="1"/>
  <c r="L109" i="1" s="1"/>
  <c r="K108" i="1"/>
  <c r="I108" i="1"/>
  <c r="J108" i="1" s="1"/>
  <c r="L108" i="1" s="1"/>
  <c r="F107" i="1"/>
  <c r="K107" i="1" s="1"/>
  <c r="I106" i="1"/>
  <c r="K106" i="1" s="1"/>
  <c r="K105" i="1"/>
  <c r="F105" i="1"/>
  <c r="G105" i="1" s="1"/>
  <c r="L105" i="1" s="1"/>
  <c r="I104" i="1"/>
  <c r="K104" i="1" s="1"/>
  <c r="F103" i="1"/>
  <c r="K103" i="1" s="1"/>
  <c r="I102" i="1"/>
  <c r="K102" i="1" s="1"/>
  <c r="F101" i="1"/>
  <c r="G101" i="1" s="1"/>
  <c r="L101" i="1" s="1"/>
  <c r="J99" i="1"/>
  <c r="L99" i="1" s="1"/>
  <c r="I99" i="1"/>
  <c r="K99" i="1" s="1"/>
  <c r="F98" i="1"/>
  <c r="K98" i="1" s="1"/>
  <c r="I97" i="1"/>
  <c r="K97" i="1" s="1"/>
  <c r="F96" i="1"/>
  <c r="G96" i="1" s="1"/>
  <c r="L96" i="1" s="1"/>
  <c r="J95" i="1"/>
  <c r="L95" i="1" s="1"/>
  <c r="I95" i="1"/>
  <c r="K95" i="1" s="1"/>
  <c r="D94" i="1"/>
  <c r="F94" i="1" s="1"/>
  <c r="I93" i="1"/>
  <c r="K93" i="1" s="1"/>
  <c r="F92" i="1"/>
  <c r="K92" i="1" s="1"/>
  <c r="F91" i="1"/>
  <c r="G91" i="1" s="1"/>
  <c r="D91" i="1"/>
  <c r="I91" i="1" s="1"/>
  <c r="J91" i="1" s="1"/>
  <c r="I90" i="1"/>
  <c r="I89" i="1"/>
  <c r="J89" i="1" s="1"/>
  <c r="L89" i="1" s="1"/>
  <c r="K88" i="1"/>
  <c r="I88" i="1"/>
  <c r="J88" i="1" s="1"/>
  <c r="L88" i="1" s="1"/>
  <c r="I87" i="1"/>
  <c r="K87" i="1" s="1"/>
  <c r="J86" i="1"/>
  <c r="L86" i="1" s="1"/>
  <c r="I86" i="1"/>
  <c r="K86" i="1" s="1"/>
  <c r="F85" i="1"/>
  <c r="K85" i="1" s="1"/>
  <c r="I83" i="1"/>
  <c r="J83" i="1" s="1"/>
  <c r="L83" i="1" s="1"/>
  <c r="D83" i="1"/>
  <c r="F82" i="1"/>
  <c r="K82" i="1" s="1"/>
  <c r="F81" i="1"/>
  <c r="I80" i="1"/>
  <c r="K80" i="1" s="1"/>
  <c r="F79" i="1"/>
  <c r="K79" i="1" s="1"/>
  <c r="D78" i="1"/>
  <c r="I78" i="1" s="1"/>
  <c r="K78" i="1" s="1"/>
  <c r="F77" i="1"/>
  <c r="G77" i="1" s="1"/>
  <c r="L77" i="1" s="1"/>
  <c r="F76" i="1"/>
  <c r="K76" i="1" s="1"/>
  <c r="F75" i="1"/>
  <c r="K75" i="1" s="1"/>
  <c r="F73" i="1"/>
  <c r="F72" i="1"/>
  <c r="K72" i="1" s="1"/>
  <c r="F71" i="1"/>
  <c r="G71" i="1" s="1"/>
  <c r="L71" i="1" s="1"/>
  <c r="D67" i="1"/>
  <c r="F66" i="1"/>
  <c r="K66" i="1" s="1"/>
  <c r="F65" i="1"/>
  <c r="L64" i="1"/>
  <c r="K64" i="1"/>
  <c r="F63" i="1"/>
  <c r="K63" i="1" s="1"/>
  <c r="F62" i="1"/>
  <c r="F60" i="1"/>
  <c r="K60" i="1" s="1"/>
  <c r="F59" i="1"/>
  <c r="G59" i="1" s="1"/>
  <c r="L59" i="1" s="1"/>
  <c r="D58" i="1"/>
  <c r="I58" i="1" s="1"/>
  <c r="K58" i="1" s="1"/>
  <c r="F57" i="1"/>
  <c r="K57" i="1" s="1"/>
  <c r="D56" i="1"/>
  <c r="I56" i="1" s="1"/>
  <c r="F55" i="1"/>
  <c r="G54" i="1"/>
  <c r="L54" i="1" s="1"/>
  <c r="F54" i="1"/>
  <c r="K54" i="1" s="1"/>
  <c r="F53" i="1"/>
  <c r="G53" i="1" s="1"/>
  <c r="L53" i="1" s="1"/>
  <c r="F51" i="1"/>
  <c r="K51" i="1" s="1"/>
  <c r="F50" i="1"/>
  <c r="G50" i="1" s="1"/>
  <c r="L50" i="1" s="1"/>
  <c r="F49" i="1"/>
  <c r="K49" i="1" s="1"/>
  <c r="F47" i="1"/>
  <c r="F45" i="1"/>
  <c r="K45" i="1" s="1"/>
  <c r="F40" i="1"/>
  <c r="K40" i="1" s="1"/>
  <c r="F39" i="1"/>
  <c r="K39" i="1" s="1"/>
  <c r="F38" i="1"/>
  <c r="G38" i="1" s="1"/>
  <c r="L38" i="1" s="1"/>
  <c r="F37" i="1"/>
  <c r="G37" i="1" s="1"/>
  <c r="L37" i="1" s="1"/>
  <c r="F36" i="1"/>
  <c r="K36" i="1" s="1"/>
  <c r="F35" i="1"/>
  <c r="G35" i="1" s="1"/>
  <c r="L35" i="1" s="1"/>
  <c r="F34" i="1"/>
  <c r="G34" i="1" s="1"/>
  <c r="L34" i="1" s="1"/>
  <c r="F33" i="1"/>
  <c r="K33" i="1" s="1"/>
  <c r="F31" i="1"/>
  <c r="G31" i="1" s="1"/>
  <c r="L31" i="1" s="1"/>
  <c r="F30" i="1"/>
  <c r="K30" i="1" s="1"/>
  <c r="F29" i="1"/>
  <c r="G29" i="1" s="1"/>
  <c r="L29" i="1" s="1"/>
  <c r="F28" i="1"/>
  <c r="G28" i="1" s="1"/>
  <c r="L28" i="1" s="1"/>
  <c r="F27" i="1"/>
  <c r="F26" i="1"/>
  <c r="G26" i="1" s="1"/>
  <c r="L26" i="1" s="1"/>
  <c r="F24" i="1"/>
  <c r="G24" i="1" s="1"/>
  <c r="L24" i="1" s="1"/>
  <c r="F23" i="1"/>
  <c r="F22" i="1"/>
  <c r="G22" i="1" s="1"/>
  <c r="L22" i="1" s="1"/>
  <c r="F21" i="1"/>
  <c r="G21" i="1" s="1"/>
  <c r="L21" i="1" s="1"/>
  <c r="F20" i="1"/>
  <c r="F19" i="1"/>
  <c r="G19" i="1" s="1"/>
  <c r="L19" i="1" s="1"/>
  <c r="F18" i="1"/>
  <c r="G18" i="1" s="1"/>
  <c r="L18" i="1" s="1"/>
  <c r="F16" i="1"/>
  <c r="G16" i="1" s="1"/>
  <c r="L16" i="1" s="1"/>
  <c r="F15" i="1"/>
  <c r="K15" i="1" s="1"/>
  <c r="F13" i="1"/>
  <c r="K13" i="1" s="1"/>
  <c r="F12" i="1"/>
  <c r="G12" i="1" s="1"/>
  <c r="L12" i="1" s="1"/>
  <c r="K10" i="1"/>
  <c r="F10" i="1"/>
  <c r="G10" i="1" s="1"/>
  <c r="L10" i="1" s="1"/>
  <c r="F9" i="1"/>
  <c r="A9" i="1"/>
  <c r="A10" i="1" s="1"/>
  <c r="A12" i="1" s="1"/>
  <c r="A13" i="1" s="1"/>
  <c r="A15" i="1" s="1"/>
  <c r="A16" i="1" s="1"/>
  <c r="A18" i="1" s="1"/>
  <c r="A19" i="1" s="1"/>
  <c r="A20" i="1" s="1"/>
  <c r="A21" i="1" s="1"/>
  <c r="A22" i="1" s="1"/>
  <c r="A23" i="1" s="1"/>
  <c r="A24" i="1" s="1"/>
  <c r="A26" i="1" s="1"/>
  <c r="A27" i="1" s="1"/>
  <c r="A28" i="1" s="1"/>
  <c r="A29" i="1" s="1"/>
  <c r="A30" i="1" s="1"/>
  <c r="A31" i="1" s="1"/>
  <c r="A33" i="1" s="1"/>
  <c r="A40" i="1" s="1"/>
  <c r="A47" i="1" s="1"/>
  <c r="A49" i="1" s="1"/>
  <c r="A50" i="1" s="1"/>
  <c r="F8" i="1"/>
  <c r="G8" i="1" s="1"/>
  <c r="L8" i="1" s="1"/>
  <c r="G36" i="1" l="1"/>
  <c r="L36" i="1" s="1"/>
  <c r="G51" i="1"/>
  <c r="L51" i="1" s="1"/>
  <c r="G63" i="1"/>
  <c r="L63" i="1" s="1"/>
  <c r="G82" i="1"/>
  <c r="L82" i="1" s="1"/>
  <c r="K38" i="1"/>
  <c r="K12" i="1"/>
  <c r="G13" i="1"/>
  <c r="L13" i="1" s="1"/>
  <c r="K35" i="1"/>
  <c r="K50" i="1"/>
  <c r="G79" i="1"/>
  <c r="L79" i="1" s="1"/>
  <c r="G103" i="1"/>
  <c r="L103" i="1" s="1"/>
  <c r="G107" i="1"/>
  <c r="L107" i="1" s="1"/>
  <c r="K126" i="1"/>
  <c r="J137" i="1"/>
  <c r="L137" i="1" s="1"/>
  <c r="K133" i="1"/>
  <c r="J149" i="1"/>
  <c r="L149" i="1" s="1"/>
  <c r="J153" i="1"/>
  <c r="L153" i="1" s="1"/>
  <c r="J104" i="1"/>
  <c r="L104" i="1" s="1"/>
  <c r="K114" i="1"/>
  <c r="K118" i="1"/>
  <c r="J80" i="1"/>
  <c r="L80" i="1" s="1"/>
  <c r="J87" i="1"/>
  <c r="L87" i="1" s="1"/>
  <c r="K89" i="1"/>
  <c r="J93" i="1"/>
  <c r="L93" i="1" s="1"/>
  <c r="J130" i="1"/>
  <c r="L130" i="1" s="1"/>
  <c r="K138" i="1"/>
  <c r="K147" i="1"/>
  <c r="K151" i="1"/>
  <c r="K31" i="1"/>
  <c r="G45" i="1"/>
  <c r="L45" i="1" s="1"/>
  <c r="G57" i="1"/>
  <c r="L57" i="1" s="1"/>
  <c r="G60" i="1"/>
  <c r="L60" i="1" s="1"/>
  <c r="K71" i="1"/>
  <c r="G75" i="1"/>
  <c r="L75" i="1" s="1"/>
  <c r="K96" i="1"/>
  <c r="K109" i="1"/>
  <c r="G15" i="1"/>
  <c r="L15" i="1" s="1"/>
  <c r="G33" i="1"/>
  <c r="L33" i="1" s="1"/>
  <c r="G40" i="1"/>
  <c r="L40" i="1" s="1"/>
  <c r="G72" i="1"/>
  <c r="L72" i="1" s="1"/>
  <c r="K101" i="1"/>
  <c r="G136" i="1"/>
  <c r="L136" i="1" s="1"/>
  <c r="G142" i="1"/>
  <c r="L142" i="1" s="1"/>
  <c r="K8" i="1"/>
  <c r="G85" i="1"/>
  <c r="L85" i="1" s="1"/>
  <c r="G92" i="1"/>
  <c r="L92" i="1" s="1"/>
  <c r="G98" i="1"/>
  <c r="L98" i="1" s="1"/>
  <c r="K53" i="1"/>
  <c r="K59" i="1"/>
  <c r="G119" i="1"/>
  <c r="L119" i="1" s="1"/>
  <c r="A51" i="1"/>
  <c r="A53" i="1"/>
  <c r="A54" i="1" s="1"/>
  <c r="A55" i="1" s="1"/>
  <c r="A57" i="1" s="1"/>
  <c r="A59" i="1" s="1"/>
  <c r="A60" i="1" s="1"/>
  <c r="A62" i="1" s="1"/>
  <c r="G20" i="1"/>
  <c r="L20" i="1" s="1"/>
  <c r="K20" i="1"/>
  <c r="G23" i="1"/>
  <c r="L23" i="1" s="1"/>
  <c r="K23" i="1"/>
  <c r="K9" i="1"/>
  <c r="G9" i="1"/>
  <c r="L9" i="1" s="1"/>
  <c r="G27" i="1"/>
  <c r="L27" i="1" s="1"/>
  <c r="K27" i="1"/>
  <c r="K56" i="1"/>
  <c r="J56" i="1"/>
  <c r="K73" i="1"/>
  <c r="G73" i="1"/>
  <c r="L73" i="1" s="1"/>
  <c r="K18" i="1"/>
  <c r="K21" i="1"/>
  <c r="K24" i="1"/>
  <c r="K28" i="1"/>
  <c r="K34" i="1"/>
  <c r="K55" i="1"/>
  <c r="G55" i="1"/>
  <c r="L55" i="1" s="1"/>
  <c r="G66" i="1"/>
  <c r="L66" i="1" s="1"/>
  <c r="K77" i="1"/>
  <c r="L91" i="1"/>
  <c r="K128" i="1"/>
  <c r="K150" i="1"/>
  <c r="G150" i="1"/>
  <c r="L150" i="1" s="1"/>
  <c r="D69" i="1"/>
  <c r="D68" i="1"/>
  <c r="I68" i="1" s="1"/>
  <c r="K91" i="1"/>
  <c r="K94" i="1"/>
  <c r="G94" i="1"/>
  <c r="L94" i="1" s="1"/>
  <c r="K112" i="1"/>
  <c r="J112" i="1"/>
  <c r="L112" i="1" s="1"/>
  <c r="K115" i="1"/>
  <c r="J115" i="1"/>
  <c r="L115" i="1" s="1"/>
  <c r="K141" i="1"/>
  <c r="J141" i="1"/>
  <c r="L141" i="1" s="1"/>
  <c r="K47" i="1"/>
  <c r="G47" i="1"/>
  <c r="L47" i="1" s="1"/>
  <c r="K132" i="1"/>
  <c r="G132" i="1"/>
  <c r="L132" i="1" s="1"/>
  <c r="K16" i="1"/>
  <c r="G30" i="1"/>
  <c r="L30" i="1" s="1"/>
  <c r="G39" i="1"/>
  <c r="L39" i="1" s="1"/>
  <c r="K37" i="1"/>
  <c r="G49" i="1"/>
  <c r="L49" i="1" s="1"/>
  <c r="J58" i="1"/>
  <c r="L58" i="1" s="1"/>
  <c r="K62" i="1"/>
  <c r="G62" i="1"/>
  <c r="L62" i="1" s="1"/>
  <c r="F67" i="1"/>
  <c r="J78" i="1"/>
  <c r="L78" i="1" s="1"/>
  <c r="K121" i="1"/>
  <c r="J121" i="1"/>
  <c r="L121" i="1" s="1"/>
  <c r="K145" i="1"/>
  <c r="J145" i="1"/>
  <c r="L145" i="1" s="1"/>
  <c r="K148" i="1"/>
  <c r="J148" i="1"/>
  <c r="L148" i="1" s="1"/>
  <c r="K90" i="1"/>
  <c r="J90" i="1"/>
  <c r="L90" i="1" s="1"/>
  <c r="K139" i="1"/>
  <c r="J139" i="1"/>
  <c r="L139" i="1" s="1"/>
  <c r="K117" i="1"/>
  <c r="G117" i="1"/>
  <c r="L117" i="1" s="1"/>
  <c r="K65" i="1"/>
  <c r="G65" i="1"/>
  <c r="L65" i="1" s="1"/>
  <c r="K19" i="1"/>
  <c r="K22" i="1"/>
  <c r="K26" i="1"/>
  <c r="K29" i="1"/>
  <c r="G76" i="1"/>
  <c r="L76" i="1" s="1"/>
  <c r="K81" i="1"/>
  <c r="G81" i="1"/>
  <c r="L81" i="1" s="1"/>
  <c r="K83" i="1"/>
  <c r="K110" i="1"/>
  <c r="J110" i="1"/>
  <c r="L110" i="1" s="1"/>
  <c r="J122" i="1"/>
  <c r="L122" i="1" s="1"/>
  <c r="G127" i="1"/>
  <c r="L127" i="1" s="1"/>
  <c r="J146" i="1"/>
  <c r="L146" i="1" s="1"/>
  <c r="J97" i="1"/>
  <c r="L97" i="1" s="1"/>
  <c r="J102" i="1"/>
  <c r="L102" i="1" s="1"/>
  <c r="J106" i="1"/>
  <c r="L106" i="1" s="1"/>
  <c r="G111" i="1"/>
  <c r="L111" i="1" s="1"/>
  <c r="J124" i="1"/>
  <c r="L124" i="1" s="1"/>
  <c r="J135" i="1"/>
  <c r="L135" i="1" s="1"/>
  <c r="J140" i="1"/>
  <c r="L140" i="1" s="1"/>
  <c r="G144" i="1"/>
  <c r="L144" i="1" s="1"/>
  <c r="J155" i="1"/>
  <c r="L155" i="1" s="1"/>
  <c r="G129" i="1"/>
  <c r="L129" i="1" s="1"/>
  <c r="G134" i="1"/>
  <c r="L134" i="1" s="1"/>
  <c r="J143" i="1"/>
  <c r="L143" i="1" s="1"/>
  <c r="G152" i="1"/>
  <c r="L152" i="1" s="1"/>
  <c r="J68" i="1" l="1"/>
  <c r="L68" i="1" s="1"/>
  <c r="K68" i="1"/>
  <c r="L56" i="1"/>
  <c r="D70" i="1"/>
  <c r="I70" i="1" s="1"/>
  <c r="F69" i="1"/>
  <c r="F156" i="1" s="1"/>
  <c r="G156" i="1" s="1"/>
  <c r="A63" i="1"/>
  <c r="A65" i="1"/>
  <c r="A66" i="1" s="1"/>
  <c r="A67" i="1" s="1"/>
  <c r="A69" i="1" s="1"/>
  <c r="A71" i="1" s="1"/>
  <c r="A72" i="1" s="1"/>
  <c r="A73" i="1" s="1"/>
  <c r="A75" i="1" s="1"/>
  <c r="A76" i="1" s="1"/>
  <c r="A77" i="1" s="1"/>
  <c r="A79" i="1" s="1"/>
  <c r="A81" i="1" s="1"/>
  <c r="A82" i="1" s="1"/>
  <c r="A85" i="1" s="1"/>
  <c r="A92" i="1" s="1"/>
  <c r="A94" i="1" s="1"/>
  <c r="A96" i="1" s="1"/>
  <c r="A98" i="1" s="1"/>
  <c r="A101" i="1" s="1"/>
  <c r="A103" i="1" s="1"/>
  <c r="A105" i="1" s="1"/>
  <c r="A107" i="1" s="1"/>
  <c r="A109" i="1" s="1"/>
  <c r="A111" i="1" s="1"/>
  <c r="A117" i="1" s="1"/>
  <c r="A119" i="1" s="1"/>
  <c r="A125" i="1" s="1"/>
  <c r="A127" i="1" s="1"/>
  <c r="A129" i="1" s="1"/>
  <c r="A132" i="1" s="1"/>
  <c r="A134" i="1" s="1"/>
  <c r="A136" i="1" s="1"/>
  <c r="A142" i="1" s="1"/>
  <c r="A144" i="1" s="1"/>
  <c r="A150" i="1" s="1"/>
  <c r="A152" i="1" s="1"/>
  <c r="A154" i="1" s="1"/>
  <c r="K67" i="1"/>
  <c r="G67" i="1"/>
  <c r="L67" i="1" s="1"/>
  <c r="K70" i="1" l="1"/>
  <c r="J70" i="1"/>
  <c r="I156" i="1"/>
  <c r="G69" i="1"/>
  <c r="L69" i="1" s="1"/>
  <c r="K69" i="1"/>
  <c r="K156" i="1" s="1"/>
  <c r="L156" i="1" s="1"/>
  <c r="L70" i="1" l="1"/>
</calcChain>
</file>

<file path=xl/sharedStrings.xml><?xml version="1.0" encoding="utf-8"?>
<sst xmlns="http://schemas.openxmlformats.org/spreadsheetml/2006/main" count="424" uniqueCount="269">
  <si>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</si>
  <si>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</si>
  <si>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</si>
  <si>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</si>
  <si>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</si>
  <si>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</si>
  <si>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</si>
  <si>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</si>
  <si>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</si>
  <si>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</si>
  <si>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</si>
  <si>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</si>
  <si>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</si>
  <si>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131-23-НВК3. Переустройство хозпитьевого водопровода на участке В1-3А и В1-4</t>
  </si>
  <si>
    <t>Разборка дорожных покрытий для устройства котлованов</t>
  </si>
  <si>
    <t>Демонтаж дорожного бордюра</t>
  </si>
  <si>
    <t>шт./м</t>
  </si>
  <si>
    <t>19 /19</t>
  </si>
  <si>
    <t>стоимость путь 417 ГП, п. 189</t>
  </si>
  <si>
    <t>Разборка асфальтобетонного покрытия  (h) 0,19м</t>
  </si>
  <si>
    <t>м3</t>
  </si>
  <si>
    <t>Ранее этих работ не было, стоимости из ГП</t>
  </si>
  <si>
    <t xml:space="preserve">Разборка щебеночного основания </t>
  </si>
  <si>
    <t>стоимость путь 217 ГП, п. 18 м К на толщину слоя /1,05*1,19)</t>
  </si>
  <si>
    <t>Разборка дорожных покрытий для устройства траншеи</t>
  </si>
  <si>
    <t>Разборка асфальтобетонного покрытия</t>
  </si>
  <si>
    <t>стоимость путь 217 ГП, п. 19</t>
  </si>
  <si>
    <t>Прочие работы</t>
  </si>
  <si>
    <t>Погрузка демонтированного дорожного бордюра в автосамосвалы</t>
  </si>
  <si>
    <t>м / т</t>
  </si>
  <si>
    <t>19 /1,9</t>
  </si>
  <si>
    <t>Ранее этих работ не было, стоимости из 217 пути</t>
  </si>
  <si>
    <t>Погрузка строительного мусора в автосамосвалы</t>
  </si>
  <si>
    <t>м3 / т</t>
  </si>
  <si>
    <t>60,13/ 98,64</t>
  </si>
  <si>
    <t>Демонтаж трубопроводной арматуры в колодце В1-3А</t>
  </si>
  <si>
    <t>Демонтаж задвижки чугунной с обрезиненным клином невыдвижным шпинделем фланцевой МЗВ-300 (DN300) Ру 1,6 Мпа (16кгс/см2)</t>
  </si>
  <si>
    <t>шт.</t>
  </si>
  <si>
    <t>Ранее этих работ не было, стоимость принята по цене монтаж * 0,8</t>
  </si>
  <si>
    <t>Демонтаж шарового крана (DN150) Ру1,6 Мпа (16кгс/см2)</t>
  </si>
  <si>
    <t>Демонтаж тройника чугунного фланцевого ТФ 300х150</t>
  </si>
  <si>
    <t>Демонтаж фланца свободного стального Dy 300мм (для труб диаметром 315мм) в компл. с болтом М20х80, гайкой, шайбой, прокладками</t>
  </si>
  <si>
    <t>Демонтаж фланца свободного стального Dy 150мм (для труб диаметром 160мм) в компл. с болтом М20х80, гайкой, шайбой, прокладками</t>
  </si>
  <si>
    <t>Демонтаж муфты защитной полиэтиленовой D=365 мм L=150мм для прохода труб сквозь бетонную стену колодца (для труб D=315мм)</t>
  </si>
  <si>
    <t>Демонтаж муфты защитной полиэтиленовой D=194 мм L=150мм для прохода труб сквозь бетонную стену колодца (для труб D=160мм)</t>
  </si>
  <si>
    <t>Ранее этих работ не было, стоимость принята по цене монтаж * 0,8 (В1-3А – В1-8, п 90)</t>
  </si>
  <si>
    <t>Демонтаж технического узла В1-4</t>
  </si>
  <si>
    <t>Демонтаж задвижки Ду100мм</t>
  </si>
  <si>
    <t>Ранее этих работ не было, стоимость принята по цене монтаж * 0,8 (НВК2, (В1) к цеху 121/18, п 19)</t>
  </si>
  <si>
    <t>Демонтаж крестовины 2-х плоскостной Ду 300х150х100</t>
  </si>
  <si>
    <t>Демонтаж отвода Ду 100</t>
  </si>
  <si>
    <t>Ранее этих работ не было, стоимость принята по цене монтаж * 0,8 (НВК2, (В1) к цеху 121/18, п 30)</t>
  </si>
  <si>
    <t>Демонтаж фланца стального Ду 100 в компл. с болтом, гайкой, шайбой, прокладками</t>
  </si>
  <si>
    <t>Ранее этих работ не было, стоимость принята по цене монтаж * 0,8 (НВК2, (В1) к цеху 121/18, п 21)</t>
  </si>
  <si>
    <t>Демонтаж трубы чугунной Ду 315 (78кг/шт.)</t>
  </si>
  <si>
    <t>стоимость путь 417 НВК5</t>
  </si>
  <si>
    <t>Демонтаж трубы чугунной Ду 100 (14кг/шт.)</t>
  </si>
  <si>
    <t>Сметная стоимость</t>
  </si>
  <si>
    <t xml:space="preserve">Демонтаж ж/б изделий колодцев </t>
  </si>
  <si>
    <t>Демонтаж ж/б изделий колодцев В1-3А:</t>
  </si>
  <si>
    <t>м³
т</t>
  </si>
  <si>
    <t>2,381
5,932</t>
  </si>
  <si>
    <t>21.1</t>
  </si>
  <si>
    <t xml:space="preserve">    -Демонтаж люка чугунного тяжелый тип Т(В)</t>
  </si>
  <si>
    <t>21.2</t>
  </si>
  <si>
    <t xml:space="preserve">    -Демонтаж плиты перекрытия колодца ПП20-2</t>
  </si>
  <si>
    <t>21.3</t>
  </si>
  <si>
    <t xml:space="preserve">    -Демонтаж кольца стенового КС-20-9</t>
  </si>
  <si>
    <t>21.4</t>
  </si>
  <si>
    <t xml:space="preserve">    -Демонтаж кольца стенового КС-7-5</t>
  </si>
  <si>
    <t>21.5</t>
  </si>
  <si>
    <t xml:space="preserve">    -Демонтаж кольца стенового КС-7-1,5</t>
  </si>
  <si>
    <t>21.6</t>
  </si>
  <si>
    <t xml:space="preserve">    -Демонтаж плита днища ПН20-1</t>
  </si>
  <si>
    <t>Демонтаж ж/б изделий колодцев В1-4:</t>
  </si>
  <si>
    <t>0,84
1,9076</t>
  </si>
  <si>
    <t>22.1</t>
  </si>
  <si>
    <t>стоимость путь 217 НВК, п.26</t>
  </si>
  <si>
    <t>22.2</t>
  </si>
  <si>
    <t xml:space="preserve">    -Демонтаж кладки из кирпича</t>
  </si>
  <si>
    <t>22.3</t>
  </si>
  <si>
    <t>22.4</t>
  </si>
  <si>
    <t>22.5</t>
  </si>
  <si>
    <t>Демонтаж трубы</t>
  </si>
  <si>
    <t>Этого раздела не было в КП</t>
  </si>
  <si>
    <t>Демонтаж трубы чугунной ф315мм</t>
  </si>
  <si>
    <t>м
кг</t>
  </si>
  <si>
    <t>21,25
1810,5</t>
  </si>
  <si>
    <t>Погрузка демонтированной трубы чугунной ф315мм в автосамосвалы</t>
  </si>
  <si>
    <t>м/ т</t>
  </si>
  <si>
    <t>21,25/ 1,81</t>
  </si>
  <si>
    <t>стоимость путь 217 НВК, п.30</t>
  </si>
  <si>
    <t>м³/ т</t>
  </si>
  <si>
    <t xml:space="preserve">3,221/ 7,8396 </t>
  </si>
  <si>
    <t>стоимость путь 217 НВК, п.27</t>
  </si>
  <si>
    <t xml:space="preserve">Отвозка строительного мусора на расстояние до 
30 км автосамосвалом КАМАЗ-5511 г.п. 10 т </t>
  </si>
  <si>
    <t>т</t>
  </si>
  <si>
    <t xml:space="preserve">Земляные работы для устройства колодца </t>
  </si>
  <si>
    <t>Разработка грунта в траншее механизированным способом (экскаватором с ковшом емк. 0,4 м3) (98%)</t>
  </si>
  <si>
    <t>м³</t>
  </si>
  <si>
    <t>Доработка грунта в траншее вручную (2%)</t>
  </si>
  <si>
    <t>Устройство щебеночного основания под колодец В1-3А</t>
  </si>
  <si>
    <t>28.1</t>
  </si>
  <si>
    <t>Щебень</t>
  </si>
  <si>
    <t>Обсыпка песком колодца</t>
  </si>
  <si>
    <t>29.1</t>
  </si>
  <si>
    <t>Песок природный  средний</t>
  </si>
  <si>
    <t>Обратная засыпка котлована грунтом</t>
  </si>
  <si>
    <t>Уплотнение грунта пневматическими трамбовками</t>
  </si>
  <si>
    <t>Погрузка лишнего грунта в автосамосвалы</t>
  </si>
  <si>
    <t>21,7 /41,32</t>
  </si>
  <si>
    <t xml:space="preserve">Отвозка лишнего грунта на расстояние до 
30 км автосамосвалом КАМАЗ-5511 г.п. 10 т </t>
  </si>
  <si>
    <t>Эти работы нужны?</t>
  </si>
  <si>
    <t>Земляные работы для устройства траншеи</t>
  </si>
  <si>
    <t>Разработка техногенного грунта в траншее механизированным способом (экскаватором с ковшом емк. 0,4 м3) (98%)</t>
  </si>
  <si>
    <t>стоимость путь 217 НВК</t>
  </si>
  <si>
    <t xml:space="preserve">Устройство песчаного основания h=0,1м под трубы </t>
  </si>
  <si>
    <t>35.1</t>
  </si>
  <si>
    <t xml:space="preserve">Обсыпка из песка труб в траншее </t>
  </si>
  <si>
    <t>36.1</t>
  </si>
  <si>
    <t>Обратная засыпка траншеи грунтом</t>
  </si>
  <si>
    <r>
      <t>м</t>
    </r>
    <r>
      <rPr>
        <sz val="14"/>
        <rFont val="Times New Roman"/>
        <family val="1"/>
        <charset val="204"/>
      </rPr>
      <t>³</t>
    </r>
  </si>
  <si>
    <t>Планировка площадей бульдозерами</t>
  </si>
  <si>
    <t>м2</t>
  </si>
  <si>
    <t>Прокладка трубопровода</t>
  </si>
  <si>
    <t>Сварка труб Ф530х8 с защитным покрытием ВУС изоляцией (изготовление футляра)</t>
  </si>
  <si>
    <t>стык</t>
  </si>
  <si>
    <t>Стоимость из 217 трансбордер, ТС1, п.166</t>
  </si>
  <si>
    <t>Изоляция сварного стыка термоусаживающими лентами</t>
  </si>
  <si>
    <t>Прокладка трубы ВУС, ЦПП стальной электросварной ф530х8мм (футляр)</t>
  </si>
  <si>
    <t>м</t>
  </si>
  <si>
    <t>42.1</t>
  </si>
  <si>
    <t>Труба стальная электросварная прямошовная ø530х8,0  (футляр)</t>
  </si>
  <si>
    <t>Стоимость из НВК3 на уч. В1-2 – В1-2А</t>
  </si>
  <si>
    <t>Протаскивание трубы ПЭ100 SDR17 315х18,7 с установкой колец опорно-направляющего ОНК-315/530</t>
  </si>
  <si>
    <t>п.м.</t>
  </si>
  <si>
    <t>сметная стоимость</t>
  </si>
  <si>
    <t>43.1</t>
  </si>
  <si>
    <t>Опорно-направляющее кольцо ОНК-315/530 для трубы Дн=315 мм</t>
  </si>
  <si>
    <t>Заделка концов футляра Ф530х8</t>
  </si>
  <si>
    <t>Заполнение межтрубного пространства цементно-песчаным раствором М100</t>
  </si>
  <si>
    <t>45.1</t>
  </si>
  <si>
    <t>Цементно-песчаный раствор М100</t>
  </si>
  <si>
    <t>Устройство колодцев В1-3А, В1-4</t>
  </si>
  <si>
    <t>Монтаж ж/б изделий колодцев</t>
  </si>
  <si>
    <t>46.1</t>
  </si>
  <si>
    <t>Плита днища колодца ПН20-1</t>
  </si>
  <si>
    <t>46.2</t>
  </si>
  <si>
    <t xml:space="preserve">Кольцо стеновое КС20-9 </t>
  </si>
  <si>
    <t xml:space="preserve">шт. </t>
  </si>
  <si>
    <t>46.3</t>
  </si>
  <si>
    <t>Плита перекрытия колодца ПП20-2 с центральным отверстием</t>
  </si>
  <si>
    <t>46.4</t>
  </si>
  <si>
    <t>Кольцо доборное КС7-1,5</t>
  </si>
  <si>
    <t>Стоимость из счета</t>
  </si>
  <si>
    <t>46.5</t>
  </si>
  <si>
    <t>Кольцо доборное КС7-5</t>
  </si>
  <si>
    <t>46.6</t>
  </si>
  <si>
    <t>Лестница-стремянка ТРП 901-09-11.87-КЖИ. С1-06 С7 L=2,7м (2 шт.)</t>
  </si>
  <si>
    <t>кг</t>
  </si>
  <si>
    <t>Установка люка чугунного тяжелого тип Т (В)</t>
  </si>
  <si>
    <t>47.1</t>
  </si>
  <si>
    <t>Люк чугунный тяжелый Т(С250)</t>
  </si>
  <si>
    <t>Устройство кладки из кирпича</t>
  </si>
  <si>
    <t>стоимость из путь 217, АС1, п. 9</t>
  </si>
  <si>
    <t>48.1</t>
  </si>
  <si>
    <t>Кирпич КР-р-по 250×120×88/1,4НФ/150/2,0/50</t>
  </si>
  <si>
    <t>стоимость из путь 217, АС1, п. 3</t>
  </si>
  <si>
    <t>Обмазка праймером Технониколь колодца в один слой</t>
  </si>
  <si>
    <t>кг
м2</t>
  </si>
  <si>
    <t>10,39
19,63</t>
  </si>
  <si>
    <t>стоимость из ТС1</t>
  </si>
  <si>
    <t>49.1</t>
  </si>
  <si>
    <t>Битумная грунтовка ТЕХНОНИКОЛЬ № 01  (20л=16кг)</t>
  </si>
  <si>
    <t>л/ кг</t>
  </si>
  <si>
    <t>13 / 10,39</t>
  </si>
  <si>
    <t>Обмазка битумной мастикой колодца в два слоя</t>
  </si>
  <si>
    <t>46,35
19,63</t>
  </si>
  <si>
    <t>50.1</t>
  </si>
  <si>
    <t>Битумная мастика Технониколь №24</t>
  </si>
  <si>
    <t>Установка трубопроводной арматуры в колодце В1-3А</t>
  </si>
  <si>
    <t>Установка тройника чугунного ТФ 300х150х300 PN10 фланцевый с ЦПП</t>
  </si>
  <si>
    <t>51.1</t>
  </si>
  <si>
    <t>Тройник чугунный фланцевый ТФ 300х150</t>
  </si>
  <si>
    <t>Установка задвижки с обрезинен. клином DN 300 PN10 короткая (тип МЗВ) со штурвалом</t>
  </si>
  <si>
    <t>52.1</t>
  </si>
  <si>
    <t>Задвижка D 300 мм</t>
  </si>
  <si>
    <t>Установка задвижки с обрезинен. клином DN 150 PN10/16 короткая (тип МЗВ) со штурвалом</t>
  </si>
  <si>
    <t>53.1</t>
  </si>
  <si>
    <t>Задвижка D 150 мм</t>
  </si>
  <si>
    <t xml:space="preserve">Установка фланцевого адаптера (ПФРК) UNIVERSAL DN300 </t>
  </si>
  <si>
    <t>54.1</t>
  </si>
  <si>
    <t>Адаптер фланцевый  (ПФРК) UNIVERSAL DN300 (315-332)</t>
  </si>
  <si>
    <t>цена по счету</t>
  </si>
  <si>
    <t>Установка фланцевого адаптера (ПФРК) UNIVERSAL DN150</t>
  </si>
  <si>
    <t>55.1</t>
  </si>
  <si>
    <t>Адаптер фланцевый  (ПФРК) UNIVERSAL DN150 (159-182)</t>
  </si>
  <si>
    <t>Установка стального фланца для ПЭ d315/DN300, PN10 (без покрытия)</t>
  </si>
  <si>
    <t>56.1</t>
  </si>
  <si>
    <t>Фланец свободный стальной Dу 300 мм (для труб ∅315 мм)</t>
  </si>
  <si>
    <t>56.2</t>
  </si>
  <si>
    <t>Болт М20х100 DIN 933 c шестигранной головкой, полной резьбой покр. цинк (24 шт.)</t>
  </si>
  <si>
    <t>56.3</t>
  </si>
  <si>
    <t>Гайка М20 DIN 934 покр. цинк (36 шт.)</t>
  </si>
  <si>
    <t>56.4</t>
  </si>
  <si>
    <t>Шайба М20 DIN 125 покр.цинк (72 шт.)</t>
  </si>
  <si>
    <t>56.5</t>
  </si>
  <si>
    <t>Прокладка из паронита А-300-10 для фланца ∅300 мм, PN1,0 Мпа</t>
  </si>
  <si>
    <t>Установка втулки под фланец ПЭ100 SDR17 d 315</t>
  </si>
  <si>
    <t>57.1</t>
  </si>
  <si>
    <t>Втулка ПЭ100 SDR 17 под фланец d=315 мм PN10 кгс/см2</t>
  </si>
  <si>
    <t xml:space="preserve">Установка стального фланца для DN150 PN10/16 приварного ГОСТ 33259-15 (ГОСТ 12820-80)  </t>
  </si>
  <si>
    <t>58.1</t>
  </si>
  <si>
    <t>Фланец свободный стальной Dу 150 мм (для труб ∅160 мм)</t>
  </si>
  <si>
    <t>58.2</t>
  </si>
  <si>
    <t>Болт М16х100 DIN 933 c шестигранной головкой, полной резьбой покр. цинк (24 шт.)</t>
  </si>
  <si>
    <t>58.3</t>
  </si>
  <si>
    <t>Гайка М16 DIN 934 покр. цинк (24 шт.)</t>
  </si>
  <si>
    <t>58.4</t>
  </si>
  <si>
    <t>Шайба М16 DIN 125 покр.цинк (48 шт.)</t>
  </si>
  <si>
    <t>58.5</t>
  </si>
  <si>
    <t>Прокладка из паронита А-150-10 для фланца ∅150 мм, PN1,0 Мпа</t>
  </si>
  <si>
    <t>Установка втулки под фланец ПЭ100 SDR17 d 150</t>
  </si>
  <si>
    <t>59.1</t>
  </si>
  <si>
    <t>Втулка ПЭ100 SDR 17 под фланец d=160 мм PN10 кгс/см2</t>
  </si>
  <si>
    <t xml:space="preserve">Установка муфты эл. сварной GF ПЭ100 SDR11 d150 </t>
  </si>
  <si>
    <t xml:space="preserve">Сметная стоимость </t>
  </si>
  <si>
    <t>60.1</t>
  </si>
  <si>
    <t xml:space="preserve">Муфта эл. сварная GF ПЭ100 SDR11 d150 </t>
  </si>
  <si>
    <t>Установка муфты 365 защитной для ЖБИ прохода</t>
  </si>
  <si>
    <t>стоимость из НВК4 (К1), п.174</t>
  </si>
  <si>
    <t>61.1</t>
  </si>
  <si>
    <t>Муфта защитная ПЭ D=365 мм L=150,0 мм  (для труб ø315 мм)</t>
  </si>
  <si>
    <t>Установка трубопроводной арматуры в колодце В1-4</t>
  </si>
  <si>
    <t>Установка тройника чугунного ТФ 300х100х300 PN10 фланцевый с ЦПП</t>
  </si>
  <si>
    <t>62.1</t>
  </si>
  <si>
    <t>Установка задвижки с обрезинен. клином DN 100 PN10/16 короткая (тип МЗВ) со штурвалом</t>
  </si>
  <si>
    <t>63.1</t>
  </si>
  <si>
    <t>Задвижка с обрезинен. клином DN 100 PN10/16 короткая (тип МЗВ) со штурвалом</t>
  </si>
  <si>
    <t>стоимость из счета</t>
  </si>
  <si>
    <t>64.1</t>
  </si>
  <si>
    <t>стоимость из НВК4</t>
  </si>
  <si>
    <t>64.2</t>
  </si>
  <si>
    <t>64.3</t>
  </si>
  <si>
    <t>Гайка М20 DIN 934 покр. цинк (24 шт.)</t>
  </si>
  <si>
    <t>64.4</t>
  </si>
  <si>
    <t>Шайба М20 DIN 125 покр.цинк (48 шт.)</t>
  </si>
  <si>
    <t>64.5</t>
  </si>
  <si>
    <t>65.1</t>
  </si>
  <si>
    <t>Установка стального фланца для ПЭ d110/DN100, PN10/16 окрашенного (синий)</t>
  </si>
  <si>
    <t>66.1</t>
  </si>
  <si>
    <t xml:space="preserve">Стальной фланец под ПЭ100 диам.100мм </t>
  </si>
  <si>
    <t>66.2</t>
  </si>
  <si>
    <t>Болт М16х100 DIN 933 c шестигранной головкой, полной резьбой покр. цинк (16 шт.)</t>
  </si>
  <si>
    <t>66.3</t>
  </si>
  <si>
    <t>Гайка М16 DIN 934 покр. цинк (16 шт.)</t>
  </si>
  <si>
    <t>66.4</t>
  </si>
  <si>
    <t>Шайба М20 DIN 125 покр.цинк (32 шт.)</t>
  </si>
  <si>
    <t>66.5</t>
  </si>
  <si>
    <t>Установка втулки под фланец ПЭ100 SDR17 d 100</t>
  </si>
  <si>
    <t>стоимость из НВК3</t>
  </si>
  <si>
    <t>67.1</t>
  </si>
  <si>
    <t>Втулка под фланец d=100 мм SDR 17</t>
  </si>
  <si>
    <t>Установка отвода 90*110 ПЭ100 SDR11 GF</t>
  </si>
  <si>
    <t xml:space="preserve"> из раздела НВК2</t>
  </si>
  <si>
    <t>68.1</t>
  </si>
  <si>
    <t>Отвод ПЭ100 электросварной 90 град диаметр 110мм</t>
  </si>
  <si>
    <t>69.1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</si>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</sst>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00_-;\-* #,##0.0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105">
    <xf numFmtId="0" fontId="0" fillId="0" borderId="0" xfId="0"/>
    <xf numFmtId="0" fontId="3" fillId="0" borderId="0" xfId="0" applyFont="1" applyAlignment="1">
      <alignment vertical="center"/>
    </xf>
    <xf numFmtId="4" fontId="2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4" fontId="2" fillId="2" borderId="3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0" fontId="8" fillId="3" borderId="3" xfId="3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right" vertical="center" wrapText="1"/>
    </xf>
    <xf numFmtId="43" fontId="8" fillId="0" borderId="3" xfId="1" applyFont="1" applyBorder="1" applyAlignment="1">
      <alignment vertical="center"/>
    </xf>
    <xf numFmtId="0" fontId="3" fillId="3" borderId="0" xfId="0" applyFont="1" applyFill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wrapText="1"/>
    </xf>
    <xf numFmtId="43" fontId="10" fillId="3" borderId="3" xfId="1" applyFont="1" applyFill="1" applyBorder="1" applyAlignment="1">
      <alignment horizontal="center" vertical="center" wrapText="1"/>
    </xf>
    <xf numFmtId="0" fontId="8" fillId="3" borderId="11" xfId="3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8" fillId="3" borderId="3" xfId="0" applyNumberFormat="1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vertical="center"/>
    </xf>
    <xf numFmtId="43" fontId="11" fillId="3" borderId="3" xfId="1" applyNumberFormat="1" applyFont="1" applyFill="1" applyBorder="1" applyAlignment="1">
      <alignment horizontal="center"/>
    </xf>
    <xf numFmtId="43" fontId="11" fillId="3" borderId="3" xfId="1" applyFont="1" applyFill="1" applyBorder="1" applyAlignment="1">
      <alignment vertical="center"/>
    </xf>
    <xf numFmtId="43" fontId="11" fillId="3" borderId="3" xfId="1" applyFont="1" applyFill="1" applyBorder="1" applyAlignment="1">
      <alignment horizontal="center" vertical="center" wrapText="1"/>
    </xf>
    <xf numFmtId="0" fontId="8" fillId="0" borderId="3" xfId="3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43" fontId="8" fillId="3" borderId="3" xfId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vertical="center" wrapText="1"/>
    </xf>
    <xf numFmtId="0" fontId="0" fillId="3" borderId="0" xfId="0" applyFill="1"/>
    <xf numFmtId="0" fontId="8" fillId="0" borderId="3" xfId="3" applyFont="1" applyFill="1" applyBorder="1" applyAlignment="1">
      <alignment horizontal="left" vertical="center" wrapText="1"/>
    </xf>
    <xf numFmtId="0" fontId="2" fillId="3" borderId="3" xfId="3" applyFont="1" applyFill="1" applyBorder="1" applyAlignment="1">
      <alignment horizontal="left" vertical="center" wrapText="1"/>
    </xf>
    <xf numFmtId="43" fontId="6" fillId="3" borderId="3" xfId="1" applyNumberFormat="1" applyFont="1" applyFill="1" applyBorder="1" applyAlignment="1">
      <alignment horizontal="center"/>
    </xf>
    <xf numFmtId="1" fontId="8" fillId="0" borderId="3" xfId="0" applyNumberFormat="1" applyFont="1" applyBorder="1" applyAlignment="1">
      <alignment horizontal="right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43" fontId="6" fillId="4" borderId="3" xfId="1" applyNumberFormat="1" applyFont="1" applyFill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12" fillId="3" borderId="3" xfId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 wrapText="1"/>
    </xf>
    <xf numFmtId="43" fontId="8" fillId="3" borderId="3" xfId="1" applyNumberFormat="1" applyFont="1" applyFill="1" applyBorder="1" applyAlignment="1">
      <alignment vertical="center" wrapText="1"/>
    </xf>
    <xf numFmtId="0" fontId="8" fillId="4" borderId="11" xfId="3" applyFont="1" applyFill="1" applyBorder="1" applyAlignment="1">
      <alignment horizontal="left" vertical="center" wrapText="1"/>
    </xf>
    <xf numFmtId="43" fontId="8" fillId="4" borderId="3" xfId="1" applyNumberFormat="1" applyFont="1" applyFill="1" applyBorder="1" applyAlignment="1">
      <alignment vertical="center" wrapText="1"/>
    </xf>
    <xf numFmtId="43" fontId="8" fillId="4" borderId="3" xfId="1" applyNumberFormat="1" applyFont="1" applyFill="1" applyBorder="1" applyAlignment="1">
      <alignment vertical="center"/>
    </xf>
    <xf numFmtId="43" fontId="7" fillId="0" borderId="3" xfId="1" applyFont="1" applyFill="1" applyBorder="1" applyAlignment="1">
      <alignment horizontal="center" vertical="center" wrapText="1"/>
    </xf>
    <xf numFmtId="164" fontId="8" fillId="4" borderId="3" xfId="1" applyNumberFormat="1" applyFont="1" applyFill="1" applyBorder="1" applyAlignment="1">
      <alignment vertical="center" wrapText="1"/>
    </xf>
    <xf numFmtId="43" fontId="6" fillId="4" borderId="3" xfId="1" applyNumberFormat="1" applyFont="1" applyFill="1" applyBorder="1" applyAlignment="1">
      <alignment horizontal="center"/>
    </xf>
    <xf numFmtId="164" fontId="6" fillId="4" borderId="3" xfId="1" applyNumberFormat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horizontal="center" vertical="center"/>
    </xf>
    <xf numFmtId="166" fontId="8" fillId="3" borderId="3" xfId="1" applyNumberFormat="1" applyFont="1" applyFill="1" applyBorder="1" applyAlignment="1">
      <alignment vertical="center" wrapText="1"/>
    </xf>
    <xf numFmtId="1" fontId="8" fillId="3" borderId="3" xfId="0" applyNumberFormat="1" applyFont="1" applyFill="1" applyBorder="1" applyAlignment="1">
      <alignment horizontal="right" vertical="center" wrapText="1"/>
    </xf>
    <xf numFmtId="2" fontId="8" fillId="4" borderId="3" xfId="0" applyNumberFormat="1" applyFont="1" applyFill="1" applyBorder="1" applyAlignment="1">
      <alignment horizontal="right" vertical="center" wrapText="1"/>
    </xf>
    <xf numFmtId="1" fontId="8" fillId="4" borderId="3" xfId="0" applyNumberFormat="1" applyFont="1" applyFill="1" applyBorder="1" applyAlignment="1">
      <alignment vertical="center" wrapText="1"/>
    </xf>
    <xf numFmtId="43" fontId="8" fillId="4" borderId="3" xfId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vertical="center"/>
    </xf>
    <xf numFmtId="0" fontId="9" fillId="3" borderId="11" xfId="0" applyFont="1" applyFill="1" applyBorder="1" applyAlignment="1">
      <alignment horizontal="left" vertical="center" wrapText="1"/>
    </xf>
    <xf numFmtId="43" fontId="4" fillId="0" borderId="3" xfId="1" applyFont="1" applyBorder="1"/>
    <xf numFmtId="164" fontId="0" fillId="0" borderId="0" xfId="1" applyNumberFormat="1" applyFont="1"/>
    <xf numFmtId="43" fontId="15" fillId="0" borderId="3" xfId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43" fontId="7" fillId="3" borderId="5" xfId="1" applyFont="1" applyFill="1" applyBorder="1" applyAlignment="1">
      <alignment horizontal="center" vertical="center" wrapText="1"/>
    </xf>
    <xf numFmtId="43" fontId="7" fillId="3" borderId="9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right" vertical="center" wrapText="1"/>
    </xf>
    <xf numFmtId="2" fontId="8" fillId="3" borderId="9" xfId="0" applyNumberFormat="1" applyFont="1" applyFill="1" applyBorder="1" applyAlignment="1">
      <alignment horizontal="right" vertical="center" wrapText="1"/>
    </xf>
    <xf numFmtId="0" fontId="14" fillId="0" borderId="11" xfId="3" applyFont="1" applyBorder="1" applyAlignment="1">
      <alignment horizontal="right" wrapText="1"/>
    </xf>
    <xf numFmtId="0" fontId="14" fillId="0" borderId="12" xfId="3" applyFont="1" applyBorder="1" applyAlignment="1">
      <alignment horizontal="right" wrapText="1"/>
    </xf>
    <xf numFmtId="0" fontId="14" fillId="0" borderId="13" xfId="3" applyFont="1" applyBorder="1" applyAlignment="1">
      <alignment horizontal="right" wrapText="1"/>
    </xf>
  </cellXfs>
  <cellStyles count="4">
    <cellStyle name="ЛокСмМТСН" xfId="2" xr:uid="{EE9C4C45-07AE-4886-AD26-C827B1561B99}"/>
    <cellStyle name="Обычный" xfId="0" builtinId="0"/>
    <cellStyle name="Обычный 2" xfId="3" xr:uid="{1CB42A89-D600-47EB-AC5D-2B2604022011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0EF3-B424-4F4D-8F80-B89406747004}">
  <dimension ref="A1:M156"/>
  <sheetViews>
    <sheetView tabSelected="1" view="pageBreakPreview" topLeftCell="A136" zoomScale="80" zoomScaleNormal="100" zoomScaleSheetLayoutView="80" workbookViewId="0">
      <selection activeCell="F115" sqref="F115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9" customWidth="1"/>
    <col min="8" max="8" width="16.140625" style="79" customWidth="1"/>
    <col min="9" max="12" width="16.140625" customWidth="1"/>
    <col min="13" max="13" width="55.42578125" style="1" customWidth="1"/>
  </cols>
  <sheetData>
    <row r="1" spans="1:13" ht="14.45" customHeight="1" x14ac:dyDescent="0.25">
      <c r="A1" s="81" t="s">
        <v>0</v>
      </c>
      <c r="B1" s="84" t="s">
        <v>1</v>
      </c>
      <c r="C1" s="87" t="s">
        <v>2</v>
      </c>
      <c r="D1" s="87" t="s">
        <v>3</v>
      </c>
      <c r="E1" s="88" t="s">
        <v>4</v>
      </c>
      <c r="F1" s="89"/>
      <c r="G1" s="89"/>
      <c r="H1" s="89"/>
      <c r="I1" s="89"/>
      <c r="J1" s="89"/>
      <c r="K1" s="89"/>
      <c r="L1" s="89"/>
    </row>
    <row r="2" spans="1:13" ht="14.45" customHeight="1" x14ac:dyDescent="0.25">
      <c r="A2" s="82"/>
      <c r="B2" s="85"/>
      <c r="C2" s="87"/>
      <c r="D2" s="87"/>
      <c r="E2" s="90"/>
      <c r="F2" s="91"/>
      <c r="G2" s="91"/>
      <c r="H2" s="91"/>
      <c r="I2" s="91"/>
      <c r="J2" s="91"/>
      <c r="K2" s="91"/>
      <c r="L2" s="91"/>
    </row>
    <row r="3" spans="1:13" ht="27.75" customHeight="1" x14ac:dyDescent="0.25">
      <c r="A3" s="82"/>
      <c r="B3" s="85"/>
      <c r="C3" s="87"/>
      <c r="D3" s="87"/>
      <c r="E3" s="87" t="s">
        <v>5</v>
      </c>
      <c r="F3" s="87"/>
      <c r="G3" s="87"/>
      <c r="H3" s="87" t="s">
        <v>6</v>
      </c>
      <c r="I3" s="87"/>
      <c r="J3" s="87"/>
      <c r="K3" s="92" t="s">
        <v>7</v>
      </c>
      <c r="L3" s="92"/>
    </row>
    <row r="4" spans="1:13" ht="56.1" customHeight="1" x14ac:dyDescent="0.25">
      <c r="A4" s="83"/>
      <c r="B4" s="86"/>
      <c r="C4" s="87"/>
      <c r="D4" s="87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4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93" t="s">
        <v>13</v>
      </c>
      <c r="C6" s="94"/>
      <c r="D6" s="94"/>
      <c r="E6" s="8"/>
      <c r="F6" s="9"/>
      <c r="G6" s="10"/>
      <c r="H6" s="10"/>
      <c r="I6" s="10"/>
      <c r="J6" s="10"/>
      <c r="K6" s="10"/>
      <c r="L6" s="10"/>
    </row>
    <row r="7" spans="1:13" ht="24" customHeight="1" x14ac:dyDescent="0.25">
      <c r="A7" s="11"/>
      <c r="B7" s="12" t="s">
        <v>14</v>
      </c>
      <c r="C7" s="13"/>
      <c r="D7" s="13"/>
      <c r="E7" s="14"/>
      <c r="F7" s="15"/>
      <c r="G7" s="15"/>
      <c r="H7" s="16"/>
      <c r="I7" s="17"/>
      <c r="J7" s="17"/>
      <c r="K7" s="14"/>
      <c r="L7" s="15"/>
    </row>
    <row r="8" spans="1:13" ht="18" customHeight="1" x14ac:dyDescent="0.25">
      <c r="A8" s="11">
        <v>1</v>
      </c>
      <c r="B8" s="18" t="s">
        <v>15</v>
      </c>
      <c r="C8" s="19" t="s">
        <v>16</v>
      </c>
      <c r="D8" s="20" t="s">
        <v>17</v>
      </c>
      <c r="E8" s="21">
        <v>1055.02</v>
      </c>
      <c r="F8" s="15">
        <f>ROUND(E8*19,2)</f>
        <v>20045.38</v>
      </c>
      <c r="G8" s="15">
        <f t="shared" ref="G8:G10" si="0">ROUND(F8*1.2,2)</f>
        <v>24054.46</v>
      </c>
      <c r="H8" s="16"/>
      <c r="I8" s="17"/>
      <c r="J8" s="17"/>
      <c r="K8" s="14">
        <f t="shared" ref="K8:L10" si="1">F8+I8</f>
        <v>20045.38</v>
      </c>
      <c r="L8" s="15">
        <f t="shared" si="1"/>
        <v>24054.46</v>
      </c>
      <c r="M8" s="22" t="s">
        <v>18</v>
      </c>
    </row>
    <row r="9" spans="1:13" ht="18" customHeight="1" x14ac:dyDescent="0.25">
      <c r="A9" s="11">
        <f>A8+1</f>
        <v>2</v>
      </c>
      <c r="B9" s="18" t="s">
        <v>19</v>
      </c>
      <c r="C9" s="23" t="s">
        <v>20</v>
      </c>
      <c r="D9" s="24">
        <v>7.78</v>
      </c>
      <c r="E9" s="25">
        <f>ROUND(65055.24/(297.03*0.05),2)</f>
        <v>4380.38</v>
      </c>
      <c r="F9" s="15">
        <f>ROUND(E9*39.42/1.05*1.19,2)</f>
        <v>195697.86</v>
      </c>
      <c r="G9" s="15">
        <f t="shared" si="0"/>
        <v>234837.43</v>
      </c>
      <c r="H9" s="16"/>
      <c r="I9" s="17"/>
      <c r="J9" s="17"/>
      <c r="K9" s="14">
        <f t="shared" si="1"/>
        <v>195697.86</v>
      </c>
      <c r="L9" s="15">
        <f t="shared" si="1"/>
        <v>234837.43</v>
      </c>
      <c r="M9" s="1" t="s">
        <v>21</v>
      </c>
    </row>
    <row r="10" spans="1:13" ht="20.25" customHeight="1" x14ac:dyDescent="0.25">
      <c r="A10" s="11">
        <f t="shared" ref="A10" si="2">A9+1</f>
        <v>3</v>
      </c>
      <c r="B10" s="18" t="s">
        <v>22</v>
      </c>
      <c r="C10" s="23" t="s">
        <v>20</v>
      </c>
      <c r="D10" s="24">
        <v>11.79</v>
      </c>
      <c r="E10" s="16">
        <v>304</v>
      </c>
      <c r="F10" s="15">
        <f t="shared" ref="F10" si="3">ROUND(E10*D10,2)</f>
        <v>3584.16</v>
      </c>
      <c r="G10" s="15">
        <f t="shared" si="0"/>
        <v>4300.99</v>
      </c>
      <c r="H10" s="26"/>
      <c r="I10" s="17"/>
      <c r="J10" s="17"/>
      <c r="K10" s="14">
        <f t="shared" si="1"/>
        <v>3584.16</v>
      </c>
      <c r="L10" s="17">
        <f t="shared" si="1"/>
        <v>4300.99</v>
      </c>
      <c r="M10" s="22" t="s">
        <v>23</v>
      </c>
    </row>
    <row r="11" spans="1:13" ht="20.25" customHeight="1" x14ac:dyDescent="0.25">
      <c r="A11" s="11"/>
      <c r="B11" s="27" t="s">
        <v>24</v>
      </c>
      <c r="C11" s="19"/>
      <c r="D11" s="24"/>
      <c r="E11" s="28"/>
      <c r="F11" s="17"/>
      <c r="G11" s="17"/>
      <c r="H11" s="26"/>
      <c r="I11" s="17"/>
      <c r="J11" s="17"/>
      <c r="K11" s="14"/>
      <c r="L11" s="17"/>
    </row>
    <row r="12" spans="1:13" ht="20.25" customHeight="1" x14ac:dyDescent="0.25">
      <c r="A12" s="11">
        <f>A10+1</f>
        <v>4</v>
      </c>
      <c r="B12" s="29" t="s">
        <v>25</v>
      </c>
      <c r="C12" s="23" t="s">
        <v>20</v>
      </c>
      <c r="D12" s="24">
        <v>16.329999999999998</v>
      </c>
      <c r="E12" s="25">
        <f>ROUND(65055.24/(297.03*0.05),2)</f>
        <v>4380.38</v>
      </c>
      <c r="F12" s="15">
        <f t="shared" ref="F12:F13" si="4">ROUND(E12*D12,2)</f>
        <v>71531.61</v>
      </c>
      <c r="G12" s="15">
        <f t="shared" ref="G12:G24" si="5">ROUND(F12*1.2,2)</f>
        <v>85837.93</v>
      </c>
      <c r="H12" s="16"/>
      <c r="I12" s="17"/>
      <c r="J12" s="17"/>
      <c r="K12" s="14">
        <f t="shared" ref="K12:L24" si="6">F12+I12</f>
        <v>71531.61</v>
      </c>
      <c r="L12" s="17">
        <f t="shared" si="6"/>
        <v>85837.93</v>
      </c>
      <c r="M12" s="1" t="s">
        <v>21</v>
      </c>
    </row>
    <row r="13" spans="1:13" ht="18.75" customHeight="1" x14ac:dyDescent="0.25">
      <c r="A13" s="11">
        <f>A12+1</f>
        <v>5</v>
      </c>
      <c r="B13" s="29" t="s">
        <v>22</v>
      </c>
      <c r="C13" s="23" t="s">
        <v>20</v>
      </c>
      <c r="D13" s="24">
        <v>24.23</v>
      </c>
      <c r="E13" s="16">
        <v>304</v>
      </c>
      <c r="F13" s="15">
        <f t="shared" si="4"/>
        <v>7365.92</v>
      </c>
      <c r="G13" s="15">
        <f t="shared" si="5"/>
        <v>8839.1</v>
      </c>
      <c r="H13" s="26"/>
      <c r="I13" s="17"/>
      <c r="J13" s="17"/>
      <c r="K13" s="14">
        <f t="shared" si="6"/>
        <v>7365.92</v>
      </c>
      <c r="L13" s="17">
        <f t="shared" si="6"/>
        <v>8839.1</v>
      </c>
      <c r="M13" s="22" t="s">
        <v>26</v>
      </c>
    </row>
    <row r="14" spans="1:13" ht="20.25" customHeight="1" x14ac:dyDescent="0.25">
      <c r="A14" s="30"/>
      <c r="B14" s="31" t="s">
        <v>27</v>
      </c>
      <c r="C14" s="19"/>
      <c r="D14" s="32"/>
      <c r="E14" s="33"/>
      <c r="F14" s="34"/>
      <c r="G14" s="35"/>
      <c r="H14" s="36"/>
      <c r="I14" s="37"/>
      <c r="J14" s="37"/>
      <c r="K14" s="38"/>
      <c r="L14" s="37"/>
    </row>
    <row r="15" spans="1:13" ht="20.25" customHeight="1" x14ac:dyDescent="0.25">
      <c r="A15" s="11">
        <f>A13+1</f>
        <v>6</v>
      </c>
      <c r="B15" s="29" t="s">
        <v>28</v>
      </c>
      <c r="C15" s="19" t="s">
        <v>29</v>
      </c>
      <c r="D15" s="20" t="s">
        <v>30</v>
      </c>
      <c r="E15" s="16">
        <v>544.86</v>
      </c>
      <c r="F15" s="15">
        <f>ROUND(E15*1.9,2)</f>
        <v>1035.23</v>
      </c>
      <c r="G15" s="15">
        <f t="shared" si="5"/>
        <v>1242.28</v>
      </c>
      <c r="H15" s="26"/>
      <c r="I15" s="17"/>
      <c r="J15" s="17"/>
      <c r="K15" s="14">
        <f t="shared" si="6"/>
        <v>1035.23</v>
      </c>
      <c r="L15" s="17">
        <f t="shared" si="6"/>
        <v>1242.28</v>
      </c>
      <c r="M15" s="1" t="s">
        <v>31</v>
      </c>
    </row>
    <row r="16" spans="1:13" ht="29.25" customHeight="1" x14ac:dyDescent="0.25">
      <c r="A16" s="11">
        <f>A15+1</f>
        <v>7</v>
      </c>
      <c r="B16" s="39" t="s">
        <v>32</v>
      </c>
      <c r="C16" s="23" t="s">
        <v>33</v>
      </c>
      <c r="D16" s="40" t="s">
        <v>34</v>
      </c>
      <c r="E16" s="16">
        <v>544.86</v>
      </c>
      <c r="F16" s="15">
        <f>ROUND(E16*98.64,2)</f>
        <v>53744.99</v>
      </c>
      <c r="G16" s="15">
        <f t="shared" si="5"/>
        <v>64493.99</v>
      </c>
      <c r="H16" s="36"/>
      <c r="I16" s="37"/>
      <c r="J16" s="37"/>
      <c r="K16" s="41">
        <f t="shared" si="6"/>
        <v>53744.99</v>
      </c>
      <c r="L16" s="25">
        <f t="shared" si="6"/>
        <v>64493.99</v>
      </c>
      <c r="M16" s="1" t="s">
        <v>31</v>
      </c>
    </row>
    <row r="17" spans="1:13" ht="20.25" customHeight="1" x14ac:dyDescent="0.25">
      <c r="A17" s="30"/>
      <c r="B17" s="31" t="s">
        <v>35</v>
      </c>
      <c r="C17" s="19"/>
      <c r="D17" s="32"/>
      <c r="E17" s="33"/>
      <c r="F17" s="34"/>
      <c r="G17" s="35"/>
      <c r="H17" s="36"/>
      <c r="I17" s="37"/>
      <c r="J17" s="37"/>
      <c r="K17" s="38"/>
      <c r="L17" s="37"/>
    </row>
    <row r="18" spans="1:13" ht="30.75" customHeight="1" x14ac:dyDescent="0.25">
      <c r="A18" s="42">
        <f>A16+1</f>
        <v>8</v>
      </c>
      <c r="B18" s="39" t="s">
        <v>36</v>
      </c>
      <c r="C18" s="23" t="s">
        <v>37</v>
      </c>
      <c r="D18" s="43">
        <v>1</v>
      </c>
      <c r="E18" s="16">
        <f>0.8*14312.75</f>
        <v>11450.2</v>
      </c>
      <c r="F18" s="15">
        <f t="shared" ref="F18:F24" si="7">ROUND(E18*D18,2)</f>
        <v>11450.2</v>
      </c>
      <c r="G18" s="15">
        <f t="shared" si="5"/>
        <v>13740.24</v>
      </c>
      <c r="H18" s="26"/>
      <c r="I18" s="17"/>
      <c r="J18" s="17"/>
      <c r="K18" s="14">
        <f t="shared" si="6"/>
        <v>11450.2</v>
      </c>
      <c r="L18" s="17">
        <f t="shared" si="6"/>
        <v>13740.24</v>
      </c>
      <c r="M18" s="1" t="s">
        <v>38</v>
      </c>
    </row>
    <row r="19" spans="1:13" s="44" customFormat="1" ht="17.25" customHeight="1" x14ac:dyDescent="0.25">
      <c r="A19" s="42">
        <f t="shared" ref="A19:A24" si="8">A18+1</f>
        <v>9</v>
      </c>
      <c r="B19" s="39" t="s">
        <v>39</v>
      </c>
      <c r="C19" s="23" t="s">
        <v>37</v>
      </c>
      <c r="D19" s="43">
        <v>1</v>
      </c>
      <c r="E19" s="16">
        <f>0.8*5650.6</f>
        <v>4520.4800000000005</v>
      </c>
      <c r="F19" s="15">
        <f t="shared" si="7"/>
        <v>4520.4799999999996</v>
      </c>
      <c r="G19" s="15">
        <f t="shared" si="5"/>
        <v>5424.58</v>
      </c>
      <c r="H19" s="36"/>
      <c r="I19" s="37"/>
      <c r="J19" s="37"/>
      <c r="K19" s="41">
        <f t="shared" si="6"/>
        <v>4520.4799999999996</v>
      </c>
      <c r="L19" s="25">
        <f t="shared" si="6"/>
        <v>5424.58</v>
      </c>
      <c r="M19" s="1" t="s">
        <v>38</v>
      </c>
    </row>
    <row r="20" spans="1:13" ht="18.75" customHeight="1" x14ac:dyDescent="0.25">
      <c r="A20" s="11">
        <f t="shared" si="8"/>
        <v>10</v>
      </c>
      <c r="B20" s="39" t="s">
        <v>40</v>
      </c>
      <c r="C20" s="23" t="s">
        <v>37</v>
      </c>
      <c r="D20" s="43">
        <v>1</v>
      </c>
      <c r="E20" s="16">
        <f>7035.89*0.8</f>
        <v>5628.7120000000004</v>
      </c>
      <c r="F20" s="15">
        <f t="shared" si="7"/>
        <v>5628.71</v>
      </c>
      <c r="G20" s="15">
        <f t="shared" si="5"/>
        <v>6754.45</v>
      </c>
      <c r="H20" s="41"/>
      <c r="I20" s="17"/>
      <c r="J20" s="17"/>
      <c r="K20" s="41">
        <f t="shared" si="6"/>
        <v>5628.71</v>
      </c>
      <c r="L20" s="25">
        <f t="shared" si="6"/>
        <v>6754.45</v>
      </c>
      <c r="M20" s="1" t="s">
        <v>38</v>
      </c>
    </row>
    <row r="21" spans="1:13" ht="46.5" customHeight="1" x14ac:dyDescent="0.25">
      <c r="A21" s="11">
        <f t="shared" si="8"/>
        <v>11</v>
      </c>
      <c r="B21" s="39" t="s">
        <v>41</v>
      </c>
      <c r="C21" s="23" t="s">
        <v>37</v>
      </c>
      <c r="D21" s="43">
        <v>3</v>
      </c>
      <c r="E21" s="16">
        <f>0.8*6546.68</f>
        <v>5237.344000000001</v>
      </c>
      <c r="F21" s="15">
        <f t="shared" si="7"/>
        <v>15712.03</v>
      </c>
      <c r="G21" s="15">
        <f t="shared" si="5"/>
        <v>18854.439999999999</v>
      </c>
      <c r="H21" s="16"/>
      <c r="I21" s="25"/>
      <c r="J21" s="25"/>
      <c r="K21" s="41">
        <f t="shared" si="6"/>
        <v>15712.03</v>
      </c>
      <c r="L21" s="25">
        <f t="shared" si="6"/>
        <v>18854.439999999999</v>
      </c>
      <c r="M21" s="1" t="s">
        <v>38</v>
      </c>
    </row>
    <row r="22" spans="1:13" ht="29.25" customHeight="1" x14ac:dyDescent="0.25">
      <c r="A22" s="11">
        <f t="shared" si="8"/>
        <v>12</v>
      </c>
      <c r="B22" s="45" t="s">
        <v>42</v>
      </c>
      <c r="C22" s="23" t="s">
        <v>37</v>
      </c>
      <c r="D22" s="32">
        <v>1</v>
      </c>
      <c r="E22" s="16">
        <f>0.8*6131.59</f>
        <v>4905.2719999999999</v>
      </c>
      <c r="F22" s="25">
        <f t="shared" si="7"/>
        <v>4905.2700000000004</v>
      </c>
      <c r="G22" s="25">
        <f t="shared" si="5"/>
        <v>5886.32</v>
      </c>
      <c r="H22" s="16"/>
      <c r="I22" s="25"/>
      <c r="J22" s="25"/>
      <c r="K22" s="41">
        <f t="shared" si="6"/>
        <v>4905.2700000000004</v>
      </c>
      <c r="L22" s="25">
        <f t="shared" si="6"/>
        <v>5886.32</v>
      </c>
      <c r="M22" s="1" t="s">
        <v>38</v>
      </c>
    </row>
    <row r="23" spans="1:13" ht="30" customHeight="1" x14ac:dyDescent="0.25">
      <c r="A23" s="11">
        <f t="shared" si="8"/>
        <v>13</v>
      </c>
      <c r="B23" s="18" t="s">
        <v>43</v>
      </c>
      <c r="C23" s="23" t="s">
        <v>37</v>
      </c>
      <c r="D23" s="43">
        <v>2</v>
      </c>
      <c r="E23" s="16">
        <f>0.8*4670.44</f>
        <v>3736.3519999999999</v>
      </c>
      <c r="F23" s="15">
        <f t="shared" si="7"/>
        <v>7472.7</v>
      </c>
      <c r="G23" s="15">
        <f t="shared" si="5"/>
        <v>8967.24</v>
      </c>
      <c r="H23" s="36"/>
      <c r="I23" s="37"/>
      <c r="J23" s="37"/>
      <c r="K23" s="41">
        <f t="shared" si="6"/>
        <v>7472.7</v>
      </c>
      <c r="L23" s="25">
        <f t="shared" si="6"/>
        <v>8967.24</v>
      </c>
      <c r="M23" s="1" t="s">
        <v>38</v>
      </c>
    </row>
    <row r="24" spans="1:13" ht="30" x14ac:dyDescent="0.25">
      <c r="A24" s="11">
        <f t="shared" si="8"/>
        <v>14</v>
      </c>
      <c r="B24" s="39" t="s">
        <v>44</v>
      </c>
      <c r="C24" s="23" t="s">
        <v>37</v>
      </c>
      <c r="D24" s="43">
        <v>1</v>
      </c>
      <c r="E24" s="16">
        <f>0.8*3082.04</f>
        <v>2465.6320000000001</v>
      </c>
      <c r="F24" s="15">
        <f t="shared" si="7"/>
        <v>2465.63</v>
      </c>
      <c r="G24" s="15">
        <f t="shared" si="5"/>
        <v>2958.76</v>
      </c>
      <c r="H24" s="36"/>
      <c r="I24" s="37"/>
      <c r="J24" s="37"/>
      <c r="K24" s="41">
        <f t="shared" si="6"/>
        <v>2465.63</v>
      </c>
      <c r="L24" s="25">
        <f t="shared" si="6"/>
        <v>2958.76</v>
      </c>
      <c r="M24" s="1" t="s">
        <v>45</v>
      </c>
    </row>
    <row r="25" spans="1:13" ht="20.25" customHeight="1" x14ac:dyDescent="0.25">
      <c r="A25" s="30"/>
      <c r="B25" s="31" t="s">
        <v>46</v>
      </c>
      <c r="C25" s="19"/>
      <c r="D25" s="32"/>
      <c r="E25" s="33"/>
      <c r="F25" s="34"/>
      <c r="G25" s="35"/>
      <c r="H25" s="36"/>
      <c r="I25" s="37"/>
      <c r="J25" s="37"/>
      <c r="K25" s="38"/>
      <c r="L25" s="37"/>
    </row>
    <row r="26" spans="1:13" ht="17.25" customHeight="1" x14ac:dyDescent="0.25">
      <c r="A26" s="42">
        <f>A24+1</f>
        <v>15</v>
      </c>
      <c r="B26" s="39" t="s">
        <v>47</v>
      </c>
      <c r="C26" s="23" t="s">
        <v>37</v>
      </c>
      <c r="D26" s="43">
        <v>1</v>
      </c>
      <c r="E26" s="16">
        <f>0.8*2337</f>
        <v>1869.6000000000001</v>
      </c>
      <c r="F26" s="15">
        <f t="shared" ref="F26:F31" si="9">ROUND(E26*D26,2)</f>
        <v>1869.6</v>
      </c>
      <c r="G26" s="15">
        <f t="shared" ref="G26:G31" si="10">ROUND(F26*1.2,2)</f>
        <v>2243.52</v>
      </c>
      <c r="H26" s="26"/>
      <c r="I26" s="17"/>
      <c r="J26" s="17"/>
      <c r="K26" s="14">
        <f t="shared" ref="K26:L31" si="11">F26+I26</f>
        <v>1869.6</v>
      </c>
      <c r="L26" s="17">
        <f t="shared" si="11"/>
        <v>2243.52</v>
      </c>
      <c r="M26" s="1" t="s">
        <v>48</v>
      </c>
    </row>
    <row r="27" spans="1:13" s="44" customFormat="1" ht="17.25" customHeight="1" x14ac:dyDescent="0.25">
      <c r="A27" s="42">
        <f t="shared" ref="A27:A31" si="12">A26+1</f>
        <v>16</v>
      </c>
      <c r="B27" s="39" t="s">
        <v>49</v>
      </c>
      <c r="C27" s="23" t="s">
        <v>37</v>
      </c>
      <c r="D27" s="43">
        <v>1</v>
      </c>
      <c r="E27" s="16">
        <f>0.8*4741.45</f>
        <v>3793.16</v>
      </c>
      <c r="F27" s="15">
        <f t="shared" si="9"/>
        <v>3793.16</v>
      </c>
      <c r="G27" s="15">
        <f t="shared" si="10"/>
        <v>4551.79</v>
      </c>
      <c r="H27" s="36"/>
      <c r="I27" s="37"/>
      <c r="J27" s="37"/>
      <c r="K27" s="41">
        <f t="shared" si="11"/>
        <v>3793.16</v>
      </c>
      <c r="L27" s="25">
        <f t="shared" si="11"/>
        <v>4551.79</v>
      </c>
      <c r="M27" s="1" t="s">
        <v>48</v>
      </c>
    </row>
    <row r="28" spans="1:13" ht="17.25" customHeight="1" x14ac:dyDescent="0.25">
      <c r="A28" s="11">
        <f t="shared" si="12"/>
        <v>17</v>
      </c>
      <c r="B28" s="39" t="s">
        <v>50</v>
      </c>
      <c r="C28" s="23" t="s">
        <v>37</v>
      </c>
      <c r="D28" s="43">
        <v>1</v>
      </c>
      <c r="E28" s="16">
        <f>0.8*4704.4</f>
        <v>3763.52</v>
      </c>
      <c r="F28" s="15">
        <f t="shared" si="9"/>
        <v>3763.52</v>
      </c>
      <c r="G28" s="15">
        <f t="shared" si="10"/>
        <v>4516.22</v>
      </c>
      <c r="H28" s="41"/>
      <c r="I28" s="17"/>
      <c r="J28" s="17"/>
      <c r="K28" s="41">
        <f t="shared" si="11"/>
        <v>3763.52</v>
      </c>
      <c r="L28" s="25">
        <f t="shared" si="11"/>
        <v>4516.22</v>
      </c>
      <c r="M28" s="1" t="s">
        <v>51</v>
      </c>
    </row>
    <row r="29" spans="1:13" ht="27.75" customHeight="1" x14ac:dyDescent="0.25">
      <c r="A29" s="11">
        <f t="shared" si="12"/>
        <v>18</v>
      </c>
      <c r="B29" s="39" t="s">
        <v>52</v>
      </c>
      <c r="C29" s="23" t="s">
        <v>37</v>
      </c>
      <c r="D29" s="43">
        <v>2</v>
      </c>
      <c r="E29" s="16">
        <f>0.8*2371.2</f>
        <v>1896.96</v>
      </c>
      <c r="F29" s="15">
        <f t="shared" si="9"/>
        <v>3793.92</v>
      </c>
      <c r="G29" s="15">
        <f t="shared" si="10"/>
        <v>4552.7</v>
      </c>
      <c r="H29" s="16"/>
      <c r="I29" s="25"/>
      <c r="J29" s="25"/>
      <c r="K29" s="41">
        <f t="shared" si="11"/>
        <v>3793.92</v>
      </c>
      <c r="L29" s="25">
        <f t="shared" si="11"/>
        <v>4552.7</v>
      </c>
      <c r="M29" s="1" t="s">
        <v>53</v>
      </c>
    </row>
    <row r="30" spans="1:13" ht="19.5" customHeight="1" x14ac:dyDescent="0.25">
      <c r="A30" s="11">
        <f>A29+1</f>
        <v>19</v>
      </c>
      <c r="B30" s="18" t="s">
        <v>54</v>
      </c>
      <c r="C30" s="23" t="s">
        <v>37</v>
      </c>
      <c r="D30" s="43">
        <v>1</v>
      </c>
      <c r="E30" s="16">
        <v>828.5</v>
      </c>
      <c r="F30" s="15">
        <f t="shared" si="9"/>
        <v>828.5</v>
      </c>
      <c r="G30" s="15">
        <f t="shared" si="10"/>
        <v>994.2</v>
      </c>
      <c r="H30" s="36"/>
      <c r="I30" s="37"/>
      <c r="J30" s="37"/>
      <c r="K30" s="41">
        <f t="shared" si="11"/>
        <v>828.5</v>
      </c>
      <c r="L30" s="25">
        <f t="shared" si="11"/>
        <v>994.2</v>
      </c>
      <c r="M30" s="1" t="s">
        <v>55</v>
      </c>
    </row>
    <row r="31" spans="1:13" ht="19.5" customHeight="1" x14ac:dyDescent="0.25">
      <c r="A31" s="11">
        <f t="shared" si="12"/>
        <v>20</v>
      </c>
      <c r="B31" s="39" t="s">
        <v>56</v>
      </c>
      <c r="C31" s="23" t="s">
        <v>37</v>
      </c>
      <c r="D31" s="43">
        <v>1</v>
      </c>
      <c r="E31" s="16">
        <v>763.03</v>
      </c>
      <c r="F31" s="15">
        <f t="shared" si="9"/>
        <v>763.03</v>
      </c>
      <c r="G31" s="15">
        <f t="shared" si="10"/>
        <v>915.64</v>
      </c>
      <c r="H31" s="36"/>
      <c r="I31" s="37"/>
      <c r="J31" s="37"/>
      <c r="K31" s="41">
        <f t="shared" si="11"/>
        <v>763.03</v>
      </c>
      <c r="L31" s="25">
        <f t="shared" si="11"/>
        <v>915.64</v>
      </c>
      <c r="M31" s="1" t="s">
        <v>57</v>
      </c>
    </row>
    <row r="32" spans="1:13" ht="21.75" customHeight="1" x14ac:dyDescent="0.25">
      <c r="A32" s="11"/>
      <c r="B32" s="46" t="s">
        <v>58</v>
      </c>
      <c r="C32" s="19"/>
      <c r="D32" s="24"/>
      <c r="E32" s="16"/>
      <c r="F32" s="17"/>
      <c r="G32" s="17"/>
      <c r="H32" s="47"/>
      <c r="I32" s="17"/>
      <c r="J32" s="17"/>
      <c r="K32" s="41"/>
      <c r="L32" s="25"/>
    </row>
    <row r="33" spans="1:13" ht="30" customHeight="1" x14ac:dyDescent="0.25">
      <c r="A33" s="42">
        <f>A31+1</f>
        <v>21</v>
      </c>
      <c r="B33" s="39" t="s">
        <v>59</v>
      </c>
      <c r="C33" s="23" t="s">
        <v>60</v>
      </c>
      <c r="D33" s="48" t="s">
        <v>61</v>
      </c>
      <c r="E33" s="95">
        <f>14540/0.84*2.384</f>
        <v>41265.904761904756</v>
      </c>
      <c r="F33" s="95">
        <f>ROUND(E33*1,2)</f>
        <v>41265.9</v>
      </c>
      <c r="G33" s="95">
        <f t="shared" ref="G33:G40" si="13">ROUND(F33*1.2,2)</f>
        <v>49519.08</v>
      </c>
      <c r="H33" s="95"/>
      <c r="I33" s="95"/>
      <c r="J33" s="95"/>
      <c r="K33" s="95">
        <f t="shared" ref="K33:L40" si="14">F33+I33</f>
        <v>41265.9</v>
      </c>
      <c r="L33" s="95">
        <f t="shared" si="14"/>
        <v>49519.08</v>
      </c>
    </row>
    <row r="34" spans="1:13" ht="19.5" customHeight="1" x14ac:dyDescent="0.25">
      <c r="A34" s="49" t="s">
        <v>62</v>
      </c>
      <c r="B34" s="39" t="s">
        <v>63</v>
      </c>
      <c r="C34" s="23" t="s">
        <v>37</v>
      </c>
      <c r="D34" s="43">
        <v>1</v>
      </c>
      <c r="E34" s="96"/>
      <c r="F34" s="96">
        <f t="shared" ref="F34:F39" si="15">ROUND(E34*D34,2)</f>
        <v>0</v>
      </c>
      <c r="G34" s="96">
        <f t="shared" si="13"/>
        <v>0</v>
      </c>
      <c r="H34" s="96"/>
      <c r="I34" s="96"/>
      <c r="J34" s="96"/>
      <c r="K34" s="96">
        <f t="shared" si="14"/>
        <v>0</v>
      </c>
      <c r="L34" s="96">
        <f t="shared" si="14"/>
        <v>0</v>
      </c>
    </row>
    <row r="35" spans="1:13" ht="19.5" customHeight="1" x14ac:dyDescent="0.25">
      <c r="A35" s="49" t="s">
        <v>64</v>
      </c>
      <c r="B35" s="39" t="s">
        <v>65</v>
      </c>
      <c r="C35" s="23" t="s">
        <v>37</v>
      </c>
      <c r="D35" s="43">
        <v>1</v>
      </c>
      <c r="E35" s="96"/>
      <c r="F35" s="96">
        <f t="shared" si="15"/>
        <v>0</v>
      </c>
      <c r="G35" s="96">
        <f t="shared" si="13"/>
        <v>0</v>
      </c>
      <c r="H35" s="96"/>
      <c r="I35" s="96"/>
      <c r="J35" s="96"/>
      <c r="K35" s="96">
        <f t="shared" si="14"/>
        <v>0</v>
      </c>
      <c r="L35" s="96">
        <f t="shared" si="14"/>
        <v>0</v>
      </c>
    </row>
    <row r="36" spans="1:13" ht="19.5" customHeight="1" x14ac:dyDescent="0.25">
      <c r="A36" s="49" t="s">
        <v>66</v>
      </c>
      <c r="B36" s="39" t="s">
        <v>67</v>
      </c>
      <c r="C36" s="23" t="s">
        <v>37</v>
      </c>
      <c r="D36" s="43">
        <v>2</v>
      </c>
      <c r="E36" s="96"/>
      <c r="F36" s="96">
        <f t="shared" si="15"/>
        <v>0</v>
      </c>
      <c r="G36" s="96">
        <f t="shared" si="13"/>
        <v>0</v>
      </c>
      <c r="H36" s="96"/>
      <c r="I36" s="96"/>
      <c r="J36" s="96"/>
      <c r="K36" s="96">
        <f t="shared" si="14"/>
        <v>0</v>
      </c>
      <c r="L36" s="96">
        <f t="shared" si="14"/>
        <v>0</v>
      </c>
    </row>
    <row r="37" spans="1:13" ht="19.5" customHeight="1" x14ac:dyDescent="0.25">
      <c r="A37" s="49" t="s">
        <v>68</v>
      </c>
      <c r="B37" s="39" t="s">
        <v>69</v>
      </c>
      <c r="C37" s="23" t="s">
        <v>37</v>
      </c>
      <c r="D37" s="43">
        <v>1</v>
      </c>
      <c r="E37" s="96"/>
      <c r="F37" s="96">
        <f t="shared" si="15"/>
        <v>0</v>
      </c>
      <c r="G37" s="96">
        <f t="shared" si="13"/>
        <v>0</v>
      </c>
      <c r="H37" s="96"/>
      <c r="I37" s="96"/>
      <c r="J37" s="96"/>
      <c r="K37" s="96">
        <f t="shared" si="14"/>
        <v>0</v>
      </c>
      <c r="L37" s="96">
        <f t="shared" si="14"/>
        <v>0</v>
      </c>
    </row>
    <row r="38" spans="1:13" ht="19.5" customHeight="1" x14ac:dyDescent="0.25">
      <c r="A38" s="49" t="s">
        <v>70</v>
      </c>
      <c r="B38" s="39" t="s">
        <v>71</v>
      </c>
      <c r="C38" s="23" t="s">
        <v>37</v>
      </c>
      <c r="D38" s="43">
        <v>1</v>
      </c>
      <c r="E38" s="96"/>
      <c r="F38" s="96">
        <f t="shared" si="15"/>
        <v>0</v>
      </c>
      <c r="G38" s="96">
        <f t="shared" si="13"/>
        <v>0</v>
      </c>
      <c r="H38" s="96"/>
      <c r="I38" s="96"/>
      <c r="J38" s="96"/>
      <c r="K38" s="96">
        <f t="shared" si="14"/>
        <v>0</v>
      </c>
      <c r="L38" s="96">
        <f t="shared" si="14"/>
        <v>0</v>
      </c>
    </row>
    <row r="39" spans="1:13" ht="19.5" customHeight="1" x14ac:dyDescent="0.25">
      <c r="A39" s="49" t="s">
        <v>72</v>
      </c>
      <c r="B39" s="39" t="s">
        <v>73</v>
      </c>
      <c r="C39" s="23" t="s">
        <v>37</v>
      </c>
      <c r="D39" s="43">
        <v>1</v>
      </c>
      <c r="E39" s="97"/>
      <c r="F39" s="97">
        <f t="shared" si="15"/>
        <v>0</v>
      </c>
      <c r="G39" s="97">
        <f t="shared" si="13"/>
        <v>0</v>
      </c>
      <c r="H39" s="97"/>
      <c r="I39" s="97"/>
      <c r="J39" s="97"/>
      <c r="K39" s="97">
        <f t="shared" si="14"/>
        <v>0</v>
      </c>
      <c r="L39" s="97">
        <f t="shared" si="14"/>
        <v>0</v>
      </c>
    </row>
    <row r="40" spans="1:13" ht="28.5" customHeight="1" x14ac:dyDescent="0.25">
      <c r="A40" s="42">
        <f>A33+1</f>
        <v>22</v>
      </c>
      <c r="B40" s="39" t="s">
        <v>74</v>
      </c>
      <c r="C40" s="23" t="s">
        <v>60</v>
      </c>
      <c r="D40" s="48" t="s">
        <v>75</v>
      </c>
      <c r="E40" s="95">
        <v>14540</v>
      </c>
      <c r="F40" s="95">
        <f>ROUND(E40*1,2)</f>
        <v>14540</v>
      </c>
      <c r="G40" s="95">
        <f t="shared" si="13"/>
        <v>17448</v>
      </c>
      <c r="H40" s="95"/>
      <c r="I40" s="95"/>
      <c r="J40" s="95"/>
      <c r="K40" s="95">
        <f t="shared" si="14"/>
        <v>14540</v>
      </c>
      <c r="L40" s="95">
        <f t="shared" si="14"/>
        <v>17448</v>
      </c>
    </row>
    <row r="41" spans="1:13" ht="19.5" customHeight="1" x14ac:dyDescent="0.25">
      <c r="A41" s="49" t="s">
        <v>76</v>
      </c>
      <c r="B41" s="39" t="s">
        <v>63</v>
      </c>
      <c r="C41" s="23" t="s">
        <v>37</v>
      </c>
      <c r="D41" s="43">
        <v>1</v>
      </c>
      <c r="E41" s="96"/>
      <c r="F41" s="96"/>
      <c r="G41" s="96"/>
      <c r="H41" s="96"/>
      <c r="I41" s="96"/>
      <c r="J41" s="96"/>
      <c r="K41" s="96"/>
      <c r="L41" s="96"/>
      <c r="M41" s="22" t="s">
        <v>77</v>
      </c>
    </row>
    <row r="42" spans="1:13" ht="19.5" customHeight="1" x14ac:dyDescent="0.25">
      <c r="A42" s="49" t="s">
        <v>78</v>
      </c>
      <c r="B42" s="39" t="s">
        <v>79</v>
      </c>
      <c r="C42" s="23" t="s">
        <v>37</v>
      </c>
      <c r="D42" s="43">
        <v>96</v>
      </c>
      <c r="E42" s="96"/>
      <c r="F42" s="96"/>
      <c r="G42" s="96"/>
      <c r="H42" s="96"/>
      <c r="I42" s="96"/>
      <c r="J42" s="96"/>
      <c r="K42" s="96"/>
      <c r="L42" s="96"/>
    </row>
    <row r="43" spans="1:13" ht="19.5" customHeight="1" x14ac:dyDescent="0.25">
      <c r="A43" s="49" t="s">
        <v>80</v>
      </c>
      <c r="B43" s="39" t="s">
        <v>65</v>
      </c>
      <c r="C43" s="23" t="s">
        <v>37</v>
      </c>
      <c r="D43" s="43">
        <v>1</v>
      </c>
      <c r="E43" s="96"/>
      <c r="F43" s="96"/>
      <c r="G43" s="96"/>
      <c r="H43" s="96"/>
      <c r="I43" s="96"/>
      <c r="J43" s="96"/>
      <c r="K43" s="96"/>
      <c r="L43" s="96"/>
    </row>
    <row r="44" spans="1:13" ht="19.5" customHeight="1" x14ac:dyDescent="0.25">
      <c r="A44" s="49" t="s">
        <v>81</v>
      </c>
      <c r="B44" s="39" t="s">
        <v>71</v>
      </c>
      <c r="C44" s="23" t="s">
        <v>37</v>
      </c>
      <c r="D44" s="43">
        <v>1</v>
      </c>
      <c r="E44" s="96"/>
      <c r="F44" s="96"/>
      <c r="G44" s="96"/>
      <c r="H44" s="96"/>
      <c r="I44" s="96"/>
      <c r="J44" s="96"/>
      <c r="K44" s="96"/>
      <c r="L44" s="96"/>
    </row>
    <row r="45" spans="1:13" ht="19.5" customHeight="1" x14ac:dyDescent="0.25">
      <c r="A45" s="49" t="s">
        <v>82</v>
      </c>
      <c r="B45" s="39" t="s">
        <v>79</v>
      </c>
      <c r="C45" s="23" t="s">
        <v>37</v>
      </c>
      <c r="D45" s="43">
        <v>96</v>
      </c>
      <c r="E45" s="97"/>
      <c r="F45" s="97">
        <f>ROUND(E45*D45,2)</f>
        <v>0</v>
      </c>
      <c r="G45" s="97">
        <f>ROUND(F45*1.2,2)</f>
        <v>0</v>
      </c>
      <c r="H45" s="97"/>
      <c r="I45" s="97"/>
      <c r="J45" s="97"/>
      <c r="K45" s="97">
        <f>F45+I45</f>
        <v>0</v>
      </c>
      <c r="L45" s="97">
        <f>G45+J45</f>
        <v>0</v>
      </c>
    </row>
    <row r="46" spans="1:13" ht="21.75" customHeight="1" x14ac:dyDescent="0.25">
      <c r="A46" s="11"/>
      <c r="B46" s="46" t="s">
        <v>83</v>
      </c>
      <c r="C46" s="19"/>
      <c r="D46" s="24"/>
      <c r="E46" s="16"/>
      <c r="F46" s="17"/>
      <c r="G46" s="17"/>
      <c r="H46" s="47"/>
      <c r="I46" s="17"/>
      <c r="J46" s="17"/>
      <c r="K46" s="41"/>
      <c r="L46" s="25"/>
      <c r="M46" s="1" t="s">
        <v>84</v>
      </c>
    </row>
    <row r="47" spans="1:13" ht="31.5" customHeight="1" x14ac:dyDescent="0.25">
      <c r="A47" s="11">
        <f>A40+1</f>
        <v>23</v>
      </c>
      <c r="B47" s="39" t="s">
        <v>85</v>
      </c>
      <c r="C47" s="23" t="s">
        <v>86</v>
      </c>
      <c r="D47" s="40" t="s">
        <v>87</v>
      </c>
      <c r="E47" s="16">
        <v>828.5</v>
      </c>
      <c r="F47" s="15">
        <f>ROUND(E47*21.25,2)</f>
        <v>17605.63</v>
      </c>
      <c r="G47" s="15">
        <f t="shared" ref="G47" si="16">ROUND(F47*1.2,2)</f>
        <v>21126.76</v>
      </c>
      <c r="H47" s="36"/>
      <c r="I47" s="37"/>
      <c r="J47" s="37"/>
      <c r="K47" s="41">
        <f t="shared" ref="K47:L47" si="17">F47+I47</f>
        <v>17605.63</v>
      </c>
      <c r="L47" s="25">
        <f t="shared" si="17"/>
        <v>21126.76</v>
      </c>
      <c r="M47" s="22" t="s">
        <v>55</v>
      </c>
    </row>
    <row r="48" spans="1:13" ht="20.25" customHeight="1" x14ac:dyDescent="0.25">
      <c r="A48" s="49"/>
      <c r="B48" s="31" t="s">
        <v>27</v>
      </c>
      <c r="C48" s="19"/>
      <c r="D48" s="24"/>
      <c r="E48" s="16"/>
      <c r="F48" s="17"/>
      <c r="G48" s="17"/>
      <c r="H48" s="26"/>
      <c r="I48" s="17"/>
      <c r="J48" s="17"/>
      <c r="K48" s="14"/>
      <c r="L48" s="17"/>
    </row>
    <row r="49" spans="1:13" ht="19.5" customHeight="1" x14ac:dyDescent="0.25">
      <c r="A49" s="11">
        <f>A47+1</f>
        <v>24</v>
      </c>
      <c r="B49" s="39" t="s">
        <v>88</v>
      </c>
      <c r="C49" s="23" t="s">
        <v>89</v>
      </c>
      <c r="D49" s="50" t="s">
        <v>90</v>
      </c>
      <c r="E49" s="16">
        <v>433.62</v>
      </c>
      <c r="F49" s="15">
        <f>ROUND(E49*1.81,2)</f>
        <v>784.85</v>
      </c>
      <c r="G49" s="15">
        <f t="shared" ref="G49:G51" si="18">ROUND(F49*1.2,2)</f>
        <v>941.82</v>
      </c>
      <c r="H49" s="36"/>
      <c r="I49" s="37"/>
      <c r="J49" s="37"/>
      <c r="K49" s="41">
        <f t="shared" ref="K49:L51" si="19">F49+I49</f>
        <v>784.85</v>
      </c>
      <c r="L49" s="25">
        <f t="shared" si="19"/>
        <v>941.82</v>
      </c>
      <c r="M49" s="22" t="s">
        <v>91</v>
      </c>
    </row>
    <row r="50" spans="1:13" ht="33" customHeight="1" x14ac:dyDescent="0.25">
      <c r="A50" s="11">
        <f>A49+1</f>
        <v>25</v>
      </c>
      <c r="B50" s="39" t="s">
        <v>32</v>
      </c>
      <c r="C50" s="23" t="s">
        <v>92</v>
      </c>
      <c r="D50" s="40" t="s">
        <v>93</v>
      </c>
      <c r="E50" s="16">
        <v>1968.18</v>
      </c>
      <c r="F50" s="15">
        <f>ROUND(E50*7.8396,2)</f>
        <v>15429.74</v>
      </c>
      <c r="G50" s="15">
        <f t="shared" si="18"/>
        <v>18515.689999999999</v>
      </c>
      <c r="H50" s="36"/>
      <c r="I50" s="37"/>
      <c r="J50" s="37"/>
      <c r="K50" s="41">
        <f t="shared" si="19"/>
        <v>15429.74</v>
      </c>
      <c r="L50" s="25">
        <f t="shared" si="19"/>
        <v>18515.689999999999</v>
      </c>
      <c r="M50" s="22" t="s">
        <v>94</v>
      </c>
    </row>
    <row r="51" spans="1:13" ht="33.75" hidden="1" customHeight="1" x14ac:dyDescent="0.25">
      <c r="A51" s="11">
        <f t="shared" ref="A51:A55" si="20">A50+1</f>
        <v>26</v>
      </c>
      <c r="B51" s="18" t="s">
        <v>95</v>
      </c>
      <c r="C51" s="19" t="s">
        <v>96</v>
      </c>
      <c r="D51" s="24">
        <v>7.8395999999999999</v>
      </c>
      <c r="E51" s="16"/>
      <c r="F51" s="25">
        <f>ROUND(E51*D51,2)*0</f>
        <v>0</v>
      </c>
      <c r="G51" s="25">
        <f t="shared" si="18"/>
        <v>0</v>
      </c>
      <c r="H51" s="16"/>
      <c r="I51" s="25"/>
      <c r="J51" s="25"/>
      <c r="K51" s="41">
        <f t="shared" si="19"/>
        <v>0</v>
      </c>
      <c r="L51" s="25">
        <f t="shared" si="19"/>
        <v>0</v>
      </c>
    </row>
    <row r="52" spans="1:13" ht="19.5" customHeight="1" x14ac:dyDescent="0.25">
      <c r="A52" s="49"/>
      <c r="B52" s="31" t="s">
        <v>97</v>
      </c>
      <c r="C52" s="19"/>
      <c r="D52" s="24"/>
      <c r="E52" s="16"/>
      <c r="F52" s="17"/>
      <c r="G52" s="17"/>
      <c r="H52" s="26"/>
      <c r="I52" s="17"/>
      <c r="J52" s="17"/>
      <c r="K52" s="14"/>
      <c r="L52" s="17"/>
    </row>
    <row r="53" spans="1:13" ht="30.75" customHeight="1" x14ac:dyDescent="0.25">
      <c r="A53" s="11">
        <f>A50+1</f>
        <v>26</v>
      </c>
      <c r="B53" s="39" t="s">
        <v>98</v>
      </c>
      <c r="C53" s="23" t="s">
        <v>99</v>
      </c>
      <c r="D53" s="50">
        <v>50.53</v>
      </c>
      <c r="E53" s="16">
        <v>308.75</v>
      </c>
      <c r="F53" s="15">
        <f t="shared" ref="F53:F54" si="21">ROUND(E53*D53,2)</f>
        <v>15601.14</v>
      </c>
      <c r="G53" s="15">
        <f t="shared" ref="G53:G55" si="22">ROUND(F53*1.2,2)</f>
        <v>18721.37</v>
      </c>
      <c r="H53" s="36"/>
      <c r="I53" s="37"/>
      <c r="J53" s="37"/>
      <c r="K53" s="41">
        <f t="shared" ref="K53:L68" si="23">F53+I53</f>
        <v>15601.14</v>
      </c>
      <c r="L53" s="25">
        <f t="shared" si="23"/>
        <v>18721.37</v>
      </c>
    </row>
    <row r="54" spans="1:13" ht="21" customHeight="1" x14ac:dyDescent="0.25">
      <c r="A54" s="11">
        <f>A53+1</f>
        <v>27</v>
      </c>
      <c r="B54" s="39" t="s">
        <v>100</v>
      </c>
      <c r="C54" s="23" t="s">
        <v>99</v>
      </c>
      <c r="D54" s="50">
        <v>1.03</v>
      </c>
      <c r="E54" s="16">
        <v>1688.15</v>
      </c>
      <c r="F54" s="15">
        <f t="shared" si="21"/>
        <v>1738.79</v>
      </c>
      <c r="G54" s="15">
        <f t="shared" si="22"/>
        <v>2086.5500000000002</v>
      </c>
      <c r="H54" s="36"/>
      <c r="I54" s="37"/>
      <c r="J54" s="37"/>
      <c r="K54" s="41">
        <f t="shared" si="23"/>
        <v>1738.79</v>
      </c>
      <c r="L54" s="25">
        <f t="shared" si="23"/>
        <v>2086.5500000000002</v>
      </c>
    </row>
    <row r="55" spans="1:13" ht="20.25" customHeight="1" x14ac:dyDescent="0.25">
      <c r="A55" s="11">
        <f t="shared" si="20"/>
        <v>28</v>
      </c>
      <c r="B55" s="18" t="s">
        <v>101</v>
      </c>
      <c r="C55" s="19" t="s">
        <v>99</v>
      </c>
      <c r="D55" s="24">
        <v>1.17</v>
      </c>
      <c r="E55" s="16">
        <v>2057.89</v>
      </c>
      <c r="F55" s="25">
        <f>ROUND(E55*D55,2)</f>
        <v>2407.73</v>
      </c>
      <c r="G55" s="25">
        <f t="shared" si="22"/>
        <v>2889.28</v>
      </c>
      <c r="H55" s="16"/>
      <c r="I55" s="25"/>
      <c r="J55" s="25"/>
      <c r="K55" s="41">
        <f t="shared" si="23"/>
        <v>2407.73</v>
      </c>
      <c r="L55" s="25">
        <f t="shared" si="23"/>
        <v>2889.28</v>
      </c>
    </row>
    <row r="56" spans="1:13" ht="20.25" customHeight="1" x14ac:dyDescent="0.25">
      <c r="A56" s="49" t="s">
        <v>102</v>
      </c>
      <c r="B56" s="51" t="s">
        <v>103</v>
      </c>
      <c r="C56" s="52" t="s">
        <v>20</v>
      </c>
      <c r="D56" s="53">
        <f>D55*1.26</f>
        <v>1.4742</v>
      </c>
      <c r="E56" s="54"/>
      <c r="F56" s="55"/>
      <c r="G56" s="55"/>
      <c r="H56" s="54">
        <v>1299.5999999999999</v>
      </c>
      <c r="I56" s="56">
        <f>ROUND(H56*D56,2)</f>
        <v>1915.87</v>
      </c>
      <c r="J56" s="56">
        <f>ROUND(I56*1.2,2)</f>
        <v>2299.04</v>
      </c>
      <c r="K56" s="57">
        <f t="shared" si="23"/>
        <v>1915.87</v>
      </c>
      <c r="L56" s="56">
        <f t="shared" si="23"/>
        <v>2299.04</v>
      </c>
    </row>
    <row r="57" spans="1:13" ht="15.75" x14ac:dyDescent="0.25">
      <c r="A57" s="42">
        <f>A55+1</f>
        <v>29</v>
      </c>
      <c r="B57" s="29" t="s">
        <v>104</v>
      </c>
      <c r="C57" s="19" t="s">
        <v>99</v>
      </c>
      <c r="D57" s="24">
        <v>9.65</v>
      </c>
      <c r="E57" s="16">
        <v>1310.05</v>
      </c>
      <c r="F57" s="15">
        <f t="shared" ref="F57" si="24">ROUND(E57*D57,2)</f>
        <v>12641.98</v>
      </c>
      <c r="G57" s="15">
        <f t="shared" ref="G57" si="25">ROUND(F57*1.2,2)</f>
        <v>15170.38</v>
      </c>
      <c r="H57" s="26"/>
      <c r="I57" s="17"/>
      <c r="J57" s="17"/>
      <c r="K57" s="14">
        <f t="shared" si="23"/>
        <v>12641.98</v>
      </c>
      <c r="L57" s="17">
        <f t="shared" si="23"/>
        <v>15170.38</v>
      </c>
    </row>
    <row r="58" spans="1:13" ht="19.5" customHeight="1" x14ac:dyDescent="0.25">
      <c r="A58" s="49" t="s">
        <v>105</v>
      </c>
      <c r="B58" s="51" t="s">
        <v>106</v>
      </c>
      <c r="C58" s="52" t="s">
        <v>20</v>
      </c>
      <c r="D58" s="53">
        <f>D57*1.1</f>
        <v>10.615000000000002</v>
      </c>
      <c r="E58" s="54"/>
      <c r="F58" s="56"/>
      <c r="G58" s="56"/>
      <c r="H58" s="58">
        <v>1191.3</v>
      </c>
      <c r="I58" s="56">
        <f>ROUND(H58*D58,2)</f>
        <v>12645.65</v>
      </c>
      <c r="J58" s="56">
        <f>ROUND(I58*1.2,2)</f>
        <v>15174.78</v>
      </c>
      <c r="K58" s="57">
        <f t="shared" si="23"/>
        <v>12645.65</v>
      </c>
      <c r="L58" s="56">
        <f t="shared" si="23"/>
        <v>15174.78</v>
      </c>
    </row>
    <row r="59" spans="1:13" ht="17.25" customHeight="1" x14ac:dyDescent="0.25">
      <c r="A59" s="42">
        <f>A57+1</f>
        <v>30</v>
      </c>
      <c r="B59" s="29" t="s">
        <v>107</v>
      </c>
      <c r="C59" s="19" t="s">
        <v>99</v>
      </c>
      <c r="D59" s="24">
        <v>29.86</v>
      </c>
      <c r="E59" s="16">
        <v>118.75</v>
      </c>
      <c r="F59" s="15">
        <f t="shared" ref="F59:F60" si="26">ROUND(E59*D59,2)</f>
        <v>3545.88</v>
      </c>
      <c r="G59" s="15">
        <f t="shared" ref="G59:G63" si="27">ROUND(F59*1.2,2)</f>
        <v>4255.0600000000004</v>
      </c>
      <c r="H59" s="26"/>
      <c r="I59" s="17"/>
      <c r="J59" s="17"/>
      <c r="K59" s="14">
        <f t="shared" si="23"/>
        <v>3545.88</v>
      </c>
      <c r="L59" s="17">
        <f t="shared" si="23"/>
        <v>4255.0600000000004</v>
      </c>
    </row>
    <row r="60" spans="1:13" ht="17.25" customHeight="1" x14ac:dyDescent="0.25">
      <c r="A60" s="42">
        <f>A59+1</f>
        <v>31</v>
      </c>
      <c r="B60" s="39" t="s">
        <v>108</v>
      </c>
      <c r="C60" s="23" t="s">
        <v>99</v>
      </c>
      <c r="D60" s="50">
        <v>29.86</v>
      </c>
      <c r="E60" s="16">
        <v>188.1</v>
      </c>
      <c r="F60" s="15">
        <f t="shared" si="26"/>
        <v>5616.67</v>
      </c>
      <c r="G60" s="15">
        <f t="shared" si="27"/>
        <v>6740</v>
      </c>
      <c r="H60" s="41"/>
      <c r="I60" s="17"/>
      <c r="J60" s="17"/>
      <c r="K60" s="41">
        <f t="shared" si="23"/>
        <v>5616.67</v>
      </c>
      <c r="L60" s="25">
        <f t="shared" si="23"/>
        <v>6740</v>
      </c>
    </row>
    <row r="61" spans="1:13" ht="15.75" customHeight="1" x14ac:dyDescent="0.25">
      <c r="A61" s="49"/>
      <c r="B61" s="31" t="s">
        <v>27</v>
      </c>
      <c r="C61" s="19"/>
      <c r="D61" s="24"/>
      <c r="E61" s="16"/>
      <c r="F61" s="17"/>
      <c r="G61" s="17"/>
      <c r="H61" s="26"/>
      <c r="I61" s="17"/>
      <c r="J61" s="17"/>
      <c r="K61" s="14"/>
      <c r="L61" s="17"/>
    </row>
    <row r="62" spans="1:13" ht="18" customHeight="1" x14ac:dyDescent="0.25">
      <c r="A62" s="42">
        <f>A60+1</f>
        <v>32</v>
      </c>
      <c r="B62" s="18" t="s">
        <v>109</v>
      </c>
      <c r="C62" s="98" t="s">
        <v>92</v>
      </c>
      <c r="D62" s="100" t="s">
        <v>110</v>
      </c>
      <c r="E62" s="16">
        <v>308.75</v>
      </c>
      <c r="F62" s="17">
        <f>ROUND(E62*41.32,2)</f>
        <v>12757.55</v>
      </c>
      <c r="G62" s="17">
        <f t="shared" si="27"/>
        <v>15309.06</v>
      </c>
      <c r="H62" s="41"/>
      <c r="I62" s="17"/>
      <c r="J62" s="17"/>
      <c r="K62" s="41">
        <f t="shared" si="23"/>
        <v>12757.55</v>
      </c>
      <c r="L62" s="25">
        <f t="shared" si="23"/>
        <v>15309.06</v>
      </c>
    </row>
    <row r="63" spans="1:13" ht="31.5" hidden="1" customHeight="1" x14ac:dyDescent="0.25">
      <c r="A63" s="42">
        <f>A62+1</f>
        <v>33</v>
      </c>
      <c r="B63" s="18" t="s">
        <v>111</v>
      </c>
      <c r="C63" s="99"/>
      <c r="D63" s="101"/>
      <c r="E63" s="16">
        <v>3460</v>
      </c>
      <c r="F63" s="25">
        <f>ROUND(E63*41.32,2)*0</f>
        <v>0</v>
      </c>
      <c r="G63" s="25">
        <f t="shared" si="27"/>
        <v>0</v>
      </c>
      <c r="H63" s="16"/>
      <c r="I63" s="17"/>
      <c r="J63" s="17"/>
      <c r="K63" s="59">
        <f t="shared" si="23"/>
        <v>0</v>
      </c>
      <c r="L63" s="60">
        <f t="shared" si="23"/>
        <v>0</v>
      </c>
      <c r="M63" s="1" t="s">
        <v>112</v>
      </c>
    </row>
    <row r="64" spans="1:13" ht="15.75" x14ac:dyDescent="0.25">
      <c r="A64" s="49"/>
      <c r="B64" s="31" t="s">
        <v>113</v>
      </c>
      <c r="C64" s="19"/>
      <c r="D64" s="24"/>
      <c r="E64" s="16"/>
      <c r="F64" s="17"/>
      <c r="G64" s="17"/>
      <c r="H64" s="47"/>
      <c r="I64" s="17"/>
      <c r="J64" s="17"/>
      <c r="K64" s="14">
        <f t="shared" si="23"/>
        <v>0</v>
      </c>
      <c r="L64" s="17">
        <f t="shared" si="23"/>
        <v>0</v>
      </c>
    </row>
    <row r="65" spans="1:13" ht="30.75" customHeight="1" x14ac:dyDescent="0.25">
      <c r="A65" s="11">
        <f>A62+1</f>
        <v>33</v>
      </c>
      <c r="B65" s="39" t="s">
        <v>114</v>
      </c>
      <c r="C65" s="23" t="s">
        <v>99</v>
      </c>
      <c r="D65" s="50">
        <v>64.260000000000005</v>
      </c>
      <c r="E65" s="16">
        <v>630</v>
      </c>
      <c r="F65" s="15">
        <f t="shared" ref="F65:F67" si="28">ROUND(E65*D65,2)</f>
        <v>40483.800000000003</v>
      </c>
      <c r="G65" s="15">
        <f t="shared" ref="G65:G67" si="29">ROUND(F65*1.2,2)</f>
        <v>48580.56</v>
      </c>
      <c r="H65" s="36"/>
      <c r="I65" s="37"/>
      <c r="J65" s="37"/>
      <c r="K65" s="41">
        <f t="shared" si="23"/>
        <v>40483.800000000003</v>
      </c>
      <c r="L65" s="25">
        <f t="shared" si="23"/>
        <v>48580.56</v>
      </c>
      <c r="M65" s="1" t="s">
        <v>115</v>
      </c>
    </row>
    <row r="66" spans="1:13" ht="21" customHeight="1" x14ac:dyDescent="0.25">
      <c r="A66" s="11">
        <f>A65+1</f>
        <v>34</v>
      </c>
      <c r="B66" s="39" t="s">
        <v>100</v>
      </c>
      <c r="C66" s="23" t="s">
        <v>99</v>
      </c>
      <c r="D66" s="50">
        <v>1.31</v>
      </c>
      <c r="E66" s="16">
        <v>1688.15</v>
      </c>
      <c r="F66" s="15">
        <f t="shared" si="28"/>
        <v>2211.48</v>
      </c>
      <c r="G66" s="15">
        <f t="shared" si="29"/>
        <v>2653.78</v>
      </c>
      <c r="H66" s="36"/>
      <c r="I66" s="37"/>
      <c r="J66" s="37"/>
      <c r="K66" s="41">
        <f t="shared" si="23"/>
        <v>2211.48</v>
      </c>
      <c r="L66" s="25">
        <f t="shared" si="23"/>
        <v>2653.78</v>
      </c>
    </row>
    <row r="67" spans="1:13" ht="20.25" customHeight="1" x14ac:dyDescent="0.25">
      <c r="A67" s="11">
        <f>A66+1</f>
        <v>35</v>
      </c>
      <c r="B67" s="18" t="s">
        <v>116</v>
      </c>
      <c r="C67" s="19" t="s">
        <v>99</v>
      </c>
      <c r="D67" s="24">
        <f>21.25*1.75*0.1</f>
        <v>3.71875</v>
      </c>
      <c r="E67" s="16">
        <v>1350.8999999999999</v>
      </c>
      <c r="F67" s="25">
        <f t="shared" si="28"/>
        <v>5023.66</v>
      </c>
      <c r="G67" s="25">
        <f t="shared" si="29"/>
        <v>6028.39</v>
      </c>
      <c r="H67" s="16"/>
      <c r="I67" s="25"/>
      <c r="J67" s="25"/>
      <c r="K67" s="41">
        <f t="shared" si="23"/>
        <v>5023.66</v>
      </c>
      <c r="L67" s="25">
        <f t="shared" si="23"/>
        <v>6028.39</v>
      </c>
    </row>
    <row r="68" spans="1:13" ht="20.25" customHeight="1" x14ac:dyDescent="0.25">
      <c r="A68" s="49" t="s">
        <v>117</v>
      </c>
      <c r="B68" s="51" t="s">
        <v>106</v>
      </c>
      <c r="C68" s="52" t="s">
        <v>20</v>
      </c>
      <c r="D68" s="53">
        <f>D67*1.1</f>
        <v>4.0906250000000002</v>
      </c>
      <c r="E68" s="54"/>
      <c r="F68" s="55"/>
      <c r="G68" s="55"/>
      <c r="H68" s="58">
        <v>1191.3</v>
      </c>
      <c r="I68" s="56">
        <f>ROUND(H68*D68,2)</f>
        <v>4873.16</v>
      </c>
      <c r="J68" s="56">
        <f>ROUND(I68*1.2,2)</f>
        <v>5847.79</v>
      </c>
      <c r="K68" s="57">
        <f t="shared" si="23"/>
        <v>4873.16</v>
      </c>
      <c r="L68" s="56">
        <f t="shared" si="23"/>
        <v>5847.79</v>
      </c>
    </row>
    <row r="69" spans="1:13" ht="15.75" x14ac:dyDescent="0.25">
      <c r="A69" s="42">
        <f>A67+1</f>
        <v>36</v>
      </c>
      <c r="B69" s="29" t="s">
        <v>118</v>
      </c>
      <c r="C69" s="19" t="s">
        <v>99</v>
      </c>
      <c r="D69" s="24">
        <f>28.43-D67</f>
        <v>24.71125</v>
      </c>
      <c r="E69" s="16">
        <v>1350.8999999999999</v>
      </c>
      <c r="F69" s="15">
        <f t="shared" ref="F69" si="30">ROUND(E69*D69,2)</f>
        <v>33382.43</v>
      </c>
      <c r="G69" s="15">
        <f t="shared" ref="G69" si="31">ROUND(F69*1.2,2)</f>
        <v>40058.92</v>
      </c>
      <c r="H69" s="26"/>
      <c r="I69" s="17"/>
      <c r="J69" s="17"/>
      <c r="K69" s="14">
        <f t="shared" ref="K69:L73" si="32">F69+I69</f>
        <v>33382.43</v>
      </c>
      <c r="L69" s="17">
        <f t="shared" si="32"/>
        <v>40058.92</v>
      </c>
    </row>
    <row r="70" spans="1:13" ht="19.5" customHeight="1" x14ac:dyDescent="0.25">
      <c r="A70" s="49" t="s">
        <v>119</v>
      </c>
      <c r="B70" s="51" t="s">
        <v>106</v>
      </c>
      <c r="C70" s="52" t="s">
        <v>20</v>
      </c>
      <c r="D70" s="53">
        <f>D69*1.1</f>
        <v>27.182375</v>
      </c>
      <c r="E70" s="54"/>
      <c r="F70" s="56"/>
      <c r="G70" s="56"/>
      <c r="H70" s="58">
        <v>1191.3</v>
      </c>
      <c r="I70" s="56">
        <f>ROUND(H70*D70,2)</f>
        <v>32382.36</v>
      </c>
      <c r="J70" s="56">
        <f>ROUND(I70*1.2,2)</f>
        <v>38858.83</v>
      </c>
      <c r="K70" s="57">
        <f t="shared" si="32"/>
        <v>32382.36</v>
      </c>
      <c r="L70" s="56">
        <f t="shared" si="32"/>
        <v>38858.83</v>
      </c>
    </row>
    <row r="71" spans="1:13" ht="18.75" x14ac:dyDescent="0.25">
      <c r="A71" s="42">
        <f>A69+1</f>
        <v>37</v>
      </c>
      <c r="B71" s="29" t="s">
        <v>120</v>
      </c>
      <c r="C71" s="19" t="s">
        <v>121</v>
      </c>
      <c r="D71" s="24">
        <v>132.54</v>
      </c>
      <c r="E71" s="16">
        <v>118.75</v>
      </c>
      <c r="F71" s="15">
        <f t="shared" ref="F71:F72" si="33">ROUND(E71*D71,2)</f>
        <v>15739.13</v>
      </c>
      <c r="G71" s="15">
        <f t="shared" ref="G71:G73" si="34">ROUND(F71*1.2,2)</f>
        <v>18886.96</v>
      </c>
      <c r="H71" s="26"/>
      <c r="I71" s="17"/>
      <c r="J71" s="17"/>
      <c r="K71" s="14">
        <f t="shared" si="32"/>
        <v>15739.13</v>
      </c>
      <c r="L71" s="17">
        <f t="shared" si="32"/>
        <v>18886.96</v>
      </c>
    </row>
    <row r="72" spans="1:13" ht="18.75" x14ac:dyDescent="0.25">
      <c r="A72" s="42">
        <f>A71+1</f>
        <v>38</v>
      </c>
      <c r="B72" s="39" t="s">
        <v>108</v>
      </c>
      <c r="C72" s="23" t="s">
        <v>121</v>
      </c>
      <c r="D72" s="50">
        <v>132.54</v>
      </c>
      <c r="E72" s="16">
        <v>188.1</v>
      </c>
      <c r="F72" s="15">
        <f t="shared" si="33"/>
        <v>24930.77</v>
      </c>
      <c r="G72" s="15">
        <f t="shared" si="34"/>
        <v>29916.92</v>
      </c>
      <c r="H72" s="41"/>
      <c r="I72" s="17"/>
      <c r="J72" s="17"/>
      <c r="K72" s="41">
        <f t="shared" si="32"/>
        <v>24930.77</v>
      </c>
      <c r="L72" s="25">
        <f t="shared" si="32"/>
        <v>29916.92</v>
      </c>
    </row>
    <row r="73" spans="1:13" ht="18.75" customHeight="1" x14ac:dyDescent="0.25">
      <c r="A73" s="42">
        <f>A72+1</f>
        <v>39</v>
      </c>
      <c r="B73" s="29" t="s">
        <v>122</v>
      </c>
      <c r="C73" s="23" t="s">
        <v>123</v>
      </c>
      <c r="D73" s="32">
        <v>85</v>
      </c>
      <c r="E73" s="16">
        <v>118.75</v>
      </c>
      <c r="F73" s="17">
        <f>ROUND(E73*D73,2)</f>
        <v>10093.75</v>
      </c>
      <c r="G73" s="17">
        <f t="shared" si="34"/>
        <v>12112.5</v>
      </c>
      <c r="H73" s="41"/>
      <c r="I73" s="17"/>
      <c r="J73" s="17"/>
      <c r="K73" s="41">
        <f t="shared" si="32"/>
        <v>10093.75</v>
      </c>
      <c r="L73" s="25">
        <f t="shared" si="32"/>
        <v>12112.5</v>
      </c>
    </row>
    <row r="74" spans="1:13" ht="21.75" customHeight="1" x14ac:dyDescent="0.25">
      <c r="A74" s="49"/>
      <c r="B74" s="31" t="s">
        <v>124</v>
      </c>
      <c r="C74" s="19"/>
      <c r="D74" s="61"/>
      <c r="E74" s="16"/>
      <c r="F74" s="17"/>
      <c r="G74" s="17"/>
      <c r="H74" s="47"/>
      <c r="I74" s="17"/>
      <c r="J74" s="17"/>
      <c r="K74" s="14"/>
      <c r="L74" s="17"/>
    </row>
    <row r="75" spans="1:13" ht="30.75" customHeight="1" x14ac:dyDescent="0.25">
      <c r="A75" s="11">
        <f>A73+1</f>
        <v>40</v>
      </c>
      <c r="B75" s="39" t="s">
        <v>125</v>
      </c>
      <c r="C75" s="23" t="s">
        <v>126</v>
      </c>
      <c r="D75" s="43">
        <v>2</v>
      </c>
      <c r="E75" s="16">
        <v>9339.7999999999993</v>
      </c>
      <c r="F75" s="15">
        <f t="shared" ref="F75:F76" si="35">ROUND(E75*D75,2)</f>
        <v>18679.599999999999</v>
      </c>
      <c r="G75" s="15">
        <f t="shared" ref="G75:G77" si="36">ROUND(F75*1.2,2)</f>
        <v>22415.52</v>
      </c>
      <c r="H75" s="36"/>
      <c r="I75" s="37"/>
      <c r="J75" s="37"/>
      <c r="K75" s="41">
        <f t="shared" ref="K75:L83" si="37">F75+I75</f>
        <v>18679.599999999999</v>
      </c>
      <c r="L75" s="25">
        <f t="shared" si="37"/>
        <v>22415.52</v>
      </c>
      <c r="M75" s="1" t="s">
        <v>127</v>
      </c>
    </row>
    <row r="76" spans="1:13" ht="21" customHeight="1" x14ac:dyDescent="0.25">
      <c r="A76" s="11">
        <f>A75+1</f>
        <v>41</v>
      </c>
      <c r="B76" s="39" t="s">
        <v>128</v>
      </c>
      <c r="C76" s="23" t="s">
        <v>126</v>
      </c>
      <c r="D76" s="43">
        <v>2</v>
      </c>
      <c r="E76" s="16">
        <f>ROUND(2803.18*1.33,2)</f>
        <v>3728.23</v>
      </c>
      <c r="F76" s="15">
        <f t="shared" si="35"/>
        <v>7456.46</v>
      </c>
      <c r="G76" s="15">
        <f t="shared" si="36"/>
        <v>8947.75</v>
      </c>
      <c r="H76" s="36"/>
      <c r="I76" s="37"/>
      <c r="J76" s="37"/>
      <c r="K76" s="41">
        <f t="shared" si="37"/>
        <v>7456.46</v>
      </c>
      <c r="L76" s="25">
        <f t="shared" si="37"/>
        <v>8947.75</v>
      </c>
      <c r="M76" s="1" t="s">
        <v>57</v>
      </c>
    </row>
    <row r="77" spans="1:13" ht="29.25" customHeight="1" x14ac:dyDescent="0.25">
      <c r="A77" s="11">
        <f>A76+1</f>
        <v>42</v>
      </c>
      <c r="B77" s="29" t="s">
        <v>129</v>
      </c>
      <c r="C77" s="19" t="s">
        <v>130</v>
      </c>
      <c r="D77" s="62">
        <v>21.34</v>
      </c>
      <c r="E77" s="16">
        <v>5050.3899999999994</v>
      </c>
      <c r="F77" s="17">
        <f>ROUND(E77*D77,2)</f>
        <v>107775.32</v>
      </c>
      <c r="G77" s="17">
        <f t="shared" si="36"/>
        <v>129330.38</v>
      </c>
      <c r="H77" s="41"/>
      <c r="I77" s="17"/>
      <c r="J77" s="17"/>
      <c r="K77" s="41">
        <f t="shared" si="37"/>
        <v>107775.32</v>
      </c>
      <c r="L77" s="25">
        <f t="shared" si="37"/>
        <v>129330.38</v>
      </c>
    </row>
    <row r="78" spans="1:13" ht="15.75" x14ac:dyDescent="0.25">
      <c r="A78" s="49" t="s">
        <v>131</v>
      </c>
      <c r="B78" s="63" t="s">
        <v>132</v>
      </c>
      <c r="C78" s="52" t="s">
        <v>130</v>
      </c>
      <c r="D78" s="64">
        <f>D77*1.02</f>
        <v>21.7668</v>
      </c>
      <c r="E78" s="54"/>
      <c r="F78" s="56"/>
      <c r="G78" s="56"/>
      <c r="H78" s="65">
        <v>13103.35</v>
      </c>
      <c r="I78" s="56">
        <f t="shared" ref="I78" si="38">ROUND(H78*D78,2)</f>
        <v>285218</v>
      </c>
      <c r="J78" s="56">
        <f t="shared" ref="J78" si="39">ROUND(I78*1.2,2)</f>
        <v>342261.6</v>
      </c>
      <c r="K78" s="57">
        <f t="shared" si="37"/>
        <v>285218</v>
      </c>
      <c r="L78" s="56">
        <f t="shared" si="37"/>
        <v>342261.6</v>
      </c>
      <c r="M78" s="1" t="s">
        <v>133</v>
      </c>
    </row>
    <row r="79" spans="1:13" ht="27.75" customHeight="1" x14ac:dyDescent="0.25">
      <c r="A79" s="42">
        <f>A77+1</f>
        <v>43</v>
      </c>
      <c r="B79" s="29" t="s">
        <v>134</v>
      </c>
      <c r="C79" s="19" t="s">
        <v>135</v>
      </c>
      <c r="D79" s="62">
        <v>21.34</v>
      </c>
      <c r="E79" s="66">
        <f>ROUND(1572.68*1.33,2)</f>
        <v>2091.66</v>
      </c>
      <c r="F79" s="17">
        <f>ROUND(E79*D79,2)</f>
        <v>44636.02</v>
      </c>
      <c r="G79" s="17">
        <f t="shared" ref="G79" si="40">ROUND(F79*1.2,2)</f>
        <v>53563.22</v>
      </c>
      <c r="H79" s="41"/>
      <c r="I79" s="17"/>
      <c r="J79" s="17"/>
      <c r="K79" s="41">
        <f t="shared" si="37"/>
        <v>44636.02</v>
      </c>
      <c r="L79" s="25">
        <f t="shared" si="37"/>
        <v>53563.22</v>
      </c>
      <c r="M79" s="1" t="s">
        <v>136</v>
      </c>
    </row>
    <row r="80" spans="1:13" ht="15.75" x14ac:dyDescent="0.25">
      <c r="A80" s="49" t="s">
        <v>137</v>
      </c>
      <c r="B80" s="63" t="s">
        <v>138</v>
      </c>
      <c r="C80" s="52" t="s">
        <v>37</v>
      </c>
      <c r="D80" s="67">
        <v>2</v>
      </c>
      <c r="E80" s="54"/>
      <c r="F80" s="56"/>
      <c r="G80" s="56"/>
      <c r="H80" s="68">
        <v>1641.6</v>
      </c>
      <c r="I80" s="56">
        <f t="shared" ref="I80" si="41">ROUND(H80*D80,2)</f>
        <v>3283.2</v>
      </c>
      <c r="J80" s="56">
        <f t="shared" ref="J80" si="42">ROUND(I80*1.2,2)</f>
        <v>3939.84</v>
      </c>
      <c r="K80" s="57">
        <f t="shared" si="37"/>
        <v>3283.2</v>
      </c>
      <c r="L80" s="56">
        <f t="shared" si="37"/>
        <v>3939.84</v>
      </c>
    </row>
    <row r="81" spans="1:13" ht="19.5" customHeight="1" x14ac:dyDescent="0.25">
      <c r="A81" s="42">
        <f>A79+1</f>
        <v>44</v>
      </c>
      <c r="B81" s="29" t="s">
        <v>139</v>
      </c>
      <c r="C81" s="19" t="s">
        <v>37</v>
      </c>
      <c r="D81" s="61">
        <v>1</v>
      </c>
      <c r="E81" s="66">
        <v>6060.29</v>
      </c>
      <c r="F81" s="17">
        <f>ROUND(E81*D81,2)</f>
        <v>6060.29</v>
      </c>
      <c r="G81" s="17">
        <f t="shared" ref="G81:G82" si="43">ROUND(F81*1.2,2)</f>
        <v>7272.35</v>
      </c>
      <c r="H81" s="41"/>
      <c r="I81" s="17"/>
      <c r="J81" s="17"/>
      <c r="K81" s="41">
        <f t="shared" si="37"/>
        <v>6060.29</v>
      </c>
      <c r="L81" s="25">
        <f t="shared" si="37"/>
        <v>7272.35</v>
      </c>
    </row>
    <row r="82" spans="1:13" ht="27" customHeight="1" x14ac:dyDescent="0.25">
      <c r="A82" s="42">
        <f>A81+1</f>
        <v>45</v>
      </c>
      <c r="B82" s="29" t="s">
        <v>140</v>
      </c>
      <c r="C82" s="19" t="s">
        <v>99</v>
      </c>
      <c r="D82" s="62">
        <v>1.5</v>
      </c>
      <c r="E82" s="16">
        <v>8327.42</v>
      </c>
      <c r="F82" s="17">
        <f t="shared" ref="F82" si="44">ROUND(E82*D82,2)</f>
        <v>12491.13</v>
      </c>
      <c r="G82" s="17">
        <f t="shared" si="43"/>
        <v>14989.36</v>
      </c>
      <c r="H82" s="47"/>
      <c r="I82" s="17"/>
      <c r="J82" s="17"/>
      <c r="K82" s="41">
        <f t="shared" si="37"/>
        <v>12491.13</v>
      </c>
      <c r="L82" s="25">
        <f t="shared" si="37"/>
        <v>14989.36</v>
      </c>
    </row>
    <row r="83" spans="1:13" ht="15.75" x14ac:dyDescent="0.25">
      <c r="A83" s="49" t="s">
        <v>141</v>
      </c>
      <c r="B83" s="63" t="s">
        <v>142</v>
      </c>
      <c r="C83" s="52" t="s">
        <v>20</v>
      </c>
      <c r="D83" s="64">
        <f>D82*1.02</f>
        <v>1.53</v>
      </c>
      <c r="E83" s="54"/>
      <c r="F83" s="56"/>
      <c r="G83" s="56"/>
      <c r="H83" s="58">
        <v>3657.5</v>
      </c>
      <c r="I83" s="56">
        <f t="shared" ref="I83" si="45">ROUND(H83*D83,2)</f>
        <v>5595.98</v>
      </c>
      <c r="J83" s="56">
        <f t="shared" ref="J83" si="46">ROUND(I83*1.2,2)</f>
        <v>6715.18</v>
      </c>
      <c r="K83" s="57">
        <f t="shared" si="37"/>
        <v>5595.98</v>
      </c>
      <c r="L83" s="56">
        <f t="shared" si="37"/>
        <v>6715.18</v>
      </c>
    </row>
    <row r="84" spans="1:13" s="44" customFormat="1" ht="17.25" customHeight="1" x14ac:dyDescent="0.25">
      <c r="A84" s="49"/>
      <c r="B84" s="31" t="s">
        <v>143</v>
      </c>
      <c r="C84" s="19"/>
      <c r="D84" s="61"/>
      <c r="E84" s="26"/>
      <c r="F84" s="17"/>
      <c r="G84" s="17"/>
      <c r="H84" s="26"/>
      <c r="I84" s="17"/>
      <c r="J84" s="17"/>
      <c r="K84" s="14"/>
      <c r="L84" s="17"/>
      <c r="M84" s="22"/>
    </row>
    <row r="85" spans="1:13" ht="18.75" customHeight="1" x14ac:dyDescent="0.25">
      <c r="A85" s="11">
        <f>A82+1</f>
        <v>46</v>
      </c>
      <c r="B85" s="39" t="s">
        <v>144</v>
      </c>
      <c r="C85" s="23" t="s">
        <v>99</v>
      </c>
      <c r="D85" s="24">
        <v>2.94</v>
      </c>
      <c r="E85" s="66">
        <v>17265.68</v>
      </c>
      <c r="F85" s="17">
        <f>ROUND(E85*D85,2)</f>
        <v>50761.1</v>
      </c>
      <c r="G85" s="17">
        <f t="shared" ref="G85" si="47">ROUND(F85*1.2,2)</f>
        <v>60913.32</v>
      </c>
      <c r="H85" s="41"/>
      <c r="I85" s="17"/>
      <c r="J85" s="17"/>
      <c r="K85" s="41">
        <f t="shared" ref="K85:L99" si="48">F85+I85</f>
        <v>50761.1</v>
      </c>
      <c r="L85" s="25">
        <f t="shared" si="48"/>
        <v>60913.32</v>
      </c>
    </row>
    <row r="86" spans="1:13" ht="15.75" x14ac:dyDescent="0.25">
      <c r="A86" s="49" t="s">
        <v>145</v>
      </c>
      <c r="B86" s="63" t="s">
        <v>146</v>
      </c>
      <c r="C86" s="52" t="s">
        <v>37</v>
      </c>
      <c r="D86" s="67">
        <v>1</v>
      </c>
      <c r="E86" s="54"/>
      <c r="F86" s="56"/>
      <c r="G86" s="56"/>
      <c r="H86" s="68">
        <v>10215.35</v>
      </c>
      <c r="I86" s="56">
        <f>ROUND(H86*D86,2)</f>
        <v>10215.35</v>
      </c>
      <c r="J86" s="56">
        <f>ROUND(I86*1.2,2)</f>
        <v>12258.42</v>
      </c>
      <c r="K86" s="57">
        <f t="shared" si="48"/>
        <v>10215.35</v>
      </c>
      <c r="L86" s="56">
        <f t="shared" si="48"/>
        <v>12258.42</v>
      </c>
    </row>
    <row r="87" spans="1:13" ht="15.75" x14ac:dyDescent="0.25">
      <c r="A87" s="49" t="s">
        <v>147</v>
      </c>
      <c r="B87" s="63" t="s">
        <v>148</v>
      </c>
      <c r="C87" s="52" t="s">
        <v>149</v>
      </c>
      <c r="D87" s="67">
        <v>2</v>
      </c>
      <c r="E87" s="54"/>
      <c r="F87" s="56"/>
      <c r="G87" s="56"/>
      <c r="H87" s="68">
        <v>10455.700000000001</v>
      </c>
      <c r="I87" s="56">
        <f t="shared" ref="I87:I90" si="49">ROUND(H87*D87,2)</f>
        <v>20911.400000000001</v>
      </c>
      <c r="J87" s="56">
        <f t="shared" ref="J87:J90" si="50">ROUND(I87*1.2,2)</f>
        <v>25093.68</v>
      </c>
      <c r="K87" s="57">
        <f t="shared" si="48"/>
        <v>20911.400000000001</v>
      </c>
      <c r="L87" s="56">
        <f t="shared" si="48"/>
        <v>25093.68</v>
      </c>
    </row>
    <row r="88" spans="1:13" ht="15.75" x14ac:dyDescent="0.25">
      <c r="A88" s="49" t="s">
        <v>150</v>
      </c>
      <c r="B88" s="63" t="s">
        <v>151</v>
      </c>
      <c r="C88" s="52" t="s">
        <v>149</v>
      </c>
      <c r="D88" s="67">
        <v>2</v>
      </c>
      <c r="E88" s="54"/>
      <c r="F88" s="56"/>
      <c r="G88" s="56"/>
      <c r="H88" s="68">
        <v>10815.75</v>
      </c>
      <c r="I88" s="56">
        <f t="shared" si="49"/>
        <v>21631.5</v>
      </c>
      <c r="J88" s="56">
        <f t="shared" si="50"/>
        <v>25957.8</v>
      </c>
      <c r="K88" s="57">
        <f t="shared" si="48"/>
        <v>21631.5</v>
      </c>
      <c r="L88" s="56">
        <f t="shared" si="48"/>
        <v>25957.8</v>
      </c>
    </row>
    <row r="89" spans="1:13" ht="15.75" x14ac:dyDescent="0.25">
      <c r="A89" s="49" t="s">
        <v>152</v>
      </c>
      <c r="B89" s="63" t="s">
        <v>153</v>
      </c>
      <c r="C89" s="52" t="s">
        <v>37</v>
      </c>
      <c r="D89" s="67">
        <v>2</v>
      </c>
      <c r="E89" s="54"/>
      <c r="F89" s="56"/>
      <c r="G89" s="56"/>
      <c r="H89" s="68">
        <v>1102.08</v>
      </c>
      <c r="I89" s="56">
        <f t="shared" si="49"/>
        <v>2204.16</v>
      </c>
      <c r="J89" s="56">
        <f t="shared" si="50"/>
        <v>2644.99</v>
      </c>
      <c r="K89" s="57">
        <f t="shared" si="48"/>
        <v>2204.16</v>
      </c>
      <c r="L89" s="56">
        <f t="shared" si="48"/>
        <v>2644.99</v>
      </c>
      <c r="M89" s="1" t="s">
        <v>154</v>
      </c>
    </row>
    <row r="90" spans="1:13" ht="15.75" x14ac:dyDescent="0.25">
      <c r="A90" s="49" t="s">
        <v>155</v>
      </c>
      <c r="B90" s="63" t="s">
        <v>156</v>
      </c>
      <c r="C90" s="52" t="s">
        <v>37</v>
      </c>
      <c r="D90" s="67">
        <v>1</v>
      </c>
      <c r="E90" s="54"/>
      <c r="F90" s="56"/>
      <c r="G90" s="56"/>
      <c r="H90" s="68">
        <v>3099.25</v>
      </c>
      <c r="I90" s="56">
        <f t="shared" si="49"/>
        <v>3099.25</v>
      </c>
      <c r="J90" s="56">
        <f t="shared" si="50"/>
        <v>3719.1</v>
      </c>
      <c r="K90" s="57">
        <f t="shared" si="48"/>
        <v>3099.25</v>
      </c>
      <c r="L90" s="56">
        <f t="shared" si="48"/>
        <v>3719.1</v>
      </c>
      <c r="M90" s="1" t="s">
        <v>154</v>
      </c>
    </row>
    <row r="91" spans="1:13" ht="17.25" customHeight="1" x14ac:dyDescent="0.25">
      <c r="A91" s="49" t="s">
        <v>157</v>
      </c>
      <c r="B91" s="63" t="s">
        <v>158</v>
      </c>
      <c r="C91" s="52" t="s">
        <v>159</v>
      </c>
      <c r="D91" s="69">
        <f>29*2</f>
        <v>58</v>
      </c>
      <c r="E91" s="54"/>
      <c r="F91" s="56">
        <f>ROUND(E91*D91,2)</f>
        <v>0</v>
      </c>
      <c r="G91" s="56">
        <f t="shared" ref="G91:G92" si="51">ROUND(F91*1.2,2)</f>
        <v>0</v>
      </c>
      <c r="H91" s="70">
        <v>669.9</v>
      </c>
      <c r="I91" s="56">
        <f>ROUND(H91*D91,2)</f>
        <v>38854.199999999997</v>
      </c>
      <c r="J91" s="56">
        <f>ROUND(I91*1.2,2)</f>
        <v>46625.04</v>
      </c>
      <c r="K91" s="57">
        <f t="shared" si="48"/>
        <v>38854.199999999997</v>
      </c>
      <c r="L91" s="56">
        <f t="shared" si="48"/>
        <v>46625.04</v>
      </c>
    </row>
    <row r="92" spans="1:13" ht="18.75" customHeight="1" x14ac:dyDescent="0.25">
      <c r="A92" s="11">
        <f>A85+1</f>
        <v>47</v>
      </c>
      <c r="B92" s="29" t="s">
        <v>160</v>
      </c>
      <c r="C92" s="19" t="s">
        <v>37</v>
      </c>
      <c r="D92" s="61">
        <v>2</v>
      </c>
      <c r="E92" s="16"/>
      <c r="F92" s="17">
        <f>ROUND(E92*D92,2)</f>
        <v>0</v>
      </c>
      <c r="G92" s="17">
        <f t="shared" si="51"/>
        <v>0</v>
      </c>
      <c r="H92" s="41"/>
      <c r="I92" s="17"/>
      <c r="J92" s="17"/>
      <c r="K92" s="41">
        <f t="shared" si="48"/>
        <v>0</v>
      </c>
      <c r="L92" s="25">
        <f t="shared" si="48"/>
        <v>0</v>
      </c>
    </row>
    <row r="93" spans="1:13" ht="15.75" x14ac:dyDescent="0.25">
      <c r="A93" s="49" t="s">
        <v>161</v>
      </c>
      <c r="B93" s="63" t="s">
        <v>162</v>
      </c>
      <c r="C93" s="52" t="s">
        <v>37</v>
      </c>
      <c r="D93" s="67">
        <v>2</v>
      </c>
      <c r="E93" s="54"/>
      <c r="F93" s="56"/>
      <c r="G93" s="56"/>
      <c r="H93" s="54">
        <v>14421</v>
      </c>
      <c r="I93" s="56">
        <f>ROUND(H93*D93,2)</f>
        <v>28842</v>
      </c>
      <c r="J93" s="56">
        <f t="shared" ref="J93" si="52">ROUND(I93*1.2,2)</f>
        <v>34610.400000000001</v>
      </c>
      <c r="K93" s="57">
        <f t="shared" si="48"/>
        <v>28842</v>
      </c>
      <c r="L93" s="56">
        <f t="shared" si="48"/>
        <v>34610.400000000001</v>
      </c>
    </row>
    <row r="94" spans="1:13" ht="15.75" x14ac:dyDescent="0.25">
      <c r="A94" s="42">
        <f>A92+1</f>
        <v>48</v>
      </c>
      <c r="B94" s="18" t="s">
        <v>163</v>
      </c>
      <c r="C94" s="19" t="s">
        <v>20</v>
      </c>
      <c r="D94" s="71">
        <f>0.25*0.12*0.088*96</f>
        <v>0.25343999999999994</v>
      </c>
      <c r="E94" s="16">
        <v>10878.4</v>
      </c>
      <c r="F94" s="17">
        <f>ROUND(E94*D94,2)</f>
        <v>2757.02</v>
      </c>
      <c r="G94" s="17">
        <f t="shared" ref="G94" si="53">ROUND(F94*1.2,2)</f>
        <v>3308.42</v>
      </c>
      <c r="H94" s="41"/>
      <c r="I94" s="17"/>
      <c r="J94" s="17"/>
      <c r="K94" s="41">
        <f t="shared" si="48"/>
        <v>2757.02</v>
      </c>
      <c r="L94" s="25">
        <f t="shared" si="48"/>
        <v>3308.42</v>
      </c>
      <c r="M94" s="1" t="s">
        <v>164</v>
      </c>
    </row>
    <row r="95" spans="1:13" ht="15.75" x14ac:dyDescent="0.25">
      <c r="A95" s="49" t="s">
        <v>165</v>
      </c>
      <c r="B95" s="63" t="s">
        <v>166</v>
      </c>
      <c r="C95" s="52" t="s">
        <v>37</v>
      </c>
      <c r="D95" s="67">
        <v>96</v>
      </c>
      <c r="E95" s="54"/>
      <c r="F95" s="56"/>
      <c r="G95" s="56"/>
      <c r="H95" s="68">
        <v>24</v>
      </c>
      <c r="I95" s="56">
        <f t="shared" ref="I95" si="54">ROUND(H95*D95,2)</f>
        <v>2304</v>
      </c>
      <c r="J95" s="56">
        <f t="shared" ref="J95" si="55">ROUND(I95*1.2,2)</f>
        <v>2764.8</v>
      </c>
      <c r="K95" s="57">
        <f t="shared" si="48"/>
        <v>2304</v>
      </c>
      <c r="L95" s="56">
        <f t="shared" si="48"/>
        <v>2764.8</v>
      </c>
      <c r="M95" s="1" t="s">
        <v>167</v>
      </c>
    </row>
    <row r="96" spans="1:13" ht="27.75" customHeight="1" x14ac:dyDescent="0.25">
      <c r="A96" s="42">
        <f>A94+1</f>
        <v>49</v>
      </c>
      <c r="B96" s="18" t="s">
        <v>168</v>
      </c>
      <c r="C96" s="19" t="s">
        <v>169</v>
      </c>
      <c r="D96" s="72" t="s">
        <v>170</v>
      </c>
      <c r="E96" s="16">
        <v>144.4</v>
      </c>
      <c r="F96" s="17">
        <f>ROUND(E96*19.63,2)</f>
        <v>2834.57</v>
      </c>
      <c r="G96" s="17">
        <f t="shared" ref="G96" si="56">ROUND(F96*1.2,2)</f>
        <v>3401.48</v>
      </c>
      <c r="H96" s="41"/>
      <c r="I96" s="17"/>
      <c r="J96" s="17"/>
      <c r="K96" s="41">
        <f t="shared" si="48"/>
        <v>2834.57</v>
      </c>
      <c r="L96" s="25">
        <f t="shared" si="48"/>
        <v>3401.48</v>
      </c>
      <c r="M96" s="1" t="s">
        <v>171</v>
      </c>
    </row>
    <row r="97" spans="1:13" ht="17.25" customHeight="1" x14ac:dyDescent="0.25">
      <c r="A97" s="49" t="s">
        <v>172</v>
      </c>
      <c r="B97" s="63" t="s">
        <v>173</v>
      </c>
      <c r="C97" s="52" t="s">
        <v>174</v>
      </c>
      <c r="D97" s="73" t="s">
        <v>175</v>
      </c>
      <c r="E97" s="54"/>
      <c r="F97" s="56"/>
      <c r="G97" s="56"/>
      <c r="H97" s="68">
        <v>237.5</v>
      </c>
      <c r="I97" s="56">
        <f>ROUND(H97*13,2)</f>
        <v>3087.5</v>
      </c>
      <c r="J97" s="56">
        <f t="shared" ref="J97" si="57">ROUND(I97*1.2,2)</f>
        <v>3705</v>
      </c>
      <c r="K97" s="57">
        <f t="shared" si="48"/>
        <v>3087.5</v>
      </c>
      <c r="L97" s="56">
        <f t="shared" si="48"/>
        <v>3705</v>
      </c>
    </row>
    <row r="98" spans="1:13" ht="28.5" customHeight="1" x14ac:dyDescent="0.25">
      <c r="A98" s="42">
        <f>A96+1</f>
        <v>50</v>
      </c>
      <c r="B98" s="18" t="s">
        <v>176</v>
      </c>
      <c r="C98" s="19" t="s">
        <v>169</v>
      </c>
      <c r="D98" s="72" t="s">
        <v>177</v>
      </c>
      <c r="E98" s="16">
        <v>299.76</v>
      </c>
      <c r="F98" s="17">
        <f>ROUND(E98*19.63,2)</f>
        <v>5884.29</v>
      </c>
      <c r="G98" s="17">
        <f t="shared" ref="G98" si="58">ROUND(F98*1.2,2)</f>
        <v>7061.15</v>
      </c>
      <c r="H98" s="41"/>
      <c r="I98" s="17"/>
      <c r="J98" s="17"/>
      <c r="K98" s="41">
        <f t="shared" si="48"/>
        <v>5884.29</v>
      </c>
      <c r="L98" s="25">
        <f t="shared" si="48"/>
        <v>7061.15</v>
      </c>
      <c r="M98" s="1" t="s">
        <v>171</v>
      </c>
    </row>
    <row r="99" spans="1:13" ht="15.75" x14ac:dyDescent="0.25">
      <c r="A99" s="49" t="s">
        <v>178</v>
      </c>
      <c r="B99" s="63" t="s">
        <v>179</v>
      </c>
      <c r="C99" s="52" t="s">
        <v>159</v>
      </c>
      <c r="D99" s="74">
        <v>46.35</v>
      </c>
      <c r="E99" s="54"/>
      <c r="F99" s="56"/>
      <c r="G99" s="56"/>
      <c r="H99" s="68">
        <v>296.39999999999998</v>
      </c>
      <c r="I99" s="56">
        <f t="shared" ref="I99" si="59">ROUND(H99*D99,2)</f>
        <v>13738.14</v>
      </c>
      <c r="J99" s="56">
        <f t="shared" ref="J99" si="60">ROUND(I99*1.2,2)</f>
        <v>16485.77</v>
      </c>
      <c r="K99" s="75">
        <f t="shared" si="48"/>
        <v>13738.14</v>
      </c>
      <c r="L99" s="55">
        <f t="shared" si="48"/>
        <v>16485.77</v>
      </c>
    </row>
    <row r="100" spans="1:13" s="44" customFormat="1" ht="20.25" customHeight="1" x14ac:dyDescent="0.25">
      <c r="A100" s="49"/>
      <c r="B100" s="31" t="s">
        <v>180</v>
      </c>
      <c r="C100" s="19"/>
      <c r="D100" s="61"/>
      <c r="E100" s="26"/>
      <c r="F100" s="17"/>
      <c r="G100" s="17"/>
      <c r="H100" s="26"/>
      <c r="I100" s="17"/>
      <c r="J100" s="17"/>
      <c r="K100" s="14"/>
      <c r="L100" s="17"/>
      <c r="M100" s="22"/>
    </row>
    <row r="101" spans="1:13" ht="34.5" customHeight="1" x14ac:dyDescent="0.25">
      <c r="A101" s="42">
        <f>A98+1</f>
        <v>51</v>
      </c>
      <c r="B101" s="29" t="s">
        <v>181</v>
      </c>
      <c r="C101" s="19" t="s">
        <v>37</v>
      </c>
      <c r="D101" s="32">
        <v>1</v>
      </c>
      <c r="E101" s="16">
        <v>7035.89</v>
      </c>
      <c r="F101" s="17">
        <f>ROUND(E101*D101,2)</f>
        <v>7035.89</v>
      </c>
      <c r="G101" s="17">
        <f t="shared" ref="G101" si="61">ROUND(F101*1.2,2)</f>
        <v>8443.07</v>
      </c>
      <c r="H101" s="41"/>
      <c r="I101" s="17"/>
      <c r="J101" s="17"/>
      <c r="K101" s="41">
        <f t="shared" ref="K101:L116" si="62">F101+I101</f>
        <v>7035.89</v>
      </c>
      <c r="L101" s="25">
        <f t="shared" si="62"/>
        <v>8443.07</v>
      </c>
    </row>
    <row r="102" spans="1:13" ht="18" customHeight="1" x14ac:dyDescent="0.25">
      <c r="A102" s="49" t="s">
        <v>182</v>
      </c>
      <c r="B102" s="63" t="s">
        <v>183</v>
      </c>
      <c r="C102" s="52" t="s">
        <v>37</v>
      </c>
      <c r="D102" s="74">
        <v>1</v>
      </c>
      <c r="E102" s="54"/>
      <c r="F102" s="56"/>
      <c r="G102" s="56"/>
      <c r="H102" s="68">
        <v>16406.5</v>
      </c>
      <c r="I102" s="56">
        <f t="shared" ref="I102" si="63">ROUND(H102*D102,2)</f>
        <v>16406.5</v>
      </c>
      <c r="J102" s="56">
        <f t="shared" ref="J102" si="64">ROUND(I102*1.2,2)</f>
        <v>19687.8</v>
      </c>
      <c r="K102" s="75">
        <f t="shared" si="62"/>
        <v>16406.5</v>
      </c>
      <c r="L102" s="55">
        <f t="shared" si="62"/>
        <v>19687.8</v>
      </c>
    </row>
    <row r="103" spans="1:13" ht="28.5" customHeight="1" x14ac:dyDescent="0.25">
      <c r="A103" s="42">
        <f>A101+1</f>
        <v>52</v>
      </c>
      <c r="B103" s="29" t="s">
        <v>184</v>
      </c>
      <c r="C103" s="19" t="s">
        <v>37</v>
      </c>
      <c r="D103" s="76">
        <v>1</v>
      </c>
      <c r="E103" s="16">
        <v>14312.75</v>
      </c>
      <c r="F103" s="17">
        <f t="shared" ref="F103:F129" si="65">ROUND(E103*D103,2)</f>
        <v>14312.75</v>
      </c>
      <c r="G103" s="17">
        <f t="shared" ref="G103:G129" si="66">ROUND(F103*1.2,2)</f>
        <v>17175.3</v>
      </c>
      <c r="H103" s="41"/>
      <c r="I103" s="17"/>
      <c r="J103" s="17"/>
      <c r="K103" s="41">
        <f t="shared" si="62"/>
        <v>14312.75</v>
      </c>
      <c r="L103" s="25">
        <f t="shared" si="62"/>
        <v>17175.3</v>
      </c>
    </row>
    <row r="104" spans="1:13" ht="18.75" customHeight="1" x14ac:dyDescent="0.25">
      <c r="A104" s="49" t="s">
        <v>185</v>
      </c>
      <c r="B104" s="63" t="s">
        <v>186</v>
      </c>
      <c r="C104" s="52" t="s">
        <v>37</v>
      </c>
      <c r="D104" s="69">
        <v>1</v>
      </c>
      <c r="E104" s="54"/>
      <c r="F104" s="56"/>
      <c r="G104" s="56"/>
      <c r="H104" s="75">
        <v>109202.5</v>
      </c>
      <c r="I104" s="56">
        <f>ROUND(H104*D104,2)</f>
        <v>109202.5</v>
      </c>
      <c r="J104" s="56">
        <f>ROUND(I104*1.2,2)</f>
        <v>131043</v>
      </c>
      <c r="K104" s="57">
        <f t="shared" si="62"/>
        <v>109202.5</v>
      </c>
      <c r="L104" s="56">
        <f t="shared" si="62"/>
        <v>131043</v>
      </c>
    </row>
    <row r="105" spans="1:13" ht="31.5" customHeight="1" x14ac:dyDescent="0.25">
      <c r="A105" s="42">
        <f>A103+1</f>
        <v>53</v>
      </c>
      <c r="B105" s="29" t="s">
        <v>187</v>
      </c>
      <c r="C105" s="19" t="s">
        <v>37</v>
      </c>
      <c r="D105" s="76">
        <v>1</v>
      </c>
      <c r="E105" s="16">
        <v>5650.6</v>
      </c>
      <c r="F105" s="17">
        <f t="shared" si="65"/>
        <v>5650.6</v>
      </c>
      <c r="G105" s="17">
        <f t="shared" si="66"/>
        <v>6780.72</v>
      </c>
      <c r="H105" s="41"/>
      <c r="I105" s="17"/>
      <c r="J105" s="17"/>
      <c r="K105" s="41">
        <f t="shared" si="62"/>
        <v>5650.6</v>
      </c>
      <c r="L105" s="25">
        <f t="shared" si="62"/>
        <v>6780.72</v>
      </c>
    </row>
    <row r="106" spans="1:13" ht="18" customHeight="1" x14ac:dyDescent="0.25">
      <c r="A106" s="49" t="s">
        <v>188</v>
      </c>
      <c r="B106" s="63" t="s">
        <v>189</v>
      </c>
      <c r="C106" s="52" t="s">
        <v>37</v>
      </c>
      <c r="D106" s="69">
        <v>1</v>
      </c>
      <c r="E106" s="54"/>
      <c r="F106" s="56"/>
      <c r="G106" s="56"/>
      <c r="H106" s="75">
        <v>30988.05</v>
      </c>
      <c r="I106" s="56">
        <f>ROUND(H106*D106,2)</f>
        <v>30988.05</v>
      </c>
      <c r="J106" s="56">
        <f>ROUND(I106*1.2,2)</f>
        <v>37185.660000000003</v>
      </c>
      <c r="K106" s="57">
        <f t="shared" si="62"/>
        <v>30988.05</v>
      </c>
      <c r="L106" s="56">
        <f t="shared" si="62"/>
        <v>37185.660000000003</v>
      </c>
    </row>
    <row r="107" spans="1:13" ht="23.25" customHeight="1" x14ac:dyDescent="0.25">
      <c r="A107" s="42">
        <f>A105+1</f>
        <v>54</v>
      </c>
      <c r="B107" s="29" t="s">
        <v>190</v>
      </c>
      <c r="C107" s="19" t="s">
        <v>37</v>
      </c>
      <c r="D107" s="76">
        <v>1</v>
      </c>
      <c r="E107" s="16">
        <v>6546.68</v>
      </c>
      <c r="F107" s="17">
        <f t="shared" si="65"/>
        <v>6546.68</v>
      </c>
      <c r="G107" s="17">
        <f t="shared" si="66"/>
        <v>7856.02</v>
      </c>
      <c r="H107" s="41"/>
      <c r="I107" s="17"/>
      <c r="J107" s="17"/>
      <c r="K107" s="41">
        <f t="shared" si="62"/>
        <v>6546.68</v>
      </c>
      <c r="L107" s="25">
        <f t="shared" si="62"/>
        <v>7856.02</v>
      </c>
    </row>
    <row r="108" spans="1:13" ht="18.75" customHeight="1" x14ac:dyDescent="0.25">
      <c r="A108" s="49" t="s">
        <v>191</v>
      </c>
      <c r="B108" s="63" t="s">
        <v>192</v>
      </c>
      <c r="C108" s="52" t="s">
        <v>37</v>
      </c>
      <c r="D108" s="69">
        <v>1</v>
      </c>
      <c r="E108" s="54"/>
      <c r="F108" s="56"/>
      <c r="G108" s="56"/>
      <c r="H108" s="75">
        <v>12662.42</v>
      </c>
      <c r="I108" s="56">
        <f>ROUND(H108*D108,2)</f>
        <v>12662.42</v>
      </c>
      <c r="J108" s="56">
        <f>ROUND(I108*1.2,2)</f>
        <v>15194.9</v>
      </c>
      <c r="K108" s="57">
        <f t="shared" si="62"/>
        <v>12662.42</v>
      </c>
      <c r="L108" s="56">
        <f t="shared" si="62"/>
        <v>15194.9</v>
      </c>
      <c r="M108" s="1" t="s">
        <v>193</v>
      </c>
    </row>
    <row r="109" spans="1:13" ht="22.5" customHeight="1" x14ac:dyDescent="0.25">
      <c r="A109" s="42">
        <f>A107+1</f>
        <v>55</v>
      </c>
      <c r="B109" s="29" t="s">
        <v>194</v>
      </c>
      <c r="C109" s="19" t="s">
        <v>37</v>
      </c>
      <c r="D109" s="76">
        <v>1</v>
      </c>
      <c r="E109" s="16">
        <v>6546.68</v>
      </c>
      <c r="F109" s="17">
        <f t="shared" si="65"/>
        <v>6546.68</v>
      </c>
      <c r="G109" s="17">
        <f t="shared" si="66"/>
        <v>7856.02</v>
      </c>
      <c r="H109" s="41"/>
      <c r="I109" s="17"/>
      <c r="J109" s="17"/>
      <c r="K109" s="41">
        <f t="shared" si="62"/>
        <v>6546.68</v>
      </c>
      <c r="L109" s="25">
        <f t="shared" si="62"/>
        <v>7856.02</v>
      </c>
    </row>
    <row r="110" spans="1:13" ht="21" customHeight="1" x14ac:dyDescent="0.25">
      <c r="A110" s="49" t="s">
        <v>195</v>
      </c>
      <c r="B110" s="63" t="s">
        <v>196</v>
      </c>
      <c r="C110" s="52" t="s">
        <v>37</v>
      </c>
      <c r="D110" s="69">
        <v>1</v>
      </c>
      <c r="E110" s="54"/>
      <c r="F110" s="56"/>
      <c r="G110" s="56"/>
      <c r="H110" s="75">
        <v>6409.33</v>
      </c>
      <c r="I110" s="56">
        <f>ROUND(H110*D110,2)</f>
        <v>6409.33</v>
      </c>
      <c r="J110" s="56">
        <f>ROUND(I110*1.2,2)</f>
        <v>7691.2</v>
      </c>
      <c r="K110" s="57">
        <f t="shared" si="62"/>
        <v>6409.33</v>
      </c>
      <c r="L110" s="56">
        <f t="shared" si="62"/>
        <v>7691.2</v>
      </c>
      <c r="M110" s="1" t="s">
        <v>154</v>
      </c>
    </row>
    <row r="111" spans="1:13" ht="30" customHeight="1" x14ac:dyDescent="0.25">
      <c r="A111" s="42">
        <f>A109+1</f>
        <v>56</v>
      </c>
      <c r="B111" s="29" t="s">
        <v>197</v>
      </c>
      <c r="C111" s="19" t="s">
        <v>37</v>
      </c>
      <c r="D111" s="76">
        <v>1</v>
      </c>
      <c r="E111" s="16">
        <v>6546.68</v>
      </c>
      <c r="F111" s="17">
        <f t="shared" si="65"/>
        <v>6546.68</v>
      </c>
      <c r="G111" s="17">
        <f t="shared" si="66"/>
        <v>7856.02</v>
      </c>
      <c r="H111" s="41"/>
      <c r="I111" s="17"/>
      <c r="J111" s="17"/>
      <c r="K111" s="41">
        <f t="shared" si="62"/>
        <v>6546.68</v>
      </c>
      <c r="L111" s="25">
        <f t="shared" si="62"/>
        <v>7856.02</v>
      </c>
    </row>
    <row r="112" spans="1:13" ht="22.5" customHeight="1" x14ac:dyDescent="0.25">
      <c r="A112" s="49" t="s">
        <v>198</v>
      </c>
      <c r="B112" s="63" t="s">
        <v>199</v>
      </c>
      <c r="C112" s="52" t="s">
        <v>37</v>
      </c>
      <c r="D112" s="69">
        <v>1</v>
      </c>
      <c r="E112" s="54"/>
      <c r="F112" s="56"/>
      <c r="G112" s="56"/>
      <c r="H112" s="75">
        <v>2793</v>
      </c>
      <c r="I112" s="56">
        <f>ROUND(H112*D112,2)</f>
        <v>2793</v>
      </c>
      <c r="J112" s="56">
        <f>ROUND(I112*1.2,2)</f>
        <v>3351.6</v>
      </c>
      <c r="K112" s="57">
        <f t="shared" si="62"/>
        <v>2793</v>
      </c>
      <c r="L112" s="56">
        <f t="shared" si="62"/>
        <v>3351.6</v>
      </c>
    </row>
    <row r="113" spans="1:13" ht="29.25" customHeight="1" x14ac:dyDescent="0.25">
      <c r="A113" s="49" t="s">
        <v>200</v>
      </c>
      <c r="B113" s="63" t="s">
        <v>201</v>
      </c>
      <c r="C113" s="52" t="s">
        <v>159</v>
      </c>
      <c r="D113" s="58">
        <f>24*0.243</f>
        <v>5.8319999999999999</v>
      </c>
      <c r="E113" s="54"/>
      <c r="F113" s="56"/>
      <c r="G113" s="56"/>
      <c r="H113" s="75">
        <v>120.65</v>
      </c>
      <c r="I113" s="56">
        <f>ROUND(H113*D113,2)</f>
        <v>703.63</v>
      </c>
      <c r="J113" s="56">
        <f>ROUND(I113*1.2,2)</f>
        <v>844.36</v>
      </c>
      <c r="K113" s="57">
        <f t="shared" si="62"/>
        <v>703.63</v>
      </c>
      <c r="L113" s="56">
        <f t="shared" si="62"/>
        <v>844.36</v>
      </c>
    </row>
    <row r="114" spans="1:13" ht="19.5" customHeight="1" x14ac:dyDescent="0.25">
      <c r="A114" s="49" t="s">
        <v>202</v>
      </c>
      <c r="B114" s="63" t="s">
        <v>203</v>
      </c>
      <c r="C114" s="52" t="s">
        <v>159</v>
      </c>
      <c r="D114" s="58">
        <f>36*0.071</f>
        <v>2.5559999999999996</v>
      </c>
      <c r="E114" s="54"/>
      <c r="F114" s="56"/>
      <c r="G114" s="56"/>
      <c r="H114" s="75">
        <v>139.65</v>
      </c>
      <c r="I114" s="56">
        <f>ROUND(H114*D114,2)</f>
        <v>356.95</v>
      </c>
      <c r="J114" s="56">
        <f>ROUND(I114*1.2,2)</f>
        <v>428.34</v>
      </c>
      <c r="K114" s="57">
        <f t="shared" si="62"/>
        <v>356.95</v>
      </c>
      <c r="L114" s="56">
        <f t="shared" si="62"/>
        <v>428.34</v>
      </c>
    </row>
    <row r="115" spans="1:13" ht="22.5" customHeight="1" x14ac:dyDescent="0.25">
      <c r="A115" s="49" t="s">
        <v>204</v>
      </c>
      <c r="B115" s="63" t="s">
        <v>205</v>
      </c>
      <c r="C115" s="52" t="s">
        <v>159</v>
      </c>
      <c r="D115" s="58">
        <f>72*0.0172</f>
        <v>1.2383999999999999</v>
      </c>
      <c r="E115" s="54"/>
      <c r="F115" s="56"/>
      <c r="G115" s="56"/>
      <c r="H115" s="75">
        <v>188.1</v>
      </c>
      <c r="I115" s="56">
        <f>ROUND(H115*D115,2)</f>
        <v>232.94</v>
      </c>
      <c r="J115" s="56">
        <f>ROUND(I115*1.2,2)</f>
        <v>279.52999999999997</v>
      </c>
      <c r="K115" s="57">
        <f t="shared" si="62"/>
        <v>232.94</v>
      </c>
      <c r="L115" s="56">
        <f t="shared" si="62"/>
        <v>279.52999999999997</v>
      </c>
    </row>
    <row r="116" spans="1:13" ht="22.5" customHeight="1" x14ac:dyDescent="0.25">
      <c r="A116" s="49" t="s">
        <v>206</v>
      </c>
      <c r="B116" s="63" t="s">
        <v>207</v>
      </c>
      <c r="C116" s="52" t="s">
        <v>37</v>
      </c>
      <c r="D116" s="69">
        <v>2</v>
      </c>
      <c r="E116" s="54"/>
      <c r="F116" s="56"/>
      <c r="G116" s="56"/>
      <c r="H116" s="75">
        <v>85.5</v>
      </c>
      <c r="I116" s="56">
        <f>ROUND(H116*D116,2)</f>
        <v>171</v>
      </c>
      <c r="J116" s="56">
        <f>ROUND(I116*1.2,2)</f>
        <v>205.2</v>
      </c>
      <c r="K116" s="57">
        <f t="shared" si="62"/>
        <v>171</v>
      </c>
      <c r="L116" s="56">
        <f t="shared" si="62"/>
        <v>205.2</v>
      </c>
    </row>
    <row r="117" spans="1:13" ht="18" customHeight="1" x14ac:dyDescent="0.25">
      <c r="A117" s="42">
        <f>A111+1</f>
        <v>57</v>
      </c>
      <c r="B117" s="29" t="s">
        <v>208</v>
      </c>
      <c r="C117" s="19" t="s">
        <v>37</v>
      </c>
      <c r="D117" s="76">
        <v>1</v>
      </c>
      <c r="E117" s="16">
        <v>6039.48</v>
      </c>
      <c r="F117" s="17">
        <f t="shared" si="65"/>
        <v>6039.48</v>
      </c>
      <c r="G117" s="17">
        <f t="shared" si="66"/>
        <v>7247.38</v>
      </c>
      <c r="H117" s="41"/>
      <c r="I117" s="17"/>
      <c r="J117" s="17"/>
      <c r="K117" s="41">
        <f t="shared" ref="K117:L130" si="67">F117+I117</f>
        <v>6039.48</v>
      </c>
      <c r="L117" s="25">
        <f t="shared" si="67"/>
        <v>7247.38</v>
      </c>
    </row>
    <row r="118" spans="1:13" ht="18" customHeight="1" x14ac:dyDescent="0.25">
      <c r="A118" s="49" t="s">
        <v>209</v>
      </c>
      <c r="B118" s="63" t="s">
        <v>210</v>
      </c>
      <c r="C118" s="52" t="s">
        <v>37</v>
      </c>
      <c r="D118" s="69">
        <v>1</v>
      </c>
      <c r="E118" s="54"/>
      <c r="F118" s="56"/>
      <c r="G118" s="56"/>
      <c r="H118" s="58">
        <v>2638.15</v>
      </c>
      <c r="I118" s="56">
        <f>ROUND(H118*D118,2)</f>
        <v>2638.15</v>
      </c>
      <c r="J118" s="56">
        <f>ROUND(I118*1.2,2)</f>
        <v>3165.78</v>
      </c>
      <c r="K118" s="57">
        <f t="shared" si="67"/>
        <v>2638.15</v>
      </c>
      <c r="L118" s="56">
        <f t="shared" si="67"/>
        <v>3165.78</v>
      </c>
    </row>
    <row r="119" spans="1:13" ht="27.75" customHeight="1" x14ac:dyDescent="0.25">
      <c r="A119" s="42">
        <f>A117+1</f>
        <v>58</v>
      </c>
      <c r="B119" s="29" t="s">
        <v>211</v>
      </c>
      <c r="C119" s="19" t="s">
        <v>37</v>
      </c>
      <c r="D119" s="76">
        <v>2</v>
      </c>
      <c r="E119" s="16">
        <v>6546.68</v>
      </c>
      <c r="F119" s="17">
        <f t="shared" si="65"/>
        <v>13093.36</v>
      </c>
      <c r="G119" s="17">
        <f t="shared" si="66"/>
        <v>15712.03</v>
      </c>
      <c r="H119" s="41"/>
      <c r="I119" s="17"/>
      <c r="J119" s="17"/>
      <c r="K119" s="41">
        <f t="shared" si="67"/>
        <v>13093.36</v>
      </c>
      <c r="L119" s="25">
        <f t="shared" si="67"/>
        <v>15712.03</v>
      </c>
    </row>
    <row r="120" spans="1:13" ht="18" customHeight="1" x14ac:dyDescent="0.25">
      <c r="A120" s="49" t="s">
        <v>212</v>
      </c>
      <c r="B120" s="63" t="s">
        <v>213</v>
      </c>
      <c r="C120" s="52" t="s">
        <v>37</v>
      </c>
      <c r="D120" s="69">
        <v>2</v>
      </c>
      <c r="E120" s="54"/>
      <c r="F120" s="56"/>
      <c r="G120" s="56"/>
      <c r="H120" s="58">
        <v>1453.5</v>
      </c>
      <c r="I120" s="56">
        <f>ROUND(H120*D120,2)</f>
        <v>2907</v>
      </c>
      <c r="J120" s="56">
        <f>ROUND(I120*1.2,2)</f>
        <v>3488.4</v>
      </c>
      <c r="K120" s="57">
        <f t="shared" si="67"/>
        <v>2907</v>
      </c>
      <c r="L120" s="56">
        <f t="shared" si="67"/>
        <v>3488.4</v>
      </c>
    </row>
    <row r="121" spans="1:13" ht="29.25" customHeight="1" x14ac:dyDescent="0.25">
      <c r="A121" s="49" t="s">
        <v>214</v>
      </c>
      <c r="B121" s="63" t="s">
        <v>215</v>
      </c>
      <c r="C121" s="52" t="s">
        <v>159</v>
      </c>
      <c r="D121" s="58">
        <f>24*0.243</f>
        <v>5.8319999999999999</v>
      </c>
      <c r="E121" s="54"/>
      <c r="F121" s="56"/>
      <c r="G121" s="56"/>
      <c r="H121" s="75">
        <v>120.65</v>
      </c>
      <c r="I121" s="56">
        <f>ROUND(H121*D121,2)</f>
        <v>703.63</v>
      </c>
      <c r="J121" s="56">
        <f>ROUND(I121*1.2,2)</f>
        <v>844.36</v>
      </c>
      <c r="K121" s="57">
        <f t="shared" si="67"/>
        <v>703.63</v>
      </c>
      <c r="L121" s="56">
        <f t="shared" si="67"/>
        <v>844.36</v>
      </c>
    </row>
    <row r="122" spans="1:13" ht="19.5" customHeight="1" x14ac:dyDescent="0.25">
      <c r="A122" s="49" t="s">
        <v>216</v>
      </c>
      <c r="B122" s="63" t="s">
        <v>217</v>
      </c>
      <c r="C122" s="52" t="s">
        <v>159</v>
      </c>
      <c r="D122" s="58">
        <f>24*0.071</f>
        <v>1.7039999999999997</v>
      </c>
      <c r="E122" s="54"/>
      <c r="F122" s="56"/>
      <c r="G122" s="56"/>
      <c r="H122" s="75">
        <v>139.65</v>
      </c>
      <c r="I122" s="56">
        <f>ROUND(H122*D122,2)</f>
        <v>237.96</v>
      </c>
      <c r="J122" s="56">
        <f>ROUND(I122*1.2,2)</f>
        <v>285.55</v>
      </c>
      <c r="K122" s="57">
        <f t="shared" si="67"/>
        <v>237.96</v>
      </c>
      <c r="L122" s="56">
        <f t="shared" si="67"/>
        <v>285.55</v>
      </c>
    </row>
    <row r="123" spans="1:13" ht="22.5" customHeight="1" x14ac:dyDescent="0.25">
      <c r="A123" s="49" t="s">
        <v>218</v>
      </c>
      <c r="B123" s="63" t="s">
        <v>219</v>
      </c>
      <c r="C123" s="52" t="s">
        <v>159</v>
      </c>
      <c r="D123" s="58">
        <f>48*0.0172</f>
        <v>0.8256</v>
      </c>
      <c r="E123" s="54"/>
      <c r="F123" s="56"/>
      <c r="G123" s="56"/>
      <c r="H123" s="75">
        <v>188.1</v>
      </c>
      <c r="I123" s="56">
        <f>ROUND(H123*D123,2)</f>
        <v>155.30000000000001</v>
      </c>
      <c r="J123" s="56">
        <f>ROUND(I123*1.2,2)</f>
        <v>186.36</v>
      </c>
      <c r="K123" s="57">
        <f t="shared" si="67"/>
        <v>155.30000000000001</v>
      </c>
      <c r="L123" s="56">
        <f t="shared" si="67"/>
        <v>186.36</v>
      </c>
    </row>
    <row r="124" spans="1:13" ht="19.5" customHeight="1" x14ac:dyDescent="0.25">
      <c r="A124" s="49" t="s">
        <v>220</v>
      </c>
      <c r="B124" s="63" t="s">
        <v>221</v>
      </c>
      <c r="C124" s="52" t="s">
        <v>37</v>
      </c>
      <c r="D124" s="69">
        <v>2</v>
      </c>
      <c r="E124" s="54"/>
      <c r="F124" s="56"/>
      <c r="G124" s="56"/>
      <c r="H124" s="75">
        <v>31.35</v>
      </c>
      <c r="I124" s="56">
        <f>ROUND(H124*D124,2)</f>
        <v>62.7</v>
      </c>
      <c r="J124" s="56">
        <f>ROUND(I124*1.2,2)</f>
        <v>75.239999999999995</v>
      </c>
      <c r="K124" s="57">
        <f t="shared" si="67"/>
        <v>62.7</v>
      </c>
      <c r="L124" s="56">
        <f t="shared" si="67"/>
        <v>75.239999999999995</v>
      </c>
    </row>
    <row r="125" spans="1:13" ht="18" customHeight="1" x14ac:dyDescent="0.25">
      <c r="A125" s="42">
        <f>A119+1</f>
        <v>59</v>
      </c>
      <c r="B125" s="29" t="s">
        <v>222</v>
      </c>
      <c r="C125" s="19" t="s">
        <v>37</v>
      </c>
      <c r="D125" s="76">
        <v>2</v>
      </c>
      <c r="E125" s="16">
        <v>1389.85</v>
      </c>
      <c r="F125" s="17">
        <f t="shared" si="65"/>
        <v>2779.7</v>
      </c>
      <c r="G125" s="17">
        <f t="shared" si="66"/>
        <v>3335.64</v>
      </c>
      <c r="H125" s="41"/>
      <c r="I125" s="17"/>
      <c r="J125" s="17"/>
      <c r="K125" s="41">
        <f t="shared" si="67"/>
        <v>2779.7</v>
      </c>
      <c r="L125" s="25">
        <f t="shared" si="67"/>
        <v>3335.64</v>
      </c>
    </row>
    <row r="126" spans="1:13" ht="18" customHeight="1" x14ac:dyDescent="0.25">
      <c r="A126" s="49" t="s">
        <v>223</v>
      </c>
      <c r="B126" s="63" t="s">
        <v>224</v>
      </c>
      <c r="C126" s="52" t="s">
        <v>37</v>
      </c>
      <c r="D126" s="69">
        <v>2</v>
      </c>
      <c r="E126" s="54"/>
      <c r="F126" s="56"/>
      <c r="G126" s="56"/>
      <c r="H126" s="75">
        <v>471.2</v>
      </c>
      <c r="I126" s="56">
        <f>ROUND(H126*D126,2)</f>
        <v>942.4</v>
      </c>
      <c r="J126" s="56">
        <f>ROUND(I126*1.2,2)</f>
        <v>1130.8800000000001</v>
      </c>
      <c r="K126" s="57">
        <f t="shared" si="67"/>
        <v>942.4</v>
      </c>
      <c r="L126" s="56">
        <f t="shared" si="67"/>
        <v>1130.8800000000001</v>
      </c>
    </row>
    <row r="127" spans="1:13" ht="18" customHeight="1" x14ac:dyDescent="0.25">
      <c r="A127" s="42">
        <f>A125+1</f>
        <v>60</v>
      </c>
      <c r="B127" s="29" t="s">
        <v>225</v>
      </c>
      <c r="C127" s="19" t="s">
        <v>37</v>
      </c>
      <c r="D127" s="76">
        <v>1</v>
      </c>
      <c r="E127" s="16">
        <f>ROUND(1468.66*1.33,2)</f>
        <v>1953.32</v>
      </c>
      <c r="F127" s="17">
        <f t="shared" si="65"/>
        <v>1953.32</v>
      </c>
      <c r="G127" s="17">
        <f t="shared" si="66"/>
        <v>2343.98</v>
      </c>
      <c r="H127" s="41"/>
      <c r="I127" s="17"/>
      <c r="J127" s="17"/>
      <c r="K127" s="41">
        <f t="shared" si="67"/>
        <v>1953.32</v>
      </c>
      <c r="L127" s="25">
        <f t="shared" si="67"/>
        <v>2343.98</v>
      </c>
      <c r="M127" s="1" t="s">
        <v>226</v>
      </c>
    </row>
    <row r="128" spans="1:13" ht="18" customHeight="1" x14ac:dyDescent="0.25">
      <c r="A128" s="49" t="s">
        <v>227</v>
      </c>
      <c r="B128" s="63" t="s">
        <v>228</v>
      </c>
      <c r="C128" s="52" t="s">
        <v>37</v>
      </c>
      <c r="D128" s="69">
        <v>1</v>
      </c>
      <c r="E128" s="54"/>
      <c r="F128" s="56"/>
      <c r="G128" s="56"/>
      <c r="H128" s="75">
        <v>2116.61</v>
      </c>
      <c r="I128" s="56">
        <f>ROUND(H128*D128,2)</f>
        <v>2116.61</v>
      </c>
      <c r="J128" s="56">
        <f>ROUND(I128*1.2,2)</f>
        <v>2539.9299999999998</v>
      </c>
      <c r="K128" s="57">
        <f t="shared" si="67"/>
        <v>2116.61</v>
      </c>
      <c r="L128" s="56">
        <f t="shared" si="67"/>
        <v>2539.9299999999998</v>
      </c>
      <c r="M128" s="1" t="s">
        <v>154</v>
      </c>
    </row>
    <row r="129" spans="1:13" ht="18" customHeight="1" x14ac:dyDescent="0.25">
      <c r="A129" s="42">
        <f>A127+1</f>
        <v>61</v>
      </c>
      <c r="B129" s="29" t="s">
        <v>229</v>
      </c>
      <c r="C129" s="19" t="s">
        <v>37</v>
      </c>
      <c r="D129" s="76">
        <v>1</v>
      </c>
      <c r="E129" s="16">
        <v>4670.4399999999996</v>
      </c>
      <c r="F129" s="17">
        <f t="shared" si="65"/>
        <v>4670.4399999999996</v>
      </c>
      <c r="G129" s="17">
        <f t="shared" si="66"/>
        <v>5604.53</v>
      </c>
      <c r="H129" s="41"/>
      <c r="I129" s="17"/>
      <c r="J129" s="17"/>
      <c r="K129" s="41">
        <f t="shared" si="67"/>
        <v>4670.4399999999996</v>
      </c>
      <c r="L129" s="25">
        <f t="shared" si="67"/>
        <v>5604.53</v>
      </c>
      <c r="M129" s="1" t="s">
        <v>230</v>
      </c>
    </row>
    <row r="130" spans="1:13" ht="20.25" customHeight="1" x14ac:dyDescent="0.25">
      <c r="A130" s="49" t="s">
        <v>231</v>
      </c>
      <c r="B130" s="63" t="s">
        <v>232</v>
      </c>
      <c r="C130" s="52" t="s">
        <v>37</v>
      </c>
      <c r="D130" s="69">
        <v>1</v>
      </c>
      <c r="E130" s="54"/>
      <c r="F130" s="56"/>
      <c r="G130" s="56"/>
      <c r="H130" s="75">
        <v>3239.5</v>
      </c>
      <c r="I130" s="56">
        <f>ROUND(H130*D130,2)</f>
        <v>3239.5</v>
      </c>
      <c r="J130" s="56">
        <f>ROUND(I130*1.2,2)</f>
        <v>3887.4</v>
      </c>
      <c r="K130" s="57">
        <f t="shared" si="67"/>
        <v>3239.5</v>
      </c>
      <c r="L130" s="56">
        <f t="shared" si="67"/>
        <v>3887.4</v>
      </c>
    </row>
    <row r="131" spans="1:13" s="44" customFormat="1" ht="20.25" customHeight="1" x14ac:dyDescent="0.25">
      <c r="A131" s="49"/>
      <c r="B131" s="77" t="s">
        <v>233</v>
      </c>
      <c r="C131" s="19"/>
      <c r="D131" s="61"/>
      <c r="E131" s="26"/>
      <c r="F131" s="17"/>
      <c r="G131" s="17"/>
      <c r="H131" s="26"/>
      <c r="I131" s="17"/>
      <c r="J131" s="17"/>
      <c r="K131" s="14"/>
      <c r="L131" s="17"/>
      <c r="M131" s="22"/>
    </row>
    <row r="132" spans="1:13" ht="30.75" customHeight="1" x14ac:dyDescent="0.25">
      <c r="A132" s="42">
        <f>A129+1</f>
        <v>62</v>
      </c>
      <c r="B132" s="29" t="s">
        <v>234</v>
      </c>
      <c r="C132" s="19" t="s">
        <v>37</v>
      </c>
      <c r="D132" s="32">
        <v>1</v>
      </c>
      <c r="E132" s="16">
        <v>7035.89</v>
      </c>
      <c r="F132" s="17">
        <f>ROUND(E132*D132,2)</f>
        <v>7035.89</v>
      </c>
      <c r="G132" s="17">
        <f t="shared" ref="G132" si="68">ROUND(F132*1.2,2)</f>
        <v>8443.07</v>
      </c>
      <c r="H132" s="41"/>
      <c r="I132" s="17"/>
      <c r="J132" s="17"/>
      <c r="K132" s="41">
        <f t="shared" ref="K132:L155" si="69">F132+I132</f>
        <v>7035.89</v>
      </c>
      <c r="L132" s="25">
        <f t="shared" si="69"/>
        <v>8443.07</v>
      </c>
    </row>
    <row r="133" spans="1:13" ht="18" customHeight="1" x14ac:dyDescent="0.25">
      <c r="A133" s="49" t="s">
        <v>235</v>
      </c>
      <c r="B133" s="63" t="s">
        <v>183</v>
      </c>
      <c r="C133" s="52" t="s">
        <v>37</v>
      </c>
      <c r="D133" s="74">
        <v>1</v>
      </c>
      <c r="E133" s="54"/>
      <c r="F133" s="56"/>
      <c r="G133" s="56"/>
      <c r="H133" s="68">
        <v>16406.5</v>
      </c>
      <c r="I133" s="56">
        <f t="shared" ref="I133" si="70">ROUND(H133*D133,2)</f>
        <v>16406.5</v>
      </c>
      <c r="J133" s="56">
        <f t="shared" ref="J133" si="71">ROUND(I133*1.2,2)</f>
        <v>19687.8</v>
      </c>
      <c r="K133" s="75">
        <f t="shared" si="69"/>
        <v>16406.5</v>
      </c>
      <c r="L133" s="55">
        <f t="shared" si="69"/>
        <v>19687.8</v>
      </c>
    </row>
    <row r="134" spans="1:13" ht="28.5" customHeight="1" x14ac:dyDescent="0.25">
      <c r="A134" s="42">
        <f>A132+1</f>
        <v>63</v>
      </c>
      <c r="B134" s="29" t="s">
        <v>236</v>
      </c>
      <c r="C134" s="19" t="s">
        <v>37</v>
      </c>
      <c r="D134" s="76">
        <v>1</v>
      </c>
      <c r="E134" s="16">
        <v>2337</v>
      </c>
      <c r="F134" s="17">
        <f t="shared" ref="F134" si="72">ROUND(E134*D134,2)</f>
        <v>2337</v>
      </c>
      <c r="G134" s="17">
        <f t="shared" ref="G134" si="73">ROUND(F134*1.2,2)</f>
        <v>2804.4</v>
      </c>
      <c r="H134" s="41"/>
      <c r="I134" s="17"/>
      <c r="J134" s="17"/>
      <c r="K134" s="41">
        <f t="shared" si="69"/>
        <v>2337</v>
      </c>
      <c r="L134" s="25">
        <f t="shared" si="69"/>
        <v>2804.4</v>
      </c>
    </row>
    <row r="135" spans="1:13" ht="27" customHeight="1" x14ac:dyDescent="0.25">
      <c r="A135" s="49" t="s">
        <v>237</v>
      </c>
      <c r="B135" s="63" t="s">
        <v>238</v>
      </c>
      <c r="C135" s="52" t="s">
        <v>37</v>
      </c>
      <c r="D135" s="69">
        <v>1</v>
      </c>
      <c r="E135" s="54"/>
      <c r="F135" s="56"/>
      <c r="G135" s="56"/>
      <c r="H135" s="75">
        <v>13395.87</v>
      </c>
      <c r="I135" s="56">
        <f>ROUND(H135*D135,2)</f>
        <v>13395.87</v>
      </c>
      <c r="J135" s="56">
        <f>ROUND(I135*1.2,2)</f>
        <v>16075.04</v>
      </c>
      <c r="K135" s="57">
        <f t="shared" si="69"/>
        <v>13395.87</v>
      </c>
      <c r="L135" s="56">
        <f t="shared" si="69"/>
        <v>16075.04</v>
      </c>
      <c r="M135" s="1" t="s">
        <v>239</v>
      </c>
    </row>
    <row r="136" spans="1:13" ht="36.75" customHeight="1" x14ac:dyDescent="0.25">
      <c r="A136" s="42">
        <f>A134+1</f>
        <v>64</v>
      </c>
      <c r="B136" s="29" t="s">
        <v>197</v>
      </c>
      <c r="C136" s="19" t="s">
        <v>37</v>
      </c>
      <c r="D136" s="76">
        <v>2</v>
      </c>
      <c r="E136" s="16">
        <v>6546.68</v>
      </c>
      <c r="F136" s="17">
        <f t="shared" ref="F136" si="74">ROUND(E136*D136,2)</f>
        <v>13093.36</v>
      </c>
      <c r="G136" s="17">
        <f t="shared" ref="G136" si="75">ROUND(F136*1.2,2)</f>
        <v>15712.03</v>
      </c>
      <c r="H136" s="41"/>
      <c r="I136" s="17"/>
      <c r="J136" s="17"/>
      <c r="K136" s="41">
        <f t="shared" si="69"/>
        <v>13093.36</v>
      </c>
      <c r="L136" s="25">
        <f t="shared" si="69"/>
        <v>15712.03</v>
      </c>
    </row>
    <row r="137" spans="1:13" ht="18" customHeight="1" x14ac:dyDescent="0.25">
      <c r="A137" s="49" t="s">
        <v>240</v>
      </c>
      <c r="B137" s="63" t="s">
        <v>199</v>
      </c>
      <c r="C137" s="52" t="s">
        <v>37</v>
      </c>
      <c r="D137" s="69">
        <v>1</v>
      </c>
      <c r="E137" s="54"/>
      <c r="F137" s="56"/>
      <c r="G137" s="56"/>
      <c r="H137" s="75">
        <v>2793</v>
      </c>
      <c r="I137" s="56">
        <f>ROUND(H137*D137,2)</f>
        <v>2793</v>
      </c>
      <c r="J137" s="56">
        <f>ROUND(I137*1.2,2)</f>
        <v>3351.6</v>
      </c>
      <c r="K137" s="57">
        <f t="shared" si="69"/>
        <v>2793</v>
      </c>
      <c r="L137" s="56">
        <f t="shared" si="69"/>
        <v>3351.6</v>
      </c>
      <c r="M137" s="1" t="s">
        <v>241</v>
      </c>
    </row>
    <row r="138" spans="1:13" ht="29.25" customHeight="1" x14ac:dyDescent="0.25">
      <c r="A138" s="49" t="s">
        <v>242</v>
      </c>
      <c r="B138" s="63" t="s">
        <v>201</v>
      </c>
      <c r="C138" s="52" t="s">
        <v>159</v>
      </c>
      <c r="D138" s="58">
        <f>24*0.243</f>
        <v>5.8319999999999999</v>
      </c>
      <c r="E138" s="54"/>
      <c r="F138" s="56"/>
      <c r="G138" s="56"/>
      <c r="H138" s="75">
        <v>120.65</v>
      </c>
      <c r="I138" s="56">
        <f>ROUND(H138*D138,2)</f>
        <v>703.63</v>
      </c>
      <c r="J138" s="56">
        <f>ROUND(I138*1.2,2)</f>
        <v>844.36</v>
      </c>
      <c r="K138" s="57">
        <f t="shared" si="69"/>
        <v>703.63</v>
      </c>
      <c r="L138" s="56">
        <f t="shared" si="69"/>
        <v>844.36</v>
      </c>
    </row>
    <row r="139" spans="1:13" ht="19.5" customHeight="1" x14ac:dyDescent="0.25">
      <c r="A139" s="49" t="s">
        <v>243</v>
      </c>
      <c r="B139" s="63" t="s">
        <v>244</v>
      </c>
      <c r="C139" s="52" t="s">
        <v>159</v>
      </c>
      <c r="D139" s="58">
        <f>24*0.071</f>
        <v>1.7039999999999997</v>
      </c>
      <c r="E139" s="54"/>
      <c r="F139" s="56"/>
      <c r="G139" s="56"/>
      <c r="H139" s="75">
        <v>139.65</v>
      </c>
      <c r="I139" s="56">
        <f>ROUND(H139*D139,2)</f>
        <v>237.96</v>
      </c>
      <c r="J139" s="56">
        <f>ROUND(I139*1.2,2)</f>
        <v>285.55</v>
      </c>
      <c r="K139" s="57">
        <f t="shared" si="69"/>
        <v>237.96</v>
      </c>
      <c r="L139" s="56">
        <f t="shared" si="69"/>
        <v>285.55</v>
      </c>
    </row>
    <row r="140" spans="1:13" ht="19.5" customHeight="1" x14ac:dyDescent="0.25">
      <c r="A140" s="49" t="s">
        <v>245</v>
      </c>
      <c r="B140" s="63" t="s">
        <v>246</v>
      </c>
      <c r="C140" s="52" t="s">
        <v>159</v>
      </c>
      <c r="D140" s="58">
        <f>48*0.0172</f>
        <v>0.8256</v>
      </c>
      <c r="E140" s="54"/>
      <c r="F140" s="56"/>
      <c r="G140" s="56"/>
      <c r="H140" s="75">
        <v>188.1</v>
      </c>
      <c r="I140" s="56">
        <f>ROUND(H140*D140,2)</f>
        <v>155.30000000000001</v>
      </c>
      <c r="J140" s="56">
        <f>ROUND(I140*1.2,2)</f>
        <v>186.36</v>
      </c>
      <c r="K140" s="57">
        <f t="shared" si="69"/>
        <v>155.30000000000001</v>
      </c>
      <c r="L140" s="56">
        <f t="shared" si="69"/>
        <v>186.36</v>
      </c>
    </row>
    <row r="141" spans="1:13" ht="19.5" customHeight="1" x14ac:dyDescent="0.25">
      <c r="A141" s="49" t="s">
        <v>247</v>
      </c>
      <c r="B141" s="63" t="s">
        <v>207</v>
      </c>
      <c r="C141" s="52" t="s">
        <v>37</v>
      </c>
      <c r="D141" s="69">
        <v>2</v>
      </c>
      <c r="E141" s="54"/>
      <c r="F141" s="56"/>
      <c r="G141" s="56"/>
      <c r="H141" s="75">
        <v>85.5</v>
      </c>
      <c r="I141" s="56">
        <f>ROUND(H141*D141,2)</f>
        <v>171</v>
      </c>
      <c r="J141" s="56">
        <f>ROUND(I141*1.2,2)</f>
        <v>205.2</v>
      </c>
      <c r="K141" s="57">
        <f t="shared" si="69"/>
        <v>171</v>
      </c>
      <c r="L141" s="56">
        <f t="shared" si="69"/>
        <v>205.2</v>
      </c>
    </row>
    <row r="142" spans="1:13" ht="21" customHeight="1" x14ac:dyDescent="0.25">
      <c r="A142" s="42">
        <f>A136+1</f>
        <v>65</v>
      </c>
      <c r="B142" s="29" t="s">
        <v>208</v>
      </c>
      <c r="C142" s="19" t="s">
        <v>37</v>
      </c>
      <c r="D142" s="76">
        <v>1</v>
      </c>
      <c r="E142" s="16">
        <v>6039.48</v>
      </c>
      <c r="F142" s="17">
        <f t="shared" ref="F142" si="76">ROUND(E142*D142,2)</f>
        <v>6039.48</v>
      </c>
      <c r="G142" s="17">
        <f t="shared" ref="G142" si="77">ROUND(F142*1.2,2)</f>
        <v>7247.38</v>
      </c>
      <c r="H142" s="41"/>
      <c r="I142" s="17"/>
      <c r="J142" s="17"/>
      <c r="K142" s="41">
        <f t="shared" si="69"/>
        <v>6039.48</v>
      </c>
      <c r="L142" s="25">
        <f t="shared" si="69"/>
        <v>7247.38</v>
      </c>
    </row>
    <row r="143" spans="1:13" ht="21" customHeight="1" x14ac:dyDescent="0.25">
      <c r="A143" s="49" t="s">
        <v>248</v>
      </c>
      <c r="B143" s="63" t="s">
        <v>210</v>
      </c>
      <c r="C143" s="52" t="s">
        <v>37</v>
      </c>
      <c r="D143" s="69">
        <v>1</v>
      </c>
      <c r="E143" s="54"/>
      <c r="F143" s="56"/>
      <c r="G143" s="56"/>
      <c r="H143" s="58">
        <v>2638.15</v>
      </c>
      <c r="I143" s="56">
        <f>ROUND(H143*D143,2)</f>
        <v>2638.15</v>
      </c>
      <c r="J143" s="56">
        <f>ROUND(I143*1.2,2)</f>
        <v>3165.78</v>
      </c>
      <c r="K143" s="57">
        <f t="shared" si="69"/>
        <v>2638.15</v>
      </c>
      <c r="L143" s="56">
        <f t="shared" si="69"/>
        <v>3165.78</v>
      </c>
    </row>
    <row r="144" spans="1:13" ht="28.5" customHeight="1" x14ac:dyDescent="0.25">
      <c r="A144" s="42">
        <f>A142+1</f>
        <v>66</v>
      </c>
      <c r="B144" s="29" t="s">
        <v>249</v>
      </c>
      <c r="C144" s="19" t="s">
        <v>37</v>
      </c>
      <c r="D144" s="76">
        <v>1</v>
      </c>
      <c r="E144" s="16">
        <v>3791.45</v>
      </c>
      <c r="F144" s="17">
        <f t="shared" ref="F144" si="78">ROUND(E144*D144,2)</f>
        <v>3791.45</v>
      </c>
      <c r="G144" s="17">
        <f t="shared" ref="G144" si="79">ROUND(F144*1.2,2)</f>
        <v>4549.74</v>
      </c>
      <c r="H144" s="41"/>
      <c r="I144" s="17"/>
      <c r="J144" s="17"/>
      <c r="K144" s="41">
        <f t="shared" si="69"/>
        <v>3791.45</v>
      </c>
      <c r="L144" s="25">
        <f t="shared" si="69"/>
        <v>4549.74</v>
      </c>
      <c r="M144" s="1" t="s">
        <v>241</v>
      </c>
    </row>
    <row r="145" spans="1:13" ht="18" customHeight="1" x14ac:dyDescent="0.25">
      <c r="A145" s="49" t="s">
        <v>250</v>
      </c>
      <c r="B145" s="63" t="s">
        <v>251</v>
      </c>
      <c r="C145" s="52" t="s">
        <v>37</v>
      </c>
      <c r="D145" s="69">
        <v>1</v>
      </c>
      <c r="E145" s="54"/>
      <c r="F145" s="56"/>
      <c r="G145" s="56"/>
      <c r="H145" s="75">
        <v>6897</v>
      </c>
      <c r="I145" s="56">
        <f>ROUND(H145*D145,2)</f>
        <v>6897</v>
      </c>
      <c r="J145" s="56">
        <f>ROUND(I145*1.2,2)</f>
        <v>8276.4</v>
      </c>
      <c r="K145" s="57">
        <f t="shared" si="69"/>
        <v>6897</v>
      </c>
      <c r="L145" s="56">
        <f t="shared" si="69"/>
        <v>8276.4</v>
      </c>
      <c r="M145" s="1" t="s">
        <v>241</v>
      </c>
    </row>
    <row r="146" spans="1:13" ht="29.25" customHeight="1" x14ac:dyDescent="0.25">
      <c r="A146" s="49" t="s">
        <v>252</v>
      </c>
      <c r="B146" s="63" t="s">
        <v>253</v>
      </c>
      <c r="C146" s="52" t="s">
        <v>159</v>
      </c>
      <c r="D146" s="58">
        <f>16*0.243</f>
        <v>3.8879999999999999</v>
      </c>
      <c r="E146" s="54"/>
      <c r="F146" s="56"/>
      <c r="G146" s="56"/>
      <c r="H146" s="75">
        <v>120.65</v>
      </c>
      <c r="I146" s="56">
        <f>ROUND(H146*D146,2)</f>
        <v>469.09</v>
      </c>
      <c r="J146" s="56">
        <f>ROUND(I146*1.2,2)</f>
        <v>562.91</v>
      </c>
      <c r="K146" s="57">
        <f t="shared" si="69"/>
        <v>469.09</v>
      </c>
      <c r="L146" s="56">
        <f t="shared" si="69"/>
        <v>562.91</v>
      </c>
    </row>
    <row r="147" spans="1:13" ht="19.5" customHeight="1" x14ac:dyDescent="0.25">
      <c r="A147" s="49" t="s">
        <v>254</v>
      </c>
      <c r="B147" s="63" t="s">
        <v>255</v>
      </c>
      <c r="C147" s="52" t="s">
        <v>159</v>
      </c>
      <c r="D147" s="58">
        <f>16*0.071</f>
        <v>1.1359999999999999</v>
      </c>
      <c r="E147" s="54"/>
      <c r="F147" s="56"/>
      <c r="G147" s="56"/>
      <c r="H147" s="75">
        <v>139.65</v>
      </c>
      <c r="I147" s="56">
        <f>ROUND(H147*D147,2)</f>
        <v>158.63999999999999</v>
      </c>
      <c r="J147" s="56">
        <f>ROUND(I147*1.2,2)</f>
        <v>190.37</v>
      </c>
      <c r="K147" s="57">
        <f t="shared" si="69"/>
        <v>158.63999999999999</v>
      </c>
      <c r="L147" s="56">
        <f t="shared" si="69"/>
        <v>190.37</v>
      </c>
    </row>
    <row r="148" spans="1:13" ht="19.5" customHeight="1" x14ac:dyDescent="0.25">
      <c r="A148" s="49" t="s">
        <v>256</v>
      </c>
      <c r="B148" s="63" t="s">
        <v>257</v>
      </c>
      <c r="C148" s="52" t="s">
        <v>159</v>
      </c>
      <c r="D148" s="58">
        <f>32*0.0172</f>
        <v>0.5504</v>
      </c>
      <c r="E148" s="54"/>
      <c r="F148" s="56"/>
      <c r="G148" s="56"/>
      <c r="H148" s="75">
        <v>188.1</v>
      </c>
      <c r="I148" s="56">
        <f>ROUND(H148*D148,2)</f>
        <v>103.53</v>
      </c>
      <c r="J148" s="56">
        <f>ROUND(I148*1.2,2)</f>
        <v>124.24</v>
      </c>
      <c r="K148" s="57">
        <f t="shared" si="69"/>
        <v>103.53</v>
      </c>
      <c r="L148" s="56">
        <f t="shared" si="69"/>
        <v>124.24</v>
      </c>
    </row>
    <row r="149" spans="1:13" ht="19.5" customHeight="1" x14ac:dyDescent="0.25">
      <c r="A149" s="49" t="s">
        <v>258</v>
      </c>
      <c r="B149" s="63" t="s">
        <v>207</v>
      </c>
      <c r="C149" s="52" t="s">
        <v>37</v>
      </c>
      <c r="D149" s="69">
        <v>2</v>
      </c>
      <c r="E149" s="54"/>
      <c r="F149" s="56"/>
      <c r="G149" s="56"/>
      <c r="H149" s="75">
        <v>85.5</v>
      </c>
      <c r="I149" s="56">
        <f>ROUND(H149*D149,2)</f>
        <v>171</v>
      </c>
      <c r="J149" s="56">
        <f>ROUND(I149*1.2,2)</f>
        <v>205.2</v>
      </c>
      <c r="K149" s="57">
        <f t="shared" si="69"/>
        <v>171</v>
      </c>
      <c r="L149" s="56">
        <f t="shared" si="69"/>
        <v>205.2</v>
      </c>
    </row>
    <row r="150" spans="1:13" ht="21" customHeight="1" x14ac:dyDescent="0.25">
      <c r="A150" s="42">
        <f>A144+1</f>
        <v>67</v>
      </c>
      <c r="B150" s="29" t="s">
        <v>259</v>
      </c>
      <c r="C150" s="19" t="s">
        <v>37</v>
      </c>
      <c r="D150" s="76">
        <v>1</v>
      </c>
      <c r="E150" s="16">
        <v>1389.85</v>
      </c>
      <c r="F150" s="17">
        <f t="shared" ref="F150" si="80">ROUND(E150*D150,2)</f>
        <v>1389.85</v>
      </c>
      <c r="G150" s="17">
        <f t="shared" ref="G150" si="81">ROUND(F150*1.2,2)</f>
        <v>1667.82</v>
      </c>
      <c r="H150" s="41"/>
      <c r="I150" s="17"/>
      <c r="J150" s="17"/>
      <c r="K150" s="41">
        <f t="shared" si="69"/>
        <v>1389.85</v>
      </c>
      <c r="L150" s="25">
        <f t="shared" si="69"/>
        <v>1667.82</v>
      </c>
      <c r="M150" s="1" t="s">
        <v>260</v>
      </c>
    </row>
    <row r="151" spans="1:13" ht="19.5" customHeight="1" x14ac:dyDescent="0.25">
      <c r="A151" s="49" t="s">
        <v>261</v>
      </c>
      <c r="B151" s="63" t="s">
        <v>262</v>
      </c>
      <c r="C151" s="52"/>
      <c r="D151" s="69">
        <v>1</v>
      </c>
      <c r="E151" s="54"/>
      <c r="F151" s="56"/>
      <c r="G151" s="56"/>
      <c r="H151" s="75">
        <v>585.20000000000005</v>
      </c>
      <c r="I151" s="56">
        <f>ROUND(H151*D151,2)</f>
        <v>585.20000000000005</v>
      </c>
      <c r="J151" s="56">
        <f>ROUND(I151*1.2,2)</f>
        <v>702.24</v>
      </c>
      <c r="K151" s="57">
        <f t="shared" si="69"/>
        <v>585.20000000000005</v>
      </c>
      <c r="L151" s="56">
        <f t="shared" si="69"/>
        <v>702.24</v>
      </c>
      <c r="M151" s="1" t="s">
        <v>241</v>
      </c>
    </row>
    <row r="152" spans="1:13" ht="18.75" customHeight="1" x14ac:dyDescent="0.25">
      <c r="A152" s="42">
        <f>A150+1</f>
        <v>68</v>
      </c>
      <c r="B152" s="29" t="s">
        <v>263</v>
      </c>
      <c r="C152" s="19" t="s">
        <v>37</v>
      </c>
      <c r="D152" s="76">
        <v>1</v>
      </c>
      <c r="E152" s="16">
        <v>4704.3999999999996</v>
      </c>
      <c r="F152" s="17">
        <f t="shared" ref="F152" si="82">ROUND(E152*D152,2)</f>
        <v>4704.3999999999996</v>
      </c>
      <c r="G152" s="17">
        <f t="shared" ref="G152" si="83">ROUND(F152*1.2,2)</f>
        <v>5645.28</v>
      </c>
      <c r="H152" s="41"/>
      <c r="I152" s="17"/>
      <c r="J152" s="17"/>
      <c r="K152" s="41">
        <f t="shared" si="69"/>
        <v>4704.3999999999996</v>
      </c>
      <c r="L152" s="25">
        <f t="shared" si="69"/>
        <v>5645.28</v>
      </c>
      <c r="M152" s="1" t="s">
        <v>264</v>
      </c>
    </row>
    <row r="153" spans="1:13" ht="18" customHeight="1" x14ac:dyDescent="0.25">
      <c r="A153" s="49" t="s">
        <v>265</v>
      </c>
      <c r="B153" s="63" t="s">
        <v>266</v>
      </c>
      <c r="C153" s="52" t="s">
        <v>37</v>
      </c>
      <c r="D153" s="69">
        <v>1</v>
      </c>
      <c r="E153" s="54"/>
      <c r="F153" s="56"/>
      <c r="G153" s="56"/>
      <c r="H153" s="58">
        <v>1254</v>
      </c>
      <c r="I153" s="56">
        <f>ROUND(H153*D153,2)</f>
        <v>1254</v>
      </c>
      <c r="J153" s="56">
        <f>ROUND(I153*1.2,2)</f>
        <v>1504.8</v>
      </c>
      <c r="K153" s="57">
        <f t="shared" si="69"/>
        <v>1254</v>
      </c>
      <c r="L153" s="56">
        <f t="shared" si="69"/>
        <v>1504.8</v>
      </c>
      <c r="M153" s="1" t="s">
        <v>264</v>
      </c>
    </row>
    <row r="154" spans="1:13" ht="18" customHeight="1" x14ac:dyDescent="0.25">
      <c r="A154" s="42">
        <f>A152+1</f>
        <v>69</v>
      </c>
      <c r="B154" s="29" t="s">
        <v>229</v>
      </c>
      <c r="C154" s="19" t="s">
        <v>37</v>
      </c>
      <c r="D154" s="76">
        <v>1</v>
      </c>
      <c r="E154" s="16">
        <v>4670.4399999999996</v>
      </c>
      <c r="F154" s="17">
        <v>5175</v>
      </c>
      <c r="G154" s="17">
        <v>6210</v>
      </c>
      <c r="H154" s="41"/>
      <c r="I154" s="17"/>
      <c r="J154" s="17"/>
      <c r="K154" s="41">
        <f t="shared" si="69"/>
        <v>5175</v>
      </c>
      <c r="L154" s="25">
        <f t="shared" si="69"/>
        <v>6210</v>
      </c>
    </row>
    <row r="155" spans="1:13" ht="18" customHeight="1" x14ac:dyDescent="0.25">
      <c r="A155" s="49" t="s">
        <v>267</v>
      </c>
      <c r="B155" s="63" t="s">
        <v>232</v>
      </c>
      <c r="C155" s="52" t="s">
        <v>37</v>
      </c>
      <c r="D155" s="69">
        <v>1</v>
      </c>
      <c r="E155" s="54"/>
      <c r="F155" s="56"/>
      <c r="G155" s="56"/>
      <c r="H155" s="75">
        <v>3239.5</v>
      </c>
      <c r="I155" s="56">
        <f>ROUND(H155*D155,2)</f>
        <v>3239.5</v>
      </c>
      <c r="J155" s="56">
        <f>ROUND(I155*1.2,2)</f>
        <v>3887.4</v>
      </c>
      <c r="K155" s="57">
        <f t="shared" si="69"/>
        <v>3239.5</v>
      </c>
      <c r="L155" s="56">
        <f t="shared" si="69"/>
        <v>3887.4</v>
      </c>
    </row>
    <row r="156" spans="1:13" ht="23.25" customHeight="1" x14ac:dyDescent="0.25">
      <c r="A156" s="102" t="s">
        <v>268</v>
      </c>
      <c r="B156" s="103"/>
      <c r="C156" s="103"/>
      <c r="D156" s="103"/>
      <c r="E156" s="104"/>
      <c r="F156" s="78">
        <f>SUM(F7:F155)</f>
        <v>1073850.5900000001</v>
      </c>
      <c r="G156" s="80">
        <f>ROUND(F156*1.2,2)</f>
        <v>1288620.71</v>
      </c>
      <c r="I156" s="78">
        <f>SUM(I7:I155)</f>
        <v>733110.65999999992</v>
      </c>
      <c r="J156" s="80">
        <f>ROUND(I156*1.2,2)</f>
        <v>879732.79</v>
      </c>
      <c r="K156" s="78">
        <f t="shared" ref="K156" si="84">SUM(K7:K155)</f>
        <v>1806961.2499999993</v>
      </c>
      <c r="L156" s="80">
        <f>ROUND(K156*1.2,2)</f>
        <v>2168353.5</v>
      </c>
    </row>
  </sheetData>
  <mergeCells count="28">
    <mergeCell ref="L40:L45"/>
    <mergeCell ref="C62:C63"/>
    <mergeCell ref="D62:D63"/>
    <mergeCell ref="A156:E156"/>
    <mergeCell ref="J33:J39"/>
    <mergeCell ref="K33:K39"/>
    <mergeCell ref="L33:L39"/>
    <mergeCell ref="E40:E45"/>
    <mergeCell ref="F40:F45"/>
    <mergeCell ref="G40:G45"/>
    <mergeCell ref="H40:H45"/>
    <mergeCell ref="I40:I45"/>
    <mergeCell ref="J40:J45"/>
    <mergeCell ref="K40:K45"/>
    <mergeCell ref="I33:I39"/>
    <mergeCell ref="B6:D6"/>
    <mergeCell ref="E33:E39"/>
    <mergeCell ref="F33:F39"/>
    <mergeCell ref="G33:G39"/>
    <mergeCell ref="H33:H39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НВК3 В1-3А, В1-4</vt:lpstr>
      <vt:lpstr>'НВК3 В1-3А, В1-4'!Область_печати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2024-02-27T12:22:54Z</dcterms:created>
  <dcterms:modified xsi:type="dcterms:W3CDTF">2024-03-01T10:34:53Z</dcterms:modified>
</cp:coreProperties>
</file>