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Сметный\Объекты\Мытищи\ИД\ВОР\Для ВДЦ\КП к договору\"/>
    </mc:Choice>
  </mc:AlternateContent>
  <xr:revisionPtr revIDLastSave="0" documentId="13_ncr:1_{C41A7FC2-5FFD-4FC4-BEF9-54BC1F80A306}" xr6:coauthVersionLast="43" xr6:coauthVersionMax="43" xr10:uidLastSave="{00000000-0000-0000-0000-000000000000}"/>
  <bookViews>
    <workbookView xWindow="28680" yWindow="1530" windowWidth="29040" windowHeight="15840" xr2:uid="{A0104494-64D6-422A-9560-AFF31EC469D2}"/>
  </bookViews>
  <sheets>
    <sheet name="ТС3" sheetId="1" r:id="rId1"/>
  </sheets>
  <definedNames>
    <definedName name="_xlnm.Print_Area" localSheetId="0">ТС3!$A$1:$L$116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6" i="1" l="1"/>
  <c r="E89" i="1"/>
  <c r="E87" i="1"/>
  <c r="E81" i="1"/>
  <c r="E69" i="1"/>
  <c r="E67" i="1"/>
  <c r="J116" i="1" l="1"/>
  <c r="I115" i="1"/>
  <c r="F114" i="1"/>
  <c r="K114" i="1" s="1"/>
  <c r="I113" i="1"/>
  <c r="J113" i="1" s="1"/>
  <c r="L113" i="1" s="1"/>
  <c r="F112" i="1"/>
  <c r="G112" i="1" s="1"/>
  <c r="L112" i="1" s="1"/>
  <c r="I111" i="1"/>
  <c r="K111" i="1" s="1"/>
  <c r="F110" i="1"/>
  <c r="G110" i="1" s="1"/>
  <c r="L110" i="1" s="1"/>
  <c r="I109" i="1"/>
  <c r="K109" i="1" s="1"/>
  <c r="F108" i="1"/>
  <c r="K108" i="1" s="1"/>
  <c r="K107" i="1"/>
  <c r="I107" i="1"/>
  <c r="J107" i="1" s="1"/>
  <c r="L107" i="1" s="1"/>
  <c r="F106" i="1"/>
  <c r="F104" i="1"/>
  <c r="G104" i="1" s="1"/>
  <c r="L104" i="1" s="1"/>
  <c r="D103" i="1"/>
  <c r="I102" i="1"/>
  <c r="K102" i="1" s="1"/>
  <c r="D102" i="1"/>
  <c r="F101" i="1"/>
  <c r="K101" i="1" s="1"/>
  <c r="L100" i="1"/>
  <c r="J100" i="1"/>
  <c r="I100" i="1"/>
  <c r="K100" i="1" s="1"/>
  <c r="D100" i="1"/>
  <c r="K99" i="1"/>
  <c r="I99" i="1"/>
  <c r="J99" i="1" s="1"/>
  <c r="L99" i="1" s="1"/>
  <c r="G98" i="1"/>
  <c r="L98" i="1" s="1"/>
  <c r="F98" i="1"/>
  <c r="K98" i="1" s="1"/>
  <c r="I97" i="1"/>
  <c r="K97" i="1" s="1"/>
  <c r="F96" i="1"/>
  <c r="G96" i="1" s="1"/>
  <c r="L96" i="1" s="1"/>
  <c r="I95" i="1"/>
  <c r="J95" i="1" s="1"/>
  <c r="L95" i="1" s="1"/>
  <c r="F94" i="1"/>
  <c r="K94" i="1" s="1"/>
  <c r="I93" i="1"/>
  <c r="K93" i="1" s="1"/>
  <c r="I92" i="1"/>
  <c r="D92" i="1"/>
  <c r="F91" i="1"/>
  <c r="L90" i="1"/>
  <c r="I90" i="1"/>
  <c r="J90" i="1" s="1"/>
  <c r="F89" i="1"/>
  <c r="G89" i="1" s="1"/>
  <c r="L89" i="1" s="1"/>
  <c r="J88" i="1"/>
  <c r="L88" i="1" s="1"/>
  <c r="I88" i="1"/>
  <c r="K88" i="1" s="1"/>
  <c r="F87" i="1"/>
  <c r="I86" i="1"/>
  <c r="J86" i="1" s="1"/>
  <c r="L86" i="1" s="1"/>
  <c r="F85" i="1"/>
  <c r="G85" i="1" s="1"/>
  <c r="L85" i="1" s="1"/>
  <c r="K84" i="1"/>
  <c r="D84" i="1"/>
  <c r="I84" i="1" s="1"/>
  <c r="J84" i="1" s="1"/>
  <c r="L84" i="1" s="1"/>
  <c r="F83" i="1"/>
  <c r="G83" i="1" s="1"/>
  <c r="L83" i="1" s="1"/>
  <c r="I82" i="1"/>
  <c r="K82" i="1" s="1"/>
  <c r="D82" i="1"/>
  <c r="F81" i="1"/>
  <c r="K81" i="1" s="1"/>
  <c r="F80" i="1"/>
  <c r="K80" i="1" s="1"/>
  <c r="F79" i="1"/>
  <c r="K79" i="1" s="1"/>
  <c r="I78" i="1"/>
  <c r="D78" i="1"/>
  <c r="F77" i="1"/>
  <c r="K77" i="1" s="1"/>
  <c r="L76" i="1"/>
  <c r="F76" i="1"/>
  <c r="G76" i="1" s="1"/>
  <c r="I74" i="1"/>
  <c r="K74" i="1" s="1"/>
  <c r="G73" i="1"/>
  <c r="L73" i="1" s="1"/>
  <c r="F73" i="1"/>
  <c r="K73" i="1" s="1"/>
  <c r="D72" i="1"/>
  <c r="I72" i="1" s="1"/>
  <c r="F71" i="1"/>
  <c r="K71" i="1" s="1"/>
  <c r="I70" i="1"/>
  <c r="J70" i="1" s="1"/>
  <c r="L70" i="1" s="1"/>
  <c r="F69" i="1"/>
  <c r="K69" i="1" s="1"/>
  <c r="J68" i="1"/>
  <c r="L68" i="1" s="1"/>
  <c r="I68" i="1"/>
  <c r="K68" i="1" s="1"/>
  <c r="F67" i="1"/>
  <c r="G67" i="1" s="1"/>
  <c r="L67" i="1" s="1"/>
  <c r="I66" i="1"/>
  <c r="K66" i="1" s="1"/>
  <c r="F65" i="1"/>
  <c r="G65" i="1" s="1"/>
  <c r="L65" i="1" s="1"/>
  <c r="D65" i="1"/>
  <c r="I64" i="1"/>
  <c r="J64" i="1" s="1"/>
  <c r="L64" i="1" s="1"/>
  <c r="F63" i="1"/>
  <c r="K63" i="1" s="1"/>
  <c r="I62" i="1"/>
  <c r="K62" i="1" s="1"/>
  <c r="F61" i="1"/>
  <c r="K61" i="1" s="1"/>
  <c r="I60" i="1"/>
  <c r="J60" i="1" s="1"/>
  <c r="L60" i="1" s="1"/>
  <c r="F59" i="1"/>
  <c r="K59" i="1" s="1"/>
  <c r="I58" i="1"/>
  <c r="J58" i="1" s="1"/>
  <c r="L58" i="1" s="1"/>
  <c r="D57" i="1"/>
  <c r="F57" i="1" s="1"/>
  <c r="K56" i="1"/>
  <c r="I56" i="1"/>
  <c r="J56" i="1" s="1"/>
  <c r="L56" i="1" s="1"/>
  <c r="F55" i="1"/>
  <c r="K55" i="1" s="1"/>
  <c r="I54" i="1"/>
  <c r="K54" i="1" s="1"/>
  <c r="F53" i="1"/>
  <c r="G53" i="1" s="1"/>
  <c r="L53" i="1" s="1"/>
  <c r="D52" i="1"/>
  <c r="I52" i="1" s="1"/>
  <c r="K52" i="1" s="1"/>
  <c r="F51" i="1"/>
  <c r="K51" i="1" s="1"/>
  <c r="D50" i="1"/>
  <c r="I50" i="1" s="1"/>
  <c r="F49" i="1"/>
  <c r="K49" i="1" s="1"/>
  <c r="I47" i="1"/>
  <c r="K47" i="1" s="1"/>
  <c r="K46" i="1"/>
  <c r="F46" i="1"/>
  <c r="G46" i="1" s="1"/>
  <c r="L46" i="1" s="1"/>
  <c r="I45" i="1"/>
  <c r="J45" i="1" s="1"/>
  <c r="L45" i="1" s="1"/>
  <c r="D45" i="1"/>
  <c r="F44" i="1"/>
  <c r="K44" i="1" s="1"/>
  <c r="J43" i="1"/>
  <c r="L43" i="1" s="1"/>
  <c r="I43" i="1"/>
  <c r="K43" i="1" s="1"/>
  <c r="F42" i="1"/>
  <c r="G42" i="1" s="1"/>
  <c r="L42" i="1" s="1"/>
  <c r="K41" i="1"/>
  <c r="J41" i="1"/>
  <c r="L41" i="1" s="1"/>
  <c r="I41" i="1"/>
  <c r="F40" i="1"/>
  <c r="K40" i="1" s="1"/>
  <c r="I38" i="1"/>
  <c r="K38" i="1" s="1"/>
  <c r="F37" i="1"/>
  <c r="G37" i="1" s="1"/>
  <c r="L37" i="1" s="1"/>
  <c r="J36" i="1"/>
  <c r="L36" i="1" s="1"/>
  <c r="D36" i="1"/>
  <c r="I36" i="1" s="1"/>
  <c r="K36" i="1" s="1"/>
  <c r="F35" i="1"/>
  <c r="K35" i="1" s="1"/>
  <c r="D34" i="1"/>
  <c r="I34" i="1" s="1"/>
  <c r="D33" i="1"/>
  <c r="I33" i="1" s="1"/>
  <c r="G32" i="1"/>
  <c r="L32" i="1" s="1"/>
  <c r="F32" i="1"/>
  <c r="K32" i="1" s="1"/>
  <c r="I31" i="1"/>
  <c r="J31" i="1" s="1"/>
  <c r="L31" i="1" s="1"/>
  <c r="J30" i="1"/>
  <c r="L30" i="1" s="1"/>
  <c r="I30" i="1"/>
  <c r="K30" i="1" s="1"/>
  <c r="K29" i="1"/>
  <c r="I29" i="1"/>
  <c r="J29" i="1" s="1"/>
  <c r="L29" i="1" s="1"/>
  <c r="D29" i="1"/>
  <c r="F28" i="1"/>
  <c r="K28" i="1" s="1"/>
  <c r="F26" i="1"/>
  <c r="G26" i="1" s="1"/>
  <c r="L26" i="1" s="1"/>
  <c r="F25" i="1"/>
  <c r="K25" i="1" s="1"/>
  <c r="F24" i="1"/>
  <c r="G24" i="1" s="1"/>
  <c r="L24" i="1" s="1"/>
  <c r="D24" i="1"/>
  <c r="F23" i="1"/>
  <c r="G23" i="1" s="1"/>
  <c r="L23" i="1" s="1"/>
  <c r="F22" i="1"/>
  <c r="K22" i="1" s="1"/>
  <c r="D21" i="1"/>
  <c r="I21" i="1" s="1"/>
  <c r="K20" i="1"/>
  <c r="F20" i="1"/>
  <c r="G20" i="1" s="1"/>
  <c r="L20" i="1" s="1"/>
  <c r="D19" i="1"/>
  <c r="I19" i="1" s="1"/>
  <c r="K19" i="1" s="1"/>
  <c r="F18" i="1"/>
  <c r="G18" i="1" s="1"/>
  <c r="L18" i="1" s="1"/>
  <c r="I17" i="1"/>
  <c r="J17" i="1" s="1"/>
  <c r="L17" i="1" s="1"/>
  <c r="D17" i="1"/>
  <c r="F16" i="1"/>
  <c r="K16" i="1" s="1"/>
  <c r="I15" i="1"/>
  <c r="K15" i="1" s="1"/>
  <c r="D15" i="1"/>
  <c r="F14" i="1"/>
  <c r="G14" i="1" s="1"/>
  <c r="L14" i="1" s="1"/>
  <c r="D13" i="1"/>
  <c r="I13" i="1" s="1"/>
  <c r="K13" i="1" s="1"/>
  <c r="F12" i="1"/>
  <c r="K12" i="1" s="1"/>
  <c r="D11" i="1"/>
  <c r="I11" i="1" s="1"/>
  <c r="F10" i="1"/>
  <c r="K10" i="1" s="1"/>
  <c r="F9" i="1"/>
  <c r="K9" i="1" s="1"/>
  <c r="A9" i="1"/>
  <c r="A10" i="1" s="1"/>
  <c r="A12" i="1" s="1"/>
  <c r="A14" i="1" s="1"/>
  <c r="A16" i="1" s="1"/>
  <c r="A18" i="1" s="1"/>
  <c r="A20" i="1" s="1"/>
  <c r="A22" i="1" s="1"/>
  <c r="A24" i="1" s="1"/>
  <c r="A25" i="1" s="1"/>
  <c r="A26" i="1" s="1"/>
  <c r="A28" i="1" s="1"/>
  <c r="A32" i="1" s="1"/>
  <c r="A35" i="1" s="1"/>
  <c r="A37" i="1" s="1"/>
  <c r="A40" i="1" s="1"/>
  <c r="A42" i="1" s="1"/>
  <c r="A44" i="1" s="1"/>
  <c r="A46" i="1" s="1"/>
  <c r="A49" i="1" s="1"/>
  <c r="A51" i="1" s="1"/>
  <c r="A53" i="1" s="1"/>
  <c r="A55" i="1" s="1"/>
  <c r="A57" i="1" s="1"/>
  <c r="A59" i="1" s="1"/>
  <c r="A61" i="1" s="1"/>
  <c r="A63" i="1" s="1"/>
  <c r="A65" i="1" s="1"/>
  <c r="A67" i="1" s="1"/>
  <c r="A69" i="1" s="1"/>
  <c r="A71" i="1" s="1"/>
  <c r="A73" i="1" s="1"/>
  <c r="A76" i="1" s="1"/>
  <c r="A77" i="1" s="1"/>
  <c r="A79" i="1" s="1"/>
  <c r="A80" i="1" s="1"/>
  <c r="A81" i="1" s="1"/>
  <c r="A83" i="1" s="1"/>
  <c r="A85" i="1" s="1"/>
  <c r="A87" i="1" s="1"/>
  <c r="A89" i="1" s="1"/>
  <c r="A91" i="1" s="1"/>
  <c r="A94" i="1" s="1"/>
  <c r="A96" i="1" s="1"/>
  <c r="A98" i="1" s="1"/>
  <c r="A101" i="1" s="1"/>
  <c r="A104" i="1" s="1"/>
  <c r="A106" i="1" s="1"/>
  <c r="A108" i="1" s="1"/>
  <c r="A110" i="1" s="1"/>
  <c r="A112" i="1" s="1"/>
  <c r="A114" i="1" s="1"/>
  <c r="F8" i="1"/>
  <c r="K8" i="1" s="1"/>
  <c r="G63" i="1" l="1"/>
  <c r="L63" i="1" s="1"/>
  <c r="G101" i="1"/>
  <c r="L101" i="1" s="1"/>
  <c r="K110" i="1"/>
  <c r="G9" i="1"/>
  <c r="L9" i="1" s="1"/>
  <c r="G49" i="1"/>
  <c r="L49" i="1" s="1"/>
  <c r="K83" i="1"/>
  <c r="J66" i="1"/>
  <c r="L66" i="1" s="1"/>
  <c r="J109" i="1"/>
  <c r="L109" i="1" s="1"/>
  <c r="J47" i="1"/>
  <c r="L47" i="1" s="1"/>
  <c r="K64" i="1"/>
  <c r="J38" i="1"/>
  <c r="L38" i="1" s="1"/>
  <c r="K45" i="1"/>
  <c r="J62" i="1"/>
  <c r="L62" i="1" s="1"/>
  <c r="K70" i="1"/>
  <c r="J74" i="1"/>
  <c r="L74" i="1" s="1"/>
  <c r="K17" i="1"/>
  <c r="J52" i="1"/>
  <c r="L52" i="1" s="1"/>
  <c r="K31" i="1"/>
  <c r="K58" i="1"/>
  <c r="K86" i="1"/>
  <c r="K90" i="1"/>
  <c r="K113" i="1"/>
  <c r="J13" i="1"/>
  <c r="L13" i="1" s="1"/>
  <c r="K95" i="1"/>
  <c r="K24" i="1"/>
  <c r="G44" i="1"/>
  <c r="L44" i="1" s="1"/>
  <c r="G59" i="1"/>
  <c r="L59" i="1" s="1"/>
  <c r="G71" i="1"/>
  <c r="L71" i="1" s="1"/>
  <c r="G94" i="1"/>
  <c r="L94" i="1" s="1"/>
  <c r="K96" i="1"/>
  <c r="K104" i="1"/>
  <c r="G25" i="1"/>
  <c r="L25" i="1" s="1"/>
  <c r="G40" i="1"/>
  <c r="L40" i="1" s="1"/>
  <c r="G51" i="1"/>
  <c r="L51" i="1" s="1"/>
  <c r="G69" i="1"/>
  <c r="L69" i="1" s="1"/>
  <c r="G114" i="1"/>
  <c r="L114" i="1" s="1"/>
  <c r="G12" i="1"/>
  <c r="L12" i="1" s="1"/>
  <c r="G22" i="1"/>
  <c r="L22" i="1" s="1"/>
  <c r="G10" i="1"/>
  <c r="L10" i="1" s="1"/>
  <c r="K23" i="1"/>
  <c r="G35" i="1"/>
  <c r="L35" i="1" s="1"/>
  <c r="K67" i="1"/>
  <c r="G79" i="1"/>
  <c r="L79" i="1" s="1"/>
  <c r="K89" i="1"/>
  <c r="K112" i="1"/>
  <c r="K18" i="1"/>
  <c r="K11" i="1"/>
  <c r="J11" i="1"/>
  <c r="L11" i="1" s="1"/>
  <c r="K72" i="1"/>
  <c r="J72" i="1"/>
  <c r="L72" i="1" s="1"/>
  <c r="K78" i="1"/>
  <c r="J78" i="1"/>
  <c r="L78" i="1" s="1"/>
  <c r="K21" i="1"/>
  <c r="J21" i="1"/>
  <c r="L21" i="1" s="1"/>
  <c r="K33" i="1"/>
  <c r="J33" i="1"/>
  <c r="L33" i="1" s="1"/>
  <c r="K34" i="1"/>
  <c r="J34" i="1"/>
  <c r="L34" i="1" s="1"/>
  <c r="K50" i="1"/>
  <c r="J50" i="1"/>
  <c r="L50" i="1" s="1"/>
  <c r="K57" i="1"/>
  <c r="G57" i="1"/>
  <c r="L57" i="1" s="1"/>
  <c r="K87" i="1"/>
  <c r="G87" i="1"/>
  <c r="L87" i="1" s="1"/>
  <c r="G16" i="1"/>
  <c r="L16" i="1" s="1"/>
  <c r="J19" i="1"/>
  <c r="L19" i="1" s="1"/>
  <c r="G28" i="1"/>
  <c r="L28" i="1" s="1"/>
  <c r="K37" i="1"/>
  <c r="G55" i="1"/>
  <c r="L55" i="1" s="1"/>
  <c r="K60" i="1"/>
  <c r="G77" i="1"/>
  <c r="L77" i="1" s="1"/>
  <c r="G81" i="1"/>
  <c r="L81" i="1" s="1"/>
  <c r="J82" i="1"/>
  <c r="L82" i="1" s="1"/>
  <c r="J93" i="1"/>
  <c r="L93" i="1" s="1"/>
  <c r="J102" i="1"/>
  <c r="L102" i="1" s="1"/>
  <c r="K91" i="1"/>
  <c r="G91" i="1"/>
  <c r="L91" i="1" s="1"/>
  <c r="G80" i="1"/>
  <c r="L80" i="1" s="1"/>
  <c r="K85" i="1"/>
  <c r="K106" i="1"/>
  <c r="G106" i="1"/>
  <c r="L106" i="1" s="1"/>
  <c r="G108" i="1"/>
  <c r="L108" i="1" s="1"/>
  <c r="J111" i="1"/>
  <c r="L111" i="1" s="1"/>
  <c r="G8" i="1"/>
  <c r="L8" i="1" s="1"/>
  <c r="F116" i="1"/>
  <c r="G116" i="1" s="1"/>
  <c r="J15" i="1"/>
  <c r="L15" i="1" s="1"/>
  <c r="K26" i="1"/>
  <c r="J54" i="1"/>
  <c r="L54" i="1" s="1"/>
  <c r="K65" i="1"/>
  <c r="K76" i="1"/>
  <c r="J97" i="1"/>
  <c r="L97" i="1" s="1"/>
  <c r="K92" i="1"/>
  <c r="J92" i="1"/>
  <c r="L92" i="1" s="1"/>
  <c r="K115" i="1"/>
  <c r="J115" i="1"/>
  <c r="L115" i="1" s="1"/>
  <c r="K14" i="1"/>
  <c r="K42" i="1"/>
  <c r="K53" i="1"/>
  <c r="G61" i="1"/>
  <c r="L61" i="1" s="1"/>
  <c r="I103" i="1"/>
  <c r="J103" i="1" l="1"/>
  <c r="L103" i="1" s="1"/>
  <c r="K103" i="1"/>
  <c r="K116" i="1" s="1"/>
  <c r="L116" i="1" s="1"/>
  <c r="I116" i="1"/>
</calcChain>
</file>

<file path=xl/sharedStrings.xml><?xml version="1.0" encoding="utf-8"?>
<sst xmlns="http://schemas.openxmlformats.org/spreadsheetml/2006/main" count="302" uniqueCount="165">
  <si>
    <t>№ п/п</t>
  </si>
  <si>
    <t>Наименование материалов</t>
  </si>
  <si>
    <t>Ед.изм</t>
  </si>
  <si>
    <t>Кол-во</t>
  </si>
  <si>
    <t>ООО "ЭлектроЭнергетика"</t>
  </si>
  <si>
    <t>Стоимость работ</t>
  </si>
  <si>
    <t>Стоимость материалов</t>
  </si>
  <si>
    <t>Всего</t>
  </si>
  <si>
    <t>Цена за единицу без НДС</t>
  </si>
  <si>
    <t>ИТОГО без НДС</t>
  </si>
  <si>
    <t>ИТОГО с НДС</t>
  </si>
  <si>
    <t>без НДС</t>
  </si>
  <si>
    <t>с НДС</t>
  </si>
  <si>
    <t>Земляные работы. Устройство траншей</t>
  </si>
  <si>
    <t xml:space="preserve">Разработка сухого грунта механизированным способом </t>
  </si>
  <si>
    <t>м3</t>
  </si>
  <si>
    <t>Доработка грунта в траншее вручную</t>
  </si>
  <si>
    <t>Устройство песчаного основания h=0,15м под трубы вручную</t>
  </si>
  <si>
    <t>3.1</t>
  </si>
  <si>
    <t>Песок природный  средний</t>
  </si>
  <si>
    <t xml:space="preserve">Устройство бетонной подготовки в траншее </t>
  </si>
  <si>
    <t>4.1</t>
  </si>
  <si>
    <t>Бетон В15</t>
  </si>
  <si>
    <t>Засыпка песком пазух сборного лоткового канала</t>
  </si>
  <si>
    <t>5.1</t>
  </si>
  <si>
    <t>Обратная засыпка песком вручную</t>
  </si>
  <si>
    <t>6.1</t>
  </si>
  <si>
    <t>7.1</t>
  </si>
  <si>
    <t>8.1</t>
  </si>
  <si>
    <t>Обратная засыпка грунтом лоткового канала</t>
  </si>
  <si>
    <t>9.1</t>
  </si>
  <si>
    <t xml:space="preserve">Обратная засыпка грунтом траншеи бульдозером </t>
  </si>
  <si>
    <t>Уплотнение грунта пневматическими трамбовками</t>
  </si>
  <si>
    <t>Планировка площадей: механизированным способом</t>
  </si>
  <si>
    <t>м2</t>
  </si>
  <si>
    <t>Погрузка лишнего грунта в автосамосвалы</t>
  </si>
  <si>
    <t>т</t>
  </si>
  <si>
    <t>Устройство дорожной плиты</t>
  </si>
  <si>
    <t xml:space="preserve">Устройство дорожной ж/б плиты </t>
  </si>
  <si>
    <t>13.1</t>
  </si>
  <si>
    <t xml:space="preserve">Бетон В30, W6, F200 </t>
  </si>
  <si>
    <t>13.2</t>
  </si>
  <si>
    <t xml:space="preserve">Арматура d16-А-III, А400С </t>
  </si>
  <si>
    <t>кг</t>
  </si>
  <si>
    <t>13.3</t>
  </si>
  <si>
    <t xml:space="preserve">Арматура 8-А-I, А400 </t>
  </si>
  <si>
    <t>Армированием ж/б плиты</t>
  </si>
  <si>
    <t>14.1</t>
  </si>
  <si>
    <t>14.2</t>
  </si>
  <si>
    <t xml:space="preserve">Устройство гидроизоляции дорожной плиты праймером Технониколь </t>
  </si>
  <si>
    <t>15.1</t>
  </si>
  <si>
    <t xml:space="preserve">Праймер Технониколь </t>
  </si>
  <si>
    <t>л</t>
  </si>
  <si>
    <t>Устройство гидроизоляции мастикой битумной Технониколь в два слоя</t>
  </si>
  <si>
    <t>16.1</t>
  </si>
  <si>
    <t>Мастика битумная Технониколь</t>
  </si>
  <si>
    <t>Устройство сборного канала</t>
  </si>
  <si>
    <t xml:space="preserve">Устройство ж/б лотков Л11-15/2 </t>
  </si>
  <si>
    <t>шт.</t>
  </si>
  <si>
    <t>цена из тс трансбордер</t>
  </si>
  <si>
    <t>17.1</t>
  </si>
  <si>
    <t xml:space="preserve">Лоток Л11-15/2 </t>
  </si>
  <si>
    <t xml:space="preserve">Устройство сборных железобетонных плит П12-15д </t>
  </si>
  <si>
    <t>18.1</t>
  </si>
  <si>
    <t>Плита П12д-15</t>
  </si>
  <si>
    <t>Устройство гидроизоляции сборного канала праймером Технониколь в один слой</t>
  </si>
  <si>
    <t>19.1</t>
  </si>
  <si>
    <t xml:space="preserve">Устройство гидроизоляции сборного канала мастикой битумной Технониколь </t>
  </si>
  <si>
    <t>20.1</t>
  </si>
  <si>
    <t>Устройство ж/б колодцев (2,69м3 и 2,77м3)</t>
  </si>
  <si>
    <t xml:space="preserve">Устройство песчаного основания </t>
  </si>
  <si>
    <t>21.1</t>
  </si>
  <si>
    <t>22.1</t>
  </si>
  <si>
    <t xml:space="preserve">Устройство кольца стенового  КС20.18Б </t>
  </si>
  <si>
    <t>23.1</t>
  </si>
  <si>
    <t>Кольцо стеновое  КС20.18Б (1,02м3/шт.)</t>
  </si>
  <si>
    <t>цена по счету</t>
  </si>
  <si>
    <t xml:space="preserve">Устройство плиты 4ПП 20-2 с отверстием Д700 </t>
  </si>
  <si>
    <t>24.1</t>
  </si>
  <si>
    <t>Плита 4ПП 20-2 с отверстием Д700 (0,51м3/шт.)</t>
  </si>
  <si>
    <t xml:space="preserve">Устройство кольца колодезного К-7-9 </t>
  </si>
  <si>
    <t>25.1</t>
  </si>
  <si>
    <t>Кольцо колодезное К-7-9   (0,14м3/шт.)</t>
  </si>
  <si>
    <t>Устройство плиты днища ПН-20</t>
  </si>
  <si>
    <t>26.1</t>
  </si>
  <si>
    <t>Плита днища ПН-20  (0,59м3/шт.)</t>
  </si>
  <si>
    <t xml:space="preserve">Устройство плиты ПК-15  </t>
  </si>
  <si>
    <t>27.1</t>
  </si>
  <si>
    <t>Плита ПК-15  (0,27м3/шт.)</t>
  </si>
  <si>
    <t>Устройство водоприёмного колодца ВГ-15</t>
  </si>
  <si>
    <t>28.1</t>
  </si>
  <si>
    <t>Водоприёмный колодец ВГ-15</t>
  </si>
  <si>
    <t>Устройство плиты ОП-1</t>
  </si>
  <si>
    <t>29.1</t>
  </si>
  <si>
    <t>Плита ОП-1 (0,62м3/шт.)</t>
  </si>
  <si>
    <t>Устройство блока ФБС12.5.3-Т</t>
  </si>
  <si>
    <t>30.1</t>
  </si>
  <si>
    <t>Блок ФБС12.5.3-Т</t>
  </si>
  <si>
    <t xml:space="preserve">Устройство люков </t>
  </si>
  <si>
    <t>31.1</t>
  </si>
  <si>
    <t>Люк чугунный</t>
  </si>
  <si>
    <t>32.1</t>
  </si>
  <si>
    <t>33.1</t>
  </si>
  <si>
    <t>Прокладка трубопровода</t>
  </si>
  <si>
    <t>Сверление отверстий в колодцах для устройства футляров</t>
  </si>
  <si>
    <t>Устройство футляров между колодцами из труб ВУС ф325</t>
  </si>
  <si>
    <t>м</t>
  </si>
  <si>
    <t>цена из нвк3</t>
  </si>
  <si>
    <t>35.1</t>
  </si>
  <si>
    <t>Труба ВУС ф325</t>
  </si>
  <si>
    <t>Заделка футляров (гильзы) цементно-песчаным раствором</t>
  </si>
  <si>
    <t>Заделка концов футляров</t>
  </si>
  <si>
    <t>Устройство водосбросных труб ф 89</t>
  </si>
  <si>
    <t>38.1</t>
  </si>
  <si>
    <t>Труба ф89</t>
  </si>
  <si>
    <t>Прокладка труб ф159х5-1-ППУ-ПЭ</t>
  </si>
  <si>
    <t>39.1</t>
  </si>
  <si>
    <t>Труба ф159х5-1-ППУ-ПЭ</t>
  </si>
  <si>
    <t>Установка отвода 90°159х6  ППУ ПЭ</t>
  </si>
  <si>
    <t>40.1</t>
  </si>
  <si>
    <t>Отвод 90°159х6  ППУ ПЭ</t>
  </si>
  <si>
    <t>Изоляция стыков ∅159/250  ППУ ПЭ</t>
  </si>
  <si>
    <t>компл.</t>
  </si>
  <si>
    <t>41.1</t>
  </si>
  <si>
    <t>Комплект изоляции стыка в оцинкованной оболочке мастичный для ∅159/250</t>
  </si>
  <si>
    <t>Изоляция стыков ∅159/250  ППУ ОЦ/ПЭ</t>
  </si>
  <si>
    <t>42.1</t>
  </si>
  <si>
    <t xml:space="preserve">Прокладка труб Ф159х5-1-ППУ- ОЦ оболочке </t>
  </si>
  <si>
    <t>43.1</t>
  </si>
  <si>
    <t xml:space="preserve">Труба Ф159х5-1-ППУ- ОЦ оболочке </t>
  </si>
  <si>
    <t>43.2</t>
  </si>
  <si>
    <t>Опора скользящая хомутовая (∅159), ТС-626.00.000-006(для трубы в ППУ)</t>
  </si>
  <si>
    <t>Установка отвода 90°159х6  ППУ ОЦ</t>
  </si>
  <si>
    <t>44.1</t>
  </si>
  <si>
    <t>Отвод 90°159х6  ППУ ОЦ</t>
  </si>
  <si>
    <t>Изоляция стыков ∅159/250  ППУ ОЦ</t>
  </si>
  <si>
    <t>45.1</t>
  </si>
  <si>
    <t>Утепление трубы подъема и закрытие кожухами из оц. стали (с изготовлением, комплектовкой и установкой конструкций на трубопровод)</t>
  </si>
  <si>
    <t>46.1</t>
  </si>
  <si>
    <t>Маты минераловатные t=50мм</t>
  </si>
  <si>
    <t>46.2</t>
  </si>
  <si>
    <t>Кожухи из оц. стали</t>
  </si>
  <si>
    <t>Утепление отводов (с изготовлением, комплектовкой и установкой конструкций)</t>
  </si>
  <si>
    <t>47.1</t>
  </si>
  <si>
    <t>47.2</t>
  </si>
  <si>
    <t xml:space="preserve">Кожухи из оц. стали </t>
  </si>
  <si>
    <t>Ультразвуковой контроль сварных соединений ф159</t>
  </si>
  <si>
    <t>Устройство арматуры</t>
  </si>
  <si>
    <t xml:space="preserve">Установка крана шарового сварка/сварка в ППУ ОЦ "BALLOMAX" DN150 КШТ 60.102.150.А.25  </t>
  </si>
  <si>
    <t>49.1</t>
  </si>
  <si>
    <t>Кран шаровый сварка/сварка "BALLOMAX" DN150 КШТ 60.102.150.А.25  в ППУ ОЦ</t>
  </si>
  <si>
    <t>Установка тройникового ответвления Ст159х6/45х5-1-ППУ-ОЦ, L=1000мм</t>
  </si>
  <si>
    <t>50.1</t>
  </si>
  <si>
    <t>Тройниковое ответвление Ст159х6/45х5-1-ППУ-ОЦ, L=1000мм, ГОСТ 30732-2006</t>
  </si>
  <si>
    <t xml:space="preserve">Установка крана шарового сварка/сварка в ППУ ОЦ "BALLOMAX" DN40 КШТ 60.102.40.А.25  </t>
  </si>
  <si>
    <t>51.1</t>
  </si>
  <si>
    <t>Кран шаровый сварка/сварка "BALLOMAX" DN40 КШТ 60.102.40.А.25  в ППУ ОЦ</t>
  </si>
  <si>
    <t>Установка тройникового ответвления Ст159х6/89х5-1-ППУ-ПЭ, L=1000мм, 90 градусов</t>
  </si>
  <si>
    <t>52.1</t>
  </si>
  <si>
    <t>Тройниковое ответвление Ст159х6/89х5-1-ППУ-ПЭ, L=1000мм, 90 градусов</t>
  </si>
  <si>
    <t xml:space="preserve">Установка крана шарового сварка/сварка в ППУ ОЦ "BALLOMAX" DN80 КШТ 60.102.80.А.25  </t>
  </si>
  <si>
    <t>53.1</t>
  </si>
  <si>
    <t>Кран шаровый сварка/сварка "BALLOMAX" DN80 КШТ 60.102.80.А.25  в ППУ ОЦ</t>
  </si>
  <si>
    <t xml:space="preserve">Итого </t>
  </si>
  <si>
    <t>131-23-ТС3. Переустройство трубопровода теплоснабжения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</si>
</sst>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_-* #,##0\ _₽_-;\-* #,##0\ _₽_-;_-* &quot;-&quot;??\ _₽_-;_-@_-"/>
    <numFmt numFmtId="166" formatCode="_-* #,##0.0_-;\-* #,##0.0_-;_-* &quot;-&quot;??_-;_-@_-"/>
    <numFmt numFmtId="167" formatCode="_-* #,##0.000_-;\-* #,##0.000_-;_-* &quot;-&quot;??_-;_-@_-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rgb="FFC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>
      <alignment vertical="top"/>
    </xf>
    <xf numFmtId="0" fontId="5" fillId="0" borderId="0"/>
  </cellStyleXfs>
  <cellXfs count="92">
    <xf numFmtId="0" fontId="0" fillId="0" borderId="0" xfId="0"/>
    <xf numFmtId="4" fontId="3" fillId="0" borderId="3" xfId="0" applyNumberFormat="1" applyFont="1" applyBorder="1" applyAlignment="1">
      <alignment horizontal="center" vertical="center" wrapText="1"/>
    </xf>
    <xf numFmtId="164" fontId="4" fillId="0" borderId="3" xfId="1" applyNumberFormat="1" applyFont="1" applyBorder="1" applyAlignment="1">
      <alignment vertical="center"/>
    </xf>
    <xf numFmtId="4" fontId="3" fillId="0" borderId="3" xfId="0" applyNumberFormat="1" applyFont="1" applyFill="1" applyBorder="1" applyAlignment="1">
      <alignment horizontal="center" vertical="center" wrapText="1"/>
    </xf>
    <xf numFmtId="1" fontId="3" fillId="0" borderId="3" xfId="2" applyNumberFormat="1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left" vertical="center" wrapText="1"/>
    </xf>
    <xf numFmtId="165" fontId="3" fillId="2" borderId="3" xfId="0" applyNumberFormat="1" applyFont="1" applyFill="1" applyBorder="1" applyAlignment="1">
      <alignment horizontal="left" vertical="center" wrapText="1"/>
    </xf>
    <xf numFmtId="164" fontId="3" fillId="2" borderId="3" xfId="1" applyNumberFormat="1" applyFont="1" applyFill="1" applyBorder="1" applyAlignment="1">
      <alignment horizontal="left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center" vertical="center" wrapText="1"/>
    </xf>
    <xf numFmtId="1" fontId="7" fillId="3" borderId="3" xfId="0" applyNumberFormat="1" applyFont="1" applyFill="1" applyBorder="1" applyAlignment="1">
      <alignment vertical="center" wrapText="1"/>
    </xf>
    <xf numFmtId="3" fontId="8" fillId="3" borderId="3" xfId="0" applyNumberFormat="1" applyFont="1" applyFill="1" applyBorder="1" applyAlignment="1">
      <alignment horizontal="center" vertical="center"/>
    </xf>
    <xf numFmtId="3" fontId="7" fillId="3" borderId="3" xfId="0" applyNumberFormat="1" applyFont="1" applyFill="1" applyBorder="1" applyAlignment="1">
      <alignment horizontal="center" vertical="center"/>
    </xf>
    <xf numFmtId="165" fontId="8" fillId="3" borderId="3" xfId="0" applyNumberFormat="1" applyFont="1" applyFill="1" applyBorder="1" applyAlignment="1">
      <alignment vertical="center"/>
    </xf>
    <xf numFmtId="43" fontId="6" fillId="3" borderId="3" xfId="1" applyNumberFormat="1" applyFont="1" applyFill="1" applyBorder="1" applyAlignment="1">
      <alignment horizontal="center"/>
    </xf>
    <xf numFmtId="43" fontId="6" fillId="3" borderId="3" xfId="1" applyFont="1" applyFill="1" applyBorder="1" applyAlignment="1">
      <alignment vertical="center"/>
    </xf>
    <xf numFmtId="43" fontId="6" fillId="3" borderId="3" xfId="1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7" fillId="0" borderId="3" xfId="3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2" fontId="7" fillId="0" borderId="3" xfId="0" applyNumberFormat="1" applyFont="1" applyBorder="1" applyAlignment="1">
      <alignment vertical="center" wrapText="1"/>
    </xf>
    <xf numFmtId="43" fontId="9" fillId="0" borderId="3" xfId="1" applyFont="1" applyFill="1" applyBorder="1" applyAlignment="1">
      <alignment horizontal="center" vertical="center" wrapText="1"/>
    </xf>
    <xf numFmtId="43" fontId="8" fillId="0" borderId="3" xfId="1" applyFont="1" applyBorder="1" applyAlignment="1">
      <alignment vertical="center"/>
    </xf>
    <xf numFmtId="43" fontId="7" fillId="3" borderId="3" xfId="1" applyFont="1" applyFill="1" applyBorder="1" applyAlignment="1">
      <alignment horizontal="center" vertical="center" wrapText="1"/>
    </xf>
    <xf numFmtId="43" fontId="7" fillId="3" borderId="3" xfId="1" applyFont="1" applyFill="1" applyBorder="1" applyAlignment="1">
      <alignment vertical="center"/>
    </xf>
    <xf numFmtId="43" fontId="9" fillId="3" borderId="3" xfId="1" applyFont="1" applyFill="1" applyBorder="1" applyAlignment="1">
      <alignment horizontal="center" vertical="center" wrapText="1"/>
    </xf>
    <xf numFmtId="43" fontId="8" fillId="3" borderId="3" xfId="1" applyNumberFormat="1" applyFont="1" applyFill="1" applyBorder="1" applyAlignment="1">
      <alignment vertical="center"/>
    </xf>
    <xf numFmtId="49" fontId="7" fillId="3" borderId="3" xfId="0" applyNumberFormat="1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center" vertical="center" wrapText="1"/>
    </xf>
    <xf numFmtId="2" fontId="7" fillId="4" borderId="3" xfId="0" applyNumberFormat="1" applyFont="1" applyFill="1" applyBorder="1" applyAlignment="1">
      <alignment vertical="center" wrapText="1"/>
    </xf>
    <xf numFmtId="43" fontId="9" fillId="4" borderId="3" xfId="1" applyFont="1" applyFill="1" applyBorder="1" applyAlignment="1">
      <alignment horizontal="center" vertical="center" wrapText="1"/>
    </xf>
    <xf numFmtId="43" fontId="8" fillId="4" borderId="3" xfId="1" applyFont="1" applyFill="1" applyBorder="1" applyAlignment="1">
      <alignment vertical="center"/>
    </xf>
    <xf numFmtId="43" fontId="8" fillId="4" borderId="3" xfId="1" applyNumberFormat="1" applyFont="1" applyFill="1" applyBorder="1" applyAlignment="1">
      <alignment vertical="center"/>
    </xf>
    <xf numFmtId="43" fontId="8" fillId="4" borderId="3" xfId="1" applyFont="1" applyFill="1" applyBorder="1" applyAlignment="1">
      <alignment horizontal="center" vertical="center" wrapText="1"/>
    </xf>
    <xf numFmtId="0" fontId="2" fillId="0" borderId="0" xfId="0" applyFont="1"/>
    <xf numFmtId="0" fontId="7" fillId="3" borderId="3" xfId="0" applyNumberFormat="1" applyFont="1" applyFill="1" applyBorder="1" applyAlignment="1">
      <alignment horizontal="center" vertical="center" wrapText="1"/>
    </xf>
    <xf numFmtId="43" fontId="8" fillId="3" borderId="3" xfId="1" applyFont="1" applyFill="1" applyBorder="1" applyAlignment="1">
      <alignment vertical="center"/>
    </xf>
    <xf numFmtId="43" fontId="8" fillId="3" borderId="3" xfId="1" applyFont="1" applyFill="1" applyBorder="1" applyAlignment="1">
      <alignment horizontal="center" vertical="center" wrapText="1"/>
    </xf>
    <xf numFmtId="0" fontId="0" fillId="3" borderId="0" xfId="0" applyFill="1"/>
    <xf numFmtId="0" fontId="7" fillId="3" borderId="3" xfId="3" applyFont="1" applyFill="1" applyBorder="1" applyAlignment="1">
      <alignment horizontal="left" vertical="center" wrapText="1"/>
    </xf>
    <xf numFmtId="2" fontId="7" fillId="3" borderId="3" xfId="0" applyNumberFormat="1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3" fillId="3" borderId="11" xfId="3" applyFont="1" applyFill="1" applyBorder="1" applyAlignment="1">
      <alignment horizontal="left" vertical="center" wrapText="1"/>
    </xf>
    <xf numFmtId="0" fontId="10" fillId="3" borderId="3" xfId="0" applyFont="1" applyFill="1" applyBorder="1" applyAlignment="1">
      <alignment horizontal="center" vertical="center" wrapText="1"/>
    </xf>
    <xf numFmtId="2" fontId="10" fillId="3" borderId="3" xfId="0" applyNumberFormat="1" applyFont="1" applyFill="1" applyBorder="1" applyAlignment="1">
      <alignment vertical="center" wrapText="1"/>
    </xf>
    <xf numFmtId="43" fontId="11" fillId="3" borderId="3" xfId="1" applyFont="1" applyFill="1" applyBorder="1" applyAlignment="1">
      <alignment horizontal="center" vertical="center" wrapText="1"/>
    </xf>
    <xf numFmtId="43" fontId="10" fillId="3" borderId="3" xfId="1" applyFont="1" applyFill="1" applyBorder="1" applyAlignment="1">
      <alignment vertical="center"/>
    </xf>
    <xf numFmtId="43" fontId="10" fillId="3" borderId="3" xfId="1" applyFont="1" applyFill="1" applyBorder="1" applyAlignment="1">
      <alignment horizontal="center" vertical="center" wrapText="1"/>
    </xf>
    <xf numFmtId="0" fontId="7" fillId="3" borderId="11" xfId="3" applyFont="1" applyFill="1" applyBorder="1" applyAlignment="1">
      <alignment horizontal="left" vertical="center" wrapText="1"/>
    </xf>
    <xf numFmtId="43" fontId="7" fillId="3" borderId="3" xfId="1" applyNumberFormat="1" applyFont="1" applyFill="1" applyBorder="1" applyAlignment="1">
      <alignment vertical="center" wrapText="1"/>
    </xf>
    <xf numFmtId="0" fontId="7" fillId="4" borderId="11" xfId="3" applyFont="1" applyFill="1" applyBorder="1" applyAlignment="1">
      <alignment horizontal="left" vertical="center" wrapText="1"/>
    </xf>
    <xf numFmtId="43" fontId="7" fillId="4" borderId="3" xfId="1" applyNumberFormat="1" applyFont="1" applyFill="1" applyBorder="1" applyAlignment="1">
      <alignment vertical="center" wrapText="1"/>
    </xf>
    <xf numFmtId="43" fontId="8" fillId="4" borderId="3" xfId="1" applyNumberFormat="1" applyFont="1" applyFill="1" applyBorder="1" applyAlignment="1">
      <alignment horizontal="center"/>
    </xf>
    <xf numFmtId="164" fontId="7" fillId="3" borderId="3" xfId="1" applyNumberFormat="1" applyFont="1" applyFill="1" applyBorder="1" applyAlignment="1">
      <alignment vertical="center" wrapText="1"/>
    </xf>
    <xf numFmtId="43" fontId="8" fillId="3" borderId="3" xfId="1" applyNumberFormat="1" applyFont="1" applyFill="1" applyBorder="1" applyAlignment="1">
      <alignment horizontal="center"/>
    </xf>
    <xf numFmtId="0" fontId="12" fillId="0" borderId="0" xfId="0" applyFont="1" applyAlignment="1">
      <alignment vertical="center"/>
    </xf>
    <xf numFmtId="164" fontId="7" fillId="4" borderId="3" xfId="1" applyNumberFormat="1" applyFont="1" applyFill="1" applyBorder="1" applyAlignment="1">
      <alignment vertical="center" wrapText="1"/>
    </xf>
    <xf numFmtId="43" fontId="8" fillId="4" borderId="3" xfId="1" applyNumberFormat="1" applyFont="1" applyFill="1" applyBorder="1" applyAlignment="1">
      <alignment horizontal="center" vertical="center"/>
    </xf>
    <xf numFmtId="43" fontId="7" fillId="4" borderId="3" xfId="1" applyFont="1" applyFill="1" applyBorder="1" applyAlignment="1">
      <alignment horizontal="center" vertical="center" wrapText="1"/>
    </xf>
    <xf numFmtId="43" fontId="7" fillId="4" borderId="3" xfId="1" applyFont="1" applyFill="1" applyBorder="1" applyAlignment="1">
      <alignment vertical="center"/>
    </xf>
    <xf numFmtId="164" fontId="8" fillId="3" borderId="3" xfId="1" applyNumberFormat="1" applyFont="1" applyFill="1" applyBorder="1" applyAlignment="1">
      <alignment vertical="center"/>
    </xf>
    <xf numFmtId="166" fontId="8" fillId="4" borderId="3" xfId="1" applyNumberFormat="1" applyFont="1" applyFill="1" applyBorder="1" applyAlignment="1">
      <alignment vertical="center"/>
    </xf>
    <xf numFmtId="43" fontId="7" fillId="4" borderId="3" xfId="1" applyNumberFormat="1" applyFont="1" applyFill="1" applyBorder="1" applyAlignment="1">
      <alignment vertical="center"/>
    </xf>
    <xf numFmtId="0" fontId="12" fillId="0" borderId="0" xfId="0" applyFont="1"/>
    <xf numFmtId="164" fontId="8" fillId="4" borderId="3" xfId="1" applyNumberFormat="1" applyFont="1" applyFill="1" applyBorder="1" applyAlignment="1">
      <alignment vertical="center"/>
    </xf>
    <xf numFmtId="43" fontId="11" fillId="4" borderId="3" xfId="1" applyFont="1" applyFill="1" applyBorder="1" applyAlignment="1">
      <alignment horizontal="center" vertical="center" wrapText="1"/>
    </xf>
    <xf numFmtId="167" fontId="8" fillId="3" borderId="3" xfId="1" applyNumberFormat="1" applyFont="1" applyFill="1" applyBorder="1" applyAlignment="1">
      <alignment vertical="center"/>
    </xf>
    <xf numFmtId="167" fontId="8" fillId="4" borderId="3" xfId="1" applyNumberFormat="1" applyFont="1" applyFill="1" applyBorder="1" applyAlignment="1">
      <alignment vertical="center"/>
    </xf>
    <xf numFmtId="43" fontId="4" fillId="0" borderId="3" xfId="1" applyFont="1" applyBorder="1"/>
    <xf numFmtId="43" fontId="13" fillId="0" borderId="3" xfId="1" applyFont="1" applyBorder="1"/>
    <xf numFmtId="164" fontId="0" fillId="0" borderId="0" xfId="1" applyNumberFormat="1" applyFont="1"/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1" xfId="3" applyFont="1" applyBorder="1" applyAlignment="1">
      <alignment horizontal="right" vertical="center" wrapText="1"/>
    </xf>
    <xf numFmtId="0" fontId="3" fillId="0" borderId="12" xfId="3" applyFont="1" applyBorder="1" applyAlignment="1">
      <alignment horizontal="right" vertical="center" wrapText="1"/>
    </xf>
    <xf numFmtId="0" fontId="3" fillId="0" borderId="13" xfId="3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4" fontId="3" fillId="0" borderId="10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</cellXfs>
  <cellStyles count="4">
    <cellStyle name="ЛокСмМТСН" xfId="2" xr:uid="{ECB359B0-A327-4403-949F-5E89A83AE8B3}"/>
    <cellStyle name="Обычный" xfId="0" builtinId="0"/>
    <cellStyle name="Обычный 2" xfId="3" xr:uid="{13A112DF-7033-4517-8B3D-C6CE42035B8A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68CB3-FDA6-4458-AA58-BDE4C758EF46}">
  <sheetPr>
    <tabColor theme="5" tint="0.79998168889431442"/>
  </sheetPr>
  <dimension ref="A1:M116"/>
  <sheetViews>
    <sheetView tabSelected="1" view="pageBreakPreview" topLeftCell="A100" zoomScale="80" zoomScaleNormal="100" zoomScaleSheetLayoutView="80" workbookViewId="0">
      <selection activeCell="M107" sqref="M107"/>
    </sheetView>
  </sheetViews>
  <sheetFormatPr defaultColWidth="8.85546875" defaultRowHeight="15" x14ac:dyDescent="0.25"/>
  <cols>
    <col min="2" max="2" width="65.140625" customWidth="1"/>
    <col min="3" max="3" width="9.28515625" customWidth="1"/>
    <col min="4" max="4" width="11" bestFit="1" customWidth="1"/>
    <col min="5" max="5" width="15.140625" customWidth="1"/>
    <col min="6" max="6" width="16" customWidth="1"/>
    <col min="7" max="7" width="17.140625" style="74" customWidth="1"/>
    <col min="8" max="8" width="16.140625" style="74" customWidth="1"/>
    <col min="9" max="12" width="16.140625" customWidth="1"/>
    <col min="13" max="13" width="55.42578125" customWidth="1"/>
  </cols>
  <sheetData>
    <row r="1" spans="1:13" ht="14.45" customHeight="1" x14ac:dyDescent="0.25">
      <c r="A1" s="80" t="s">
        <v>0</v>
      </c>
      <c r="B1" s="83" t="s">
        <v>1</v>
      </c>
      <c r="C1" s="86" t="s">
        <v>2</v>
      </c>
      <c r="D1" s="86" t="s">
        <v>3</v>
      </c>
      <c r="E1" s="87" t="s">
        <v>4</v>
      </c>
      <c r="F1" s="88"/>
      <c r="G1" s="88"/>
      <c r="H1" s="88"/>
      <c r="I1" s="88"/>
      <c r="J1" s="88"/>
      <c r="K1" s="88"/>
      <c r="L1" s="88"/>
    </row>
    <row r="2" spans="1:13" ht="14.45" customHeight="1" x14ac:dyDescent="0.25">
      <c r="A2" s="81"/>
      <c r="B2" s="84"/>
      <c r="C2" s="86"/>
      <c r="D2" s="86"/>
      <c r="E2" s="89"/>
      <c r="F2" s="90"/>
      <c r="G2" s="90"/>
      <c r="H2" s="90"/>
      <c r="I2" s="90"/>
      <c r="J2" s="90"/>
      <c r="K2" s="90"/>
      <c r="L2" s="90"/>
    </row>
    <row r="3" spans="1:13" ht="27.75" customHeight="1" x14ac:dyDescent="0.25">
      <c r="A3" s="81"/>
      <c r="B3" s="84"/>
      <c r="C3" s="86"/>
      <c r="D3" s="86"/>
      <c r="E3" s="86" t="s">
        <v>5</v>
      </c>
      <c r="F3" s="86"/>
      <c r="G3" s="86"/>
      <c r="H3" s="86" t="s">
        <v>6</v>
      </c>
      <c r="I3" s="86"/>
      <c r="J3" s="86"/>
      <c r="K3" s="91" t="s">
        <v>7</v>
      </c>
      <c r="L3" s="91"/>
    </row>
    <row r="4" spans="1:13" ht="56.1" customHeight="1" x14ac:dyDescent="0.25">
      <c r="A4" s="82"/>
      <c r="B4" s="85"/>
      <c r="C4" s="86"/>
      <c r="D4" s="86"/>
      <c r="E4" s="1" t="s">
        <v>8</v>
      </c>
      <c r="F4" s="1" t="s">
        <v>9</v>
      </c>
      <c r="G4" s="2" t="s">
        <v>10</v>
      </c>
      <c r="H4" s="1" t="s">
        <v>8</v>
      </c>
      <c r="I4" s="1" t="s">
        <v>9</v>
      </c>
      <c r="J4" s="2" t="s">
        <v>10</v>
      </c>
      <c r="K4" s="3" t="s">
        <v>11</v>
      </c>
      <c r="L4" s="3" t="s">
        <v>12</v>
      </c>
    </row>
    <row r="5" spans="1:13" x14ac:dyDescent="0.25">
      <c r="A5" s="4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/>
    </row>
    <row r="6" spans="1:13" ht="20.25" customHeight="1" x14ac:dyDescent="0.25">
      <c r="A6" s="6"/>
      <c r="B6" s="75" t="s">
        <v>164</v>
      </c>
      <c r="C6" s="76"/>
      <c r="D6" s="76"/>
      <c r="E6" s="7"/>
      <c r="F6" s="8"/>
      <c r="G6" s="9"/>
      <c r="H6" s="9"/>
      <c r="I6" s="9"/>
      <c r="J6" s="9"/>
      <c r="K6" s="9"/>
      <c r="L6" s="9"/>
    </row>
    <row r="7" spans="1:13" ht="20.25" customHeight="1" x14ac:dyDescent="0.25">
      <c r="A7" s="10"/>
      <c r="B7" s="11" t="s">
        <v>13</v>
      </c>
      <c r="C7" s="12"/>
      <c r="D7" s="13"/>
      <c r="E7" s="14"/>
      <c r="F7" s="15"/>
      <c r="G7" s="16"/>
      <c r="H7" s="17"/>
      <c r="I7" s="18"/>
      <c r="J7" s="18"/>
      <c r="K7" s="19"/>
      <c r="L7" s="18"/>
    </row>
    <row r="8" spans="1:13" ht="20.25" customHeight="1" x14ac:dyDescent="0.25">
      <c r="A8" s="20">
        <v>1</v>
      </c>
      <c r="B8" s="21" t="s">
        <v>14</v>
      </c>
      <c r="C8" s="22" t="s">
        <v>15</v>
      </c>
      <c r="D8" s="23">
        <v>430.55</v>
      </c>
      <c r="E8" s="24">
        <v>308.75</v>
      </c>
      <c r="F8" s="25">
        <f t="shared" ref="F8:F26" si="0">ROUND(E8*D8,2)</f>
        <v>132932.31</v>
      </c>
      <c r="G8" s="25">
        <f t="shared" ref="G8:G26" si="1">ROUND(F8*1.2,2)</f>
        <v>159518.76999999999</v>
      </c>
      <c r="H8" s="17"/>
      <c r="I8" s="18"/>
      <c r="J8" s="18"/>
      <c r="K8" s="26">
        <f t="shared" ref="K8:L26" si="2">F8+I8</f>
        <v>132932.31</v>
      </c>
      <c r="L8" s="27">
        <f t="shared" si="2"/>
        <v>159518.76999999999</v>
      </c>
    </row>
    <row r="9" spans="1:13" ht="20.25" customHeight="1" x14ac:dyDescent="0.25">
      <c r="A9" s="20">
        <f>A8+1</f>
        <v>2</v>
      </c>
      <c r="B9" s="21" t="s">
        <v>16</v>
      </c>
      <c r="C9" s="22" t="s">
        <v>15</v>
      </c>
      <c r="D9" s="23">
        <v>13.31</v>
      </c>
      <c r="E9" s="24">
        <v>1688.1499999999999</v>
      </c>
      <c r="F9" s="25">
        <f t="shared" si="0"/>
        <v>22469.279999999999</v>
      </c>
      <c r="G9" s="25">
        <f t="shared" si="1"/>
        <v>26963.14</v>
      </c>
      <c r="H9" s="17"/>
      <c r="I9" s="18"/>
      <c r="J9" s="18"/>
      <c r="K9" s="26">
        <f t="shared" si="2"/>
        <v>22469.279999999999</v>
      </c>
      <c r="L9" s="27">
        <f t="shared" si="2"/>
        <v>26963.14</v>
      </c>
    </row>
    <row r="10" spans="1:13" ht="20.25" customHeight="1" x14ac:dyDescent="0.25">
      <c r="A10" s="20">
        <f>A9+1</f>
        <v>3</v>
      </c>
      <c r="B10" s="21" t="s">
        <v>17</v>
      </c>
      <c r="C10" s="22" t="s">
        <v>15</v>
      </c>
      <c r="D10" s="23">
        <v>11.42</v>
      </c>
      <c r="E10" s="28">
        <v>1310.05</v>
      </c>
      <c r="F10" s="25">
        <f t="shared" si="0"/>
        <v>14960.77</v>
      </c>
      <c r="G10" s="25">
        <f t="shared" si="1"/>
        <v>17952.919999999998</v>
      </c>
      <c r="H10" s="29"/>
      <c r="I10" s="18"/>
      <c r="J10" s="18"/>
      <c r="K10" s="26">
        <f t="shared" si="2"/>
        <v>14960.77</v>
      </c>
      <c r="L10" s="27">
        <f t="shared" si="2"/>
        <v>17952.919999999998</v>
      </c>
    </row>
    <row r="11" spans="1:13" ht="20.25" customHeight="1" x14ac:dyDescent="0.25">
      <c r="A11" s="30" t="s">
        <v>18</v>
      </c>
      <c r="B11" s="31" t="s">
        <v>19</v>
      </c>
      <c r="C11" s="32" t="s">
        <v>15</v>
      </c>
      <c r="D11" s="33">
        <f>11.42*1.1</f>
        <v>12.562000000000001</v>
      </c>
      <c r="E11" s="34"/>
      <c r="F11" s="35"/>
      <c r="G11" s="35"/>
      <c r="H11" s="36">
        <v>1191.3</v>
      </c>
      <c r="I11" s="35">
        <f>ROUND(H11*D11,2)</f>
        <v>14965.11</v>
      </c>
      <c r="J11" s="35">
        <f>ROUND(I11*1.2,2)</f>
        <v>17958.13</v>
      </c>
      <c r="K11" s="37">
        <f t="shared" si="2"/>
        <v>14965.11</v>
      </c>
      <c r="L11" s="35">
        <f t="shared" si="2"/>
        <v>17958.13</v>
      </c>
    </row>
    <row r="12" spans="1:13" ht="20.25" customHeight="1" x14ac:dyDescent="0.25">
      <c r="A12" s="20">
        <f>A10+1</f>
        <v>4</v>
      </c>
      <c r="B12" s="21" t="s">
        <v>20</v>
      </c>
      <c r="C12" s="22" t="s">
        <v>15</v>
      </c>
      <c r="D12" s="23">
        <v>10.1</v>
      </c>
      <c r="E12" s="28">
        <v>6804.09</v>
      </c>
      <c r="F12" s="25">
        <f t="shared" ref="F12" si="3">ROUND(E12*D12,2)</f>
        <v>68721.31</v>
      </c>
      <c r="G12" s="25">
        <f t="shared" ref="G12" si="4">ROUND(F12*1.2,2)</f>
        <v>82465.570000000007</v>
      </c>
      <c r="H12" s="17"/>
      <c r="I12" s="18"/>
      <c r="J12" s="18"/>
      <c r="K12" s="26">
        <f t="shared" si="2"/>
        <v>68721.31</v>
      </c>
      <c r="L12" s="27">
        <f t="shared" si="2"/>
        <v>82465.570000000007</v>
      </c>
    </row>
    <row r="13" spans="1:13" ht="20.25" customHeight="1" x14ac:dyDescent="0.25">
      <c r="A13" s="30" t="s">
        <v>21</v>
      </c>
      <c r="B13" s="31" t="s">
        <v>22</v>
      </c>
      <c r="C13" s="32" t="s">
        <v>15</v>
      </c>
      <c r="D13" s="33">
        <f>1.02*10.1</f>
        <v>10.302</v>
      </c>
      <c r="E13" s="34"/>
      <c r="F13" s="35"/>
      <c r="G13" s="35"/>
      <c r="H13" s="36">
        <v>5007.45</v>
      </c>
      <c r="I13" s="35">
        <f>ROUND(H13*D13,2)</f>
        <v>51586.75</v>
      </c>
      <c r="J13" s="35">
        <f>ROUND(I13*1.2,2)</f>
        <v>61904.1</v>
      </c>
      <c r="K13" s="37">
        <f t="shared" si="2"/>
        <v>51586.75</v>
      </c>
      <c r="L13" s="35">
        <f t="shared" si="2"/>
        <v>61904.1</v>
      </c>
      <c r="M13" s="38"/>
    </row>
    <row r="14" spans="1:13" ht="20.25" customHeight="1" x14ac:dyDescent="0.25">
      <c r="A14" s="20">
        <f>A12+1</f>
        <v>5</v>
      </c>
      <c r="B14" s="21" t="s">
        <v>23</v>
      </c>
      <c r="C14" s="22" t="s">
        <v>15</v>
      </c>
      <c r="D14" s="23">
        <v>5.83</v>
      </c>
      <c r="E14" s="28">
        <v>1311</v>
      </c>
      <c r="F14" s="25">
        <f t="shared" ref="F14" si="5">ROUND(E14*D14,2)</f>
        <v>7643.13</v>
      </c>
      <c r="G14" s="25">
        <f t="shared" ref="G14" si="6">ROUND(F14*1.2,2)</f>
        <v>9171.76</v>
      </c>
      <c r="H14" s="17"/>
      <c r="I14" s="18"/>
      <c r="J14" s="18"/>
      <c r="K14" s="26">
        <f t="shared" si="2"/>
        <v>7643.13</v>
      </c>
      <c r="L14" s="27">
        <f t="shared" si="2"/>
        <v>9171.76</v>
      </c>
    </row>
    <row r="15" spans="1:13" ht="20.25" customHeight="1" x14ac:dyDescent="0.25">
      <c r="A15" s="30" t="s">
        <v>24</v>
      </c>
      <c r="B15" s="31" t="s">
        <v>19</v>
      </c>
      <c r="C15" s="32" t="s">
        <v>15</v>
      </c>
      <c r="D15" s="33">
        <f>5.83*1.1</f>
        <v>6.4130000000000003</v>
      </c>
      <c r="E15" s="34"/>
      <c r="F15" s="35"/>
      <c r="G15" s="35"/>
      <c r="H15" s="36">
        <v>1191.3</v>
      </c>
      <c r="I15" s="35">
        <f>ROUND(H15*D15,2)</f>
        <v>7639.81</v>
      </c>
      <c r="J15" s="35">
        <f>ROUND(I15*1.2,2)</f>
        <v>9167.77</v>
      </c>
      <c r="K15" s="37">
        <f t="shared" si="2"/>
        <v>7639.81</v>
      </c>
      <c r="L15" s="35">
        <f t="shared" si="2"/>
        <v>9167.77</v>
      </c>
    </row>
    <row r="16" spans="1:13" ht="20.25" customHeight="1" x14ac:dyDescent="0.25">
      <c r="A16" s="39">
        <f>A14+1</f>
        <v>6</v>
      </c>
      <c r="B16" s="21" t="s">
        <v>25</v>
      </c>
      <c r="C16" s="22" t="s">
        <v>15</v>
      </c>
      <c r="D16" s="23">
        <v>51.25</v>
      </c>
      <c r="E16" s="28">
        <v>1311</v>
      </c>
      <c r="F16" s="25">
        <f t="shared" si="0"/>
        <v>67188.75</v>
      </c>
      <c r="G16" s="25">
        <f t="shared" si="1"/>
        <v>80626.5</v>
      </c>
      <c r="H16" s="29"/>
      <c r="I16" s="40"/>
      <c r="J16" s="40"/>
      <c r="K16" s="41">
        <f t="shared" si="2"/>
        <v>67188.75</v>
      </c>
      <c r="L16" s="40">
        <f t="shared" si="2"/>
        <v>80626.5</v>
      </c>
    </row>
    <row r="17" spans="1:13" ht="20.25" customHeight="1" x14ac:dyDescent="0.25">
      <c r="A17" s="30" t="s">
        <v>26</v>
      </c>
      <c r="B17" s="31" t="s">
        <v>19</v>
      </c>
      <c r="C17" s="32" t="s">
        <v>15</v>
      </c>
      <c r="D17" s="33">
        <f>51.25*1.1</f>
        <v>56.375000000000007</v>
      </c>
      <c r="E17" s="34"/>
      <c r="F17" s="35"/>
      <c r="G17" s="35"/>
      <c r="H17" s="36">
        <v>1191.3</v>
      </c>
      <c r="I17" s="35">
        <f>ROUND(H17*D17,2)</f>
        <v>67159.539999999994</v>
      </c>
      <c r="J17" s="35">
        <f>ROUND(I17*1.2,2)</f>
        <v>80591.45</v>
      </c>
      <c r="K17" s="37">
        <f t="shared" si="2"/>
        <v>67159.539999999994</v>
      </c>
      <c r="L17" s="35">
        <f t="shared" si="2"/>
        <v>80591.45</v>
      </c>
    </row>
    <row r="18" spans="1:13" ht="20.25" customHeight="1" x14ac:dyDescent="0.25">
      <c r="A18" s="39">
        <f>A16+1</f>
        <v>7</v>
      </c>
      <c r="B18" s="21" t="s">
        <v>23</v>
      </c>
      <c r="C18" s="22" t="s">
        <v>15</v>
      </c>
      <c r="D18" s="23">
        <v>23.13</v>
      </c>
      <c r="E18" s="28">
        <v>1311</v>
      </c>
      <c r="F18" s="25">
        <f t="shared" ref="F18" si="7">ROUND(E18*D18,2)</f>
        <v>30323.43</v>
      </c>
      <c r="G18" s="25">
        <f t="shared" ref="G18" si="8">ROUND(F18*1.2,2)</f>
        <v>36388.120000000003</v>
      </c>
      <c r="H18" s="17"/>
      <c r="I18" s="18"/>
      <c r="J18" s="18"/>
      <c r="K18" s="26">
        <f t="shared" si="2"/>
        <v>30323.43</v>
      </c>
      <c r="L18" s="27">
        <f t="shared" si="2"/>
        <v>36388.120000000003</v>
      </c>
    </row>
    <row r="19" spans="1:13" ht="20.25" customHeight="1" x14ac:dyDescent="0.25">
      <c r="A19" s="30" t="s">
        <v>27</v>
      </c>
      <c r="B19" s="31" t="s">
        <v>19</v>
      </c>
      <c r="C19" s="32" t="s">
        <v>15</v>
      </c>
      <c r="D19" s="33">
        <f>23.13*1.1</f>
        <v>25.443000000000001</v>
      </c>
      <c r="E19" s="34"/>
      <c r="F19" s="35"/>
      <c r="G19" s="35"/>
      <c r="H19" s="36">
        <v>1191.3</v>
      </c>
      <c r="I19" s="35">
        <f>ROUND(H19*D19,2)</f>
        <v>30310.25</v>
      </c>
      <c r="J19" s="35">
        <f>ROUND(I19*1.2,2)</f>
        <v>36372.300000000003</v>
      </c>
      <c r="K19" s="37">
        <f t="shared" si="2"/>
        <v>30310.25</v>
      </c>
      <c r="L19" s="35">
        <f t="shared" si="2"/>
        <v>36372.300000000003</v>
      </c>
    </row>
    <row r="20" spans="1:13" ht="20.25" customHeight="1" x14ac:dyDescent="0.25">
      <c r="A20" s="39">
        <f>A18+1</f>
        <v>8</v>
      </c>
      <c r="B20" s="21" t="s">
        <v>25</v>
      </c>
      <c r="C20" s="22" t="s">
        <v>15</v>
      </c>
      <c r="D20" s="23">
        <v>62.05</v>
      </c>
      <c r="E20" s="28">
        <v>1311</v>
      </c>
      <c r="F20" s="25">
        <f t="shared" ref="F20" si="9">ROUND(E20*D20,2)</f>
        <v>81347.55</v>
      </c>
      <c r="G20" s="25">
        <f t="shared" ref="G20" si="10">ROUND(F20*1.2,2)</f>
        <v>97617.06</v>
      </c>
      <c r="H20" s="29"/>
      <c r="I20" s="40"/>
      <c r="J20" s="40"/>
      <c r="K20" s="41">
        <f t="shared" si="2"/>
        <v>81347.55</v>
      </c>
      <c r="L20" s="40">
        <f t="shared" si="2"/>
        <v>97617.06</v>
      </c>
    </row>
    <row r="21" spans="1:13" ht="20.25" customHeight="1" x14ac:dyDescent="0.25">
      <c r="A21" s="30" t="s">
        <v>28</v>
      </c>
      <c r="B21" s="31" t="s">
        <v>19</v>
      </c>
      <c r="C21" s="32" t="s">
        <v>15</v>
      </c>
      <c r="D21" s="33">
        <f>62.05*1.1</f>
        <v>68.254999999999995</v>
      </c>
      <c r="E21" s="34"/>
      <c r="F21" s="35"/>
      <c r="G21" s="35"/>
      <c r="H21" s="36">
        <v>1191.3</v>
      </c>
      <c r="I21" s="35">
        <f>ROUND(H21*D21,2)</f>
        <v>81312.179999999993</v>
      </c>
      <c r="J21" s="35">
        <f>ROUND(I21*1.2,2)</f>
        <v>97574.62</v>
      </c>
      <c r="K21" s="37">
        <f t="shared" si="2"/>
        <v>81312.179999999993</v>
      </c>
      <c r="L21" s="35">
        <f t="shared" si="2"/>
        <v>97574.62</v>
      </c>
    </row>
    <row r="22" spans="1:13" s="42" customFormat="1" ht="21.75" customHeight="1" x14ac:dyDescent="0.25">
      <c r="A22" s="39">
        <f>A20+1</f>
        <v>9</v>
      </c>
      <c r="B22" s="21" t="s">
        <v>29</v>
      </c>
      <c r="C22" s="22" t="s">
        <v>15</v>
      </c>
      <c r="D22" s="23">
        <v>37.869999999999997</v>
      </c>
      <c r="E22" s="28">
        <v>118.75</v>
      </c>
      <c r="F22" s="25">
        <f t="shared" si="0"/>
        <v>4497.0600000000004</v>
      </c>
      <c r="G22" s="25">
        <f t="shared" si="1"/>
        <v>5396.47</v>
      </c>
      <c r="H22" s="17"/>
      <c r="I22" s="18"/>
      <c r="J22" s="18"/>
      <c r="K22" s="26">
        <f t="shared" si="2"/>
        <v>4497.0600000000004</v>
      </c>
      <c r="L22" s="27">
        <f t="shared" si="2"/>
        <v>5396.47</v>
      </c>
    </row>
    <row r="23" spans="1:13" s="42" customFormat="1" ht="21.75" customHeight="1" x14ac:dyDescent="0.25">
      <c r="A23" s="30" t="s">
        <v>30</v>
      </c>
      <c r="B23" s="21" t="s">
        <v>31</v>
      </c>
      <c r="C23" s="22" t="s">
        <v>15</v>
      </c>
      <c r="D23" s="23">
        <v>160.1</v>
      </c>
      <c r="E23" s="28">
        <v>118.75</v>
      </c>
      <c r="F23" s="25">
        <f t="shared" si="0"/>
        <v>19011.88</v>
      </c>
      <c r="G23" s="25">
        <f t="shared" si="1"/>
        <v>22814.26</v>
      </c>
      <c r="H23" s="17"/>
      <c r="I23" s="18"/>
      <c r="J23" s="18"/>
      <c r="K23" s="26">
        <f t="shared" si="2"/>
        <v>19011.88</v>
      </c>
      <c r="L23" s="27">
        <f t="shared" si="2"/>
        <v>22814.26</v>
      </c>
    </row>
    <row r="24" spans="1:13" ht="18.75" customHeight="1" x14ac:dyDescent="0.25">
      <c r="A24" s="20">
        <f>A22+1</f>
        <v>10</v>
      </c>
      <c r="B24" s="21" t="s">
        <v>32</v>
      </c>
      <c r="C24" s="22" t="s">
        <v>15</v>
      </c>
      <c r="D24" s="23">
        <f>37.87+160.1</f>
        <v>197.97</v>
      </c>
      <c r="E24" s="28">
        <v>188.1</v>
      </c>
      <c r="F24" s="25">
        <f t="shared" si="0"/>
        <v>37238.160000000003</v>
      </c>
      <c r="G24" s="25">
        <f t="shared" si="1"/>
        <v>44685.79</v>
      </c>
      <c r="H24" s="26"/>
      <c r="I24" s="40"/>
      <c r="J24" s="40"/>
      <c r="K24" s="26">
        <f t="shared" si="2"/>
        <v>37238.160000000003</v>
      </c>
      <c r="L24" s="27">
        <f t="shared" si="2"/>
        <v>44685.79</v>
      </c>
    </row>
    <row r="25" spans="1:13" ht="18.75" customHeight="1" x14ac:dyDescent="0.25">
      <c r="A25" s="20">
        <f t="shared" ref="A25:A26" si="11">A24+1</f>
        <v>11</v>
      </c>
      <c r="B25" s="43" t="s">
        <v>33</v>
      </c>
      <c r="C25" s="12" t="s">
        <v>34</v>
      </c>
      <c r="D25" s="44">
        <v>240.36</v>
      </c>
      <c r="E25" s="28">
        <v>118.75</v>
      </c>
      <c r="F25" s="27">
        <f t="shared" si="0"/>
        <v>28542.75</v>
      </c>
      <c r="G25" s="27">
        <f t="shared" si="1"/>
        <v>34251.300000000003</v>
      </c>
      <c r="H25" s="28"/>
      <c r="I25" s="27"/>
      <c r="J25" s="27"/>
      <c r="K25" s="26">
        <f t="shared" si="2"/>
        <v>28542.75</v>
      </c>
      <c r="L25" s="27">
        <f t="shared" si="2"/>
        <v>34251.300000000003</v>
      </c>
    </row>
    <row r="26" spans="1:13" ht="18" customHeight="1" x14ac:dyDescent="0.25">
      <c r="A26" s="20">
        <f t="shared" si="11"/>
        <v>12</v>
      </c>
      <c r="B26" s="21" t="s">
        <v>35</v>
      </c>
      <c r="C26" s="22" t="s">
        <v>36</v>
      </c>
      <c r="D26" s="23">
        <v>466.83</v>
      </c>
      <c r="E26" s="28">
        <v>308.75</v>
      </c>
      <c r="F26" s="25">
        <f t="shared" si="0"/>
        <v>144133.76000000001</v>
      </c>
      <c r="G26" s="25">
        <f t="shared" si="1"/>
        <v>172960.51</v>
      </c>
      <c r="H26" s="28"/>
      <c r="I26" s="27"/>
      <c r="J26" s="27"/>
      <c r="K26" s="26">
        <f t="shared" si="2"/>
        <v>144133.76000000001</v>
      </c>
      <c r="L26" s="27">
        <f t="shared" si="2"/>
        <v>172960.51</v>
      </c>
      <c r="M26" s="45"/>
    </row>
    <row r="27" spans="1:13" ht="21.75" customHeight="1" x14ac:dyDescent="0.25">
      <c r="A27" s="39"/>
      <c r="B27" s="46" t="s">
        <v>37</v>
      </c>
      <c r="C27" s="47"/>
      <c r="D27" s="48"/>
      <c r="E27" s="49"/>
      <c r="F27" s="50"/>
      <c r="G27" s="50"/>
      <c r="H27" s="28"/>
      <c r="I27" s="40"/>
      <c r="J27" s="40"/>
      <c r="K27" s="51"/>
      <c r="L27" s="50"/>
      <c r="M27" s="45"/>
    </row>
    <row r="28" spans="1:13" ht="18.75" customHeight="1" x14ac:dyDescent="0.25">
      <c r="A28" s="39">
        <f>A26+1</f>
        <v>13</v>
      </c>
      <c r="B28" s="52" t="s">
        <v>38</v>
      </c>
      <c r="C28" s="22" t="s">
        <v>15</v>
      </c>
      <c r="D28" s="53">
        <v>26.68</v>
      </c>
      <c r="E28" s="28">
        <v>12689.15</v>
      </c>
      <c r="F28" s="40">
        <f>ROUND(E28*D28,2)</f>
        <v>338546.52</v>
      </c>
      <c r="G28" s="40">
        <f t="shared" ref="G28" si="12">ROUND(F28*1.2,2)</f>
        <v>406255.82</v>
      </c>
      <c r="H28" s="26"/>
      <c r="I28" s="40"/>
      <c r="J28" s="40"/>
      <c r="K28" s="26">
        <f t="shared" ref="K28:L38" si="13">F28+I28</f>
        <v>338546.52</v>
      </c>
      <c r="L28" s="27">
        <f t="shared" si="13"/>
        <v>406255.82</v>
      </c>
    </row>
    <row r="29" spans="1:13" ht="19.5" customHeight="1" x14ac:dyDescent="0.25">
      <c r="A29" s="30" t="s">
        <v>39</v>
      </c>
      <c r="B29" s="54" t="s">
        <v>40</v>
      </c>
      <c r="C29" s="32" t="s">
        <v>15</v>
      </c>
      <c r="D29" s="55">
        <f>1.02*26.68</f>
        <v>27.2136</v>
      </c>
      <c r="E29" s="34"/>
      <c r="F29" s="35"/>
      <c r="G29" s="35"/>
      <c r="H29" s="56">
        <v>5196.5</v>
      </c>
      <c r="I29" s="35">
        <f>ROUND(H29*D29,2)</f>
        <v>141415.47</v>
      </c>
      <c r="J29" s="35">
        <f>ROUND(I29*1.2,2)</f>
        <v>169698.56</v>
      </c>
      <c r="K29" s="37">
        <f t="shared" si="13"/>
        <v>141415.47</v>
      </c>
      <c r="L29" s="35">
        <f t="shared" si="13"/>
        <v>169698.56</v>
      </c>
    </row>
    <row r="30" spans="1:13" ht="19.5" customHeight="1" x14ac:dyDescent="0.25">
      <c r="A30" s="30" t="s">
        <v>41</v>
      </c>
      <c r="B30" s="54" t="s">
        <v>42</v>
      </c>
      <c r="C30" s="32" t="s">
        <v>43</v>
      </c>
      <c r="D30" s="55">
        <v>1979.02</v>
      </c>
      <c r="E30" s="34"/>
      <c r="F30" s="35"/>
      <c r="G30" s="35"/>
      <c r="H30" s="56">
        <v>80.75</v>
      </c>
      <c r="I30" s="35">
        <f>ROUND(H30*D30,2)</f>
        <v>159805.87</v>
      </c>
      <c r="J30" s="35">
        <f>ROUND(I30*1.2,2)</f>
        <v>191767.04000000001</v>
      </c>
      <c r="K30" s="37">
        <f t="shared" si="13"/>
        <v>159805.87</v>
      </c>
      <c r="L30" s="35">
        <f t="shared" si="13"/>
        <v>191767.04000000001</v>
      </c>
    </row>
    <row r="31" spans="1:13" ht="15.75" x14ac:dyDescent="0.25">
      <c r="A31" s="30" t="s">
        <v>44</v>
      </c>
      <c r="B31" s="54" t="s">
        <v>45</v>
      </c>
      <c r="C31" s="32" t="s">
        <v>43</v>
      </c>
      <c r="D31" s="55">
        <v>259.85000000000002</v>
      </c>
      <c r="E31" s="34"/>
      <c r="F31" s="35"/>
      <c r="G31" s="35"/>
      <c r="H31" s="56">
        <v>80.75</v>
      </c>
      <c r="I31" s="35">
        <f>ROUND(H31*D31,2)</f>
        <v>20982.89</v>
      </c>
      <c r="J31" s="35">
        <f>ROUND(I31*1.2,2)</f>
        <v>25179.47</v>
      </c>
      <c r="K31" s="37">
        <f t="shared" si="13"/>
        <v>20982.89</v>
      </c>
      <c r="L31" s="35">
        <f t="shared" si="13"/>
        <v>25179.47</v>
      </c>
    </row>
    <row r="32" spans="1:13" ht="20.25" customHeight="1" x14ac:dyDescent="0.25">
      <c r="A32" s="39">
        <f>A28+1</f>
        <v>14</v>
      </c>
      <c r="B32" s="52" t="s">
        <v>46</v>
      </c>
      <c r="C32" s="22" t="s">
        <v>43</v>
      </c>
      <c r="D32" s="53">
        <v>2588.6799999999998</v>
      </c>
      <c r="E32" s="28">
        <v>65</v>
      </c>
      <c r="F32" s="40">
        <f>ROUND(E32*D32,2)</f>
        <v>168264.2</v>
      </c>
      <c r="G32" s="40">
        <f t="shared" ref="G32" si="14">ROUND(F32*1.2,2)</f>
        <v>201917.04</v>
      </c>
      <c r="H32" s="26"/>
      <c r="I32" s="40"/>
      <c r="J32" s="40"/>
      <c r="K32" s="26">
        <f t="shared" si="13"/>
        <v>168264.2</v>
      </c>
      <c r="L32" s="27">
        <f t="shared" si="13"/>
        <v>201917.04</v>
      </c>
      <c r="M32" s="45"/>
    </row>
    <row r="33" spans="1:13" ht="19.5" customHeight="1" x14ac:dyDescent="0.25">
      <c r="A33" s="30" t="s">
        <v>47</v>
      </c>
      <c r="B33" s="54" t="s">
        <v>42</v>
      </c>
      <c r="C33" s="32" t="s">
        <v>43</v>
      </c>
      <c r="D33" s="55">
        <f>309.21+1979.02</f>
        <v>2288.23</v>
      </c>
      <c r="E33" s="34"/>
      <c r="F33" s="35"/>
      <c r="G33" s="35"/>
      <c r="H33" s="56">
        <v>80.75</v>
      </c>
      <c r="I33" s="35">
        <f>ROUND(H33*D33,2)</f>
        <v>184774.57</v>
      </c>
      <c r="J33" s="35">
        <f>ROUND(I33*1.2,2)</f>
        <v>221729.48</v>
      </c>
      <c r="K33" s="37">
        <f t="shared" si="13"/>
        <v>184774.57</v>
      </c>
      <c r="L33" s="35">
        <f t="shared" si="13"/>
        <v>221729.48</v>
      </c>
    </row>
    <row r="34" spans="1:13" ht="15.75" x14ac:dyDescent="0.25">
      <c r="A34" s="30" t="s">
        <v>48</v>
      </c>
      <c r="B34" s="54" t="s">
        <v>45</v>
      </c>
      <c r="C34" s="32" t="s">
        <v>43</v>
      </c>
      <c r="D34" s="55">
        <f>40.6+259.85</f>
        <v>300.45000000000005</v>
      </c>
      <c r="E34" s="34"/>
      <c r="F34" s="35"/>
      <c r="G34" s="35"/>
      <c r="H34" s="56">
        <v>80.75</v>
      </c>
      <c r="I34" s="35">
        <f>ROUND(H34*D34,2)</f>
        <v>24261.34</v>
      </c>
      <c r="J34" s="35">
        <f>ROUND(I34*1.2,2)</f>
        <v>29113.61</v>
      </c>
      <c r="K34" s="37">
        <f t="shared" si="13"/>
        <v>24261.34</v>
      </c>
      <c r="L34" s="35">
        <f t="shared" si="13"/>
        <v>29113.61</v>
      </c>
    </row>
    <row r="35" spans="1:13" ht="18" customHeight="1" x14ac:dyDescent="0.25">
      <c r="A35" s="39">
        <f>A32+1</f>
        <v>15</v>
      </c>
      <c r="B35" s="21" t="s">
        <v>49</v>
      </c>
      <c r="C35" s="22" t="s">
        <v>34</v>
      </c>
      <c r="D35" s="44">
        <v>39.159999999999997</v>
      </c>
      <c r="E35" s="24">
        <v>144.4</v>
      </c>
      <c r="F35" s="40">
        <f>ROUND(E35*D35,2)</f>
        <v>5654.7</v>
      </c>
      <c r="G35" s="40">
        <f t="shared" ref="G35" si="15">ROUND(F35*1.2,2)</f>
        <v>6785.64</v>
      </c>
      <c r="H35" s="26"/>
      <c r="I35" s="40"/>
      <c r="J35" s="40"/>
      <c r="K35" s="26">
        <f t="shared" si="13"/>
        <v>5654.7</v>
      </c>
      <c r="L35" s="27">
        <f t="shared" si="13"/>
        <v>6785.64</v>
      </c>
    </row>
    <row r="36" spans="1:13" ht="16.5" customHeight="1" x14ac:dyDescent="0.25">
      <c r="A36" s="30" t="s">
        <v>50</v>
      </c>
      <c r="B36" s="54" t="s">
        <v>51</v>
      </c>
      <c r="C36" s="32" t="s">
        <v>52</v>
      </c>
      <c r="D36" s="55">
        <f>11.75*20/16</f>
        <v>14.6875</v>
      </c>
      <c r="E36" s="34"/>
      <c r="F36" s="35"/>
      <c r="G36" s="35"/>
      <c r="H36" s="56">
        <v>237.5</v>
      </c>
      <c r="I36" s="35">
        <f>ROUND(H36*D36,2)</f>
        <v>3488.28</v>
      </c>
      <c r="J36" s="35">
        <f>ROUND(I36*1.2,2)</f>
        <v>4185.9399999999996</v>
      </c>
      <c r="K36" s="37">
        <f t="shared" si="13"/>
        <v>3488.28</v>
      </c>
      <c r="L36" s="35">
        <f t="shared" si="13"/>
        <v>4185.9399999999996</v>
      </c>
    </row>
    <row r="37" spans="1:13" ht="30" x14ac:dyDescent="0.25">
      <c r="A37" s="39">
        <f>A35+1</f>
        <v>16</v>
      </c>
      <c r="B37" s="21" t="s">
        <v>53</v>
      </c>
      <c r="C37" s="22" t="s">
        <v>34</v>
      </c>
      <c r="D37" s="44">
        <v>39.159999999999997</v>
      </c>
      <c r="E37" s="24">
        <v>299.76</v>
      </c>
      <c r="F37" s="40">
        <f>ROUND(E37*D37,2)</f>
        <v>11738.6</v>
      </c>
      <c r="G37" s="40">
        <f t="shared" ref="G37" si="16">ROUND(F37*1.2,2)</f>
        <v>14086.32</v>
      </c>
      <c r="H37" s="26"/>
      <c r="I37" s="40"/>
      <c r="J37" s="40"/>
      <c r="K37" s="26">
        <f t="shared" si="13"/>
        <v>11738.6</v>
      </c>
      <c r="L37" s="27">
        <f t="shared" si="13"/>
        <v>14086.32</v>
      </c>
    </row>
    <row r="38" spans="1:13" ht="15.75" x14ac:dyDescent="0.25">
      <c r="A38" s="30" t="s">
        <v>54</v>
      </c>
      <c r="B38" s="54" t="s">
        <v>55</v>
      </c>
      <c r="C38" s="32" t="s">
        <v>43</v>
      </c>
      <c r="D38" s="55">
        <v>23.5</v>
      </c>
      <c r="E38" s="34"/>
      <c r="F38" s="35"/>
      <c r="G38" s="35"/>
      <c r="H38" s="56">
        <v>296.39999999999998</v>
      </c>
      <c r="I38" s="35">
        <f t="shared" ref="I38" si="17">ROUND(H38*D38,2)</f>
        <v>6965.4</v>
      </c>
      <c r="J38" s="35">
        <f t="shared" ref="J38" si="18">ROUND(I38*1.2,2)</f>
        <v>8358.48</v>
      </c>
      <c r="K38" s="37">
        <f t="shared" si="13"/>
        <v>6965.4</v>
      </c>
      <c r="L38" s="35">
        <f t="shared" si="13"/>
        <v>8358.48</v>
      </c>
    </row>
    <row r="39" spans="1:13" ht="21.75" customHeight="1" x14ac:dyDescent="0.25">
      <c r="A39" s="30"/>
      <c r="B39" s="11" t="s">
        <v>56</v>
      </c>
      <c r="C39" s="12"/>
      <c r="D39" s="57"/>
      <c r="E39" s="28"/>
      <c r="F39" s="40"/>
      <c r="G39" s="40"/>
      <c r="H39" s="58"/>
      <c r="I39" s="40"/>
      <c r="J39" s="40"/>
      <c r="K39" s="41"/>
      <c r="L39" s="40"/>
    </row>
    <row r="40" spans="1:13" ht="15.75" x14ac:dyDescent="0.25">
      <c r="A40" s="20">
        <f>A37+1</f>
        <v>17</v>
      </c>
      <c r="B40" s="52" t="s">
        <v>57</v>
      </c>
      <c r="C40" s="12" t="s">
        <v>58</v>
      </c>
      <c r="D40" s="57">
        <v>7</v>
      </c>
      <c r="E40" s="28">
        <v>5928</v>
      </c>
      <c r="F40" s="40">
        <f>ROUND(E40*D40,2)</f>
        <v>41496</v>
      </c>
      <c r="G40" s="40">
        <f t="shared" ref="G40" si="19">ROUND(F40*1.2,2)</f>
        <v>49795.199999999997</v>
      </c>
      <c r="H40" s="26"/>
      <c r="I40" s="40"/>
      <c r="J40" s="40"/>
      <c r="K40" s="26">
        <f t="shared" ref="K40:L55" si="20">F40+I40</f>
        <v>41496</v>
      </c>
      <c r="L40" s="27">
        <f t="shared" si="20"/>
        <v>49795.199999999997</v>
      </c>
      <c r="M40" s="59" t="s">
        <v>59</v>
      </c>
    </row>
    <row r="41" spans="1:13" ht="15.75" x14ac:dyDescent="0.25">
      <c r="A41" s="30" t="s">
        <v>60</v>
      </c>
      <c r="B41" s="54" t="s">
        <v>61</v>
      </c>
      <c r="C41" s="32" t="s">
        <v>58</v>
      </c>
      <c r="D41" s="60">
        <v>7</v>
      </c>
      <c r="E41" s="34"/>
      <c r="F41" s="35"/>
      <c r="G41" s="35"/>
      <c r="H41" s="56">
        <v>16810.25</v>
      </c>
      <c r="I41" s="35">
        <f t="shared" ref="I41:I43" si="21">ROUND(H41*D41,2)</f>
        <v>117671.75</v>
      </c>
      <c r="J41" s="35">
        <f t="shared" ref="J41:J43" si="22">ROUND(I41*1.2,2)</f>
        <v>141206.1</v>
      </c>
      <c r="K41" s="37">
        <f t="shared" si="20"/>
        <v>117671.75</v>
      </c>
      <c r="L41" s="35">
        <f t="shared" si="20"/>
        <v>141206.1</v>
      </c>
      <c r="M41" s="59" t="s">
        <v>59</v>
      </c>
    </row>
    <row r="42" spans="1:13" ht="15.75" x14ac:dyDescent="0.25">
      <c r="A42" s="39">
        <f>A40+1</f>
        <v>18</v>
      </c>
      <c r="B42" s="52" t="s">
        <v>62</v>
      </c>
      <c r="C42" s="12" t="s">
        <v>58</v>
      </c>
      <c r="D42" s="57">
        <v>28</v>
      </c>
      <c r="E42" s="28">
        <v>1482</v>
      </c>
      <c r="F42" s="40">
        <f>ROUND(E42*D42,2)</f>
        <v>41496</v>
      </c>
      <c r="G42" s="40">
        <f t="shared" ref="G42" si="23">ROUND(F42*1.2,2)</f>
        <v>49795.199999999997</v>
      </c>
      <c r="H42" s="26"/>
      <c r="I42" s="40"/>
      <c r="J42" s="40"/>
      <c r="K42" s="26">
        <f t="shared" si="20"/>
        <v>41496</v>
      </c>
      <c r="L42" s="27">
        <f t="shared" si="20"/>
        <v>49795.199999999997</v>
      </c>
      <c r="M42" s="59" t="s">
        <v>59</v>
      </c>
    </row>
    <row r="43" spans="1:13" ht="15.75" x14ac:dyDescent="0.25">
      <c r="A43" s="30" t="s">
        <v>63</v>
      </c>
      <c r="B43" s="54" t="s">
        <v>64</v>
      </c>
      <c r="C43" s="32" t="s">
        <v>58</v>
      </c>
      <c r="D43" s="60">
        <v>28</v>
      </c>
      <c r="E43" s="34"/>
      <c r="F43" s="35"/>
      <c r="G43" s="35"/>
      <c r="H43" s="56">
        <v>4891.55</v>
      </c>
      <c r="I43" s="35">
        <f t="shared" si="21"/>
        <v>136963.4</v>
      </c>
      <c r="J43" s="35">
        <f t="shared" si="22"/>
        <v>164356.07999999999</v>
      </c>
      <c r="K43" s="37">
        <f t="shared" si="20"/>
        <v>136963.4</v>
      </c>
      <c r="L43" s="35">
        <f t="shared" si="20"/>
        <v>164356.07999999999</v>
      </c>
      <c r="M43" s="59" t="s">
        <v>59</v>
      </c>
    </row>
    <row r="44" spans="1:13" ht="27" customHeight="1" x14ac:dyDescent="0.25">
      <c r="A44" s="39">
        <f>A42+1</f>
        <v>19</v>
      </c>
      <c r="B44" s="52" t="s">
        <v>65</v>
      </c>
      <c r="C44" s="12" t="s">
        <v>34</v>
      </c>
      <c r="D44" s="53">
        <v>26.08</v>
      </c>
      <c r="E44" s="24">
        <v>144.4</v>
      </c>
      <c r="F44" s="40">
        <f>ROUND(E44*D44,2)</f>
        <v>3765.95</v>
      </c>
      <c r="G44" s="40">
        <f t="shared" ref="G44" si="24">ROUND(F44*1.2,2)</f>
        <v>4519.1400000000003</v>
      </c>
      <c r="H44" s="26"/>
      <c r="I44" s="40"/>
      <c r="J44" s="40"/>
      <c r="K44" s="26">
        <f t="shared" si="20"/>
        <v>3765.95</v>
      </c>
      <c r="L44" s="27">
        <f t="shared" si="20"/>
        <v>4519.1400000000003</v>
      </c>
      <c r="M44" s="45"/>
    </row>
    <row r="45" spans="1:13" ht="18" customHeight="1" x14ac:dyDescent="0.25">
      <c r="A45" s="30" t="s">
        <v>66</v>
      </c>
      <c r="B45" s="54" t="s">
        <v>51</v>
      </c>
      <c r="C45" s="32" t="s">
        <v>52</v>
      </c>
      <c r="D45" s="55">
        <f>7.82*20/16</f>
        <v>9.7750000000000004</v>
      </c>
      <c r="E45" s="34"/>
      <c r="F45" s="35"/>
      <c r="G45" s="35"/>
      <c r="H45" s="56">
        <v>237.5</v>
      </c>
      <c r="I45" s="35">
        <f>ROUND(H45*D45,2)</f>
        <v>2321.56</v>
      </c>
      <c r="J45" s="35">
        <f>ROUND(I45*1.2,2)</f>
        <v>2785.87</v>
      </c>
      <c r="K45" s="37">
        <f t="shared" si="20"/>
        <v>2321.56</v>
      </c>
      <c r="L45" s="35">
        <f t="shared" si="20"/>
        <v>2785.87</v>
      </c>
    </row>
    <row r="46" spans="1:13" ht="30.75" customHeight="1" x14ac:dyDescent="0.25">
      <c r="A46" s="20">
        <f>A44+1</f>
        <v>20</v>
      </c>
      <c r="B46" s="21" t="s">
        <v>67</v>
      </c>
      <c r="C46" s="12" t="s">
        <v>34</v>
      </c>
      <c r="D46" s="53">
        <v>26.08</v>
      </c>
      <c r="E46" s="24">
        <v>299.76</v>
      </c>
      <c r="F46" s="40">
        <f>ROUND(E46*D46,2)</f>
        <v>7817.74</v>
      </c>
      <c r="G46" s="40">
        <f t="shared" ref="G46" si="25">ROUND(F46*1.2,2)</f>
        <v>9381.2900000000009</v>
      </c>
      <c r="H46" s="26"/>
      <c r="I46" s="40"/>
      <c r="J46" s="40"/>
      <c r="K46" s="26">
        <f t="shared" si="20"/>
        <v>7817.74</v>
      </c>
      <c r="L46" s="27">
        <f t="shared" si="20"/>
        <v>9381.2900000000009</v>
      </c>
      <c r="M46" s="38"/>
    </row>
    <row r="47" spans="1:13" ht="15.75" x14ac:dyDescent="0.25">
      <c r="A47" s="30" t="s">
        <v>68</v>
      </c>
      <c r="B47" s="54" t="s">
        <v>55</v>
      </c>
      <c r="C47" s="32" t="s">
        <v>43</v>
      </c>
      <c r="D47" s="55">
        <v>15.65</v>
      </c>
      <c r="E47" s="34"/>
      <c r="F47" s="35"/>
      <c r="G47" s="35"/>
      <c r="H47" s="56">
        <v>296.39999999999998</v>
      </c>
      <c r="I47" s="35">
        <f t="shared" ref="I47" si="26">ROUND(H47*D47,2)</f>
        <v>4638.66</v>
      </c>
      <c r="J47" s="35">
        <f t="shared" ref="J47" si="27">ROUND(I47*1.2,2)</f>
        <v>5566.39</v>
      </c>
      <c r="K47" s="37">
        <f t="shared" si="20"/>
        <v>4638.66</v>
      </c>
      <c r="L47" s="35">
        <f t="shared" si="20"/>
        <v>5566.39</v>
      </c>
      <c r="M47" s="38"/>
    </row>
    <row r="48" spans="1:13" ht="20.25" customHeight="1" x14ac:dyDescent="0.25">
      <c r="A48" s="30"/>
      <c r="B48" s="11" t="s">
        <v>69</v>
      </c>
      <c r="C48" s="12"/>
      <c r="D48" s="57"/>
      <c r="E48" s="28"/>
      <c r="F48" s="40"/>
      <c r="G48" s="40"/>
      <c r="H48" s="58"/>
      <c r="I48" s="40"/>
      <c r="J48" s="40"/>
      <c r="K48" s="41"/>
      <c r="L48" s="40"/>
      <c r="M48" s="38"/>
    </row>
    <row r="49" spans="1:13" ht="19.5" customHeight="1" x14ac:dyDescent="0.25">
      <c r="A49" s="20">
        <f>A46+1</f>
        <v>21</v>
      </c>
      <c r="B49" s="21" t="s">
        <v>70</v>
      </c>
      <c r="C49" s="22" t="s">
        <v>15</v>
      </c>
      <c r="D49" s="23">
        <v>2.67</v>
      </c>
      <c r="E49" s="28">
        <v>1310.05</v>
      </c>
      <c r="F49" s="25">
        <f t="shared" ref="F49" si="28">ROUND(E49*D49,2)</f>
        <v>3497.83</v>
      </c>
      <c r="G49" s="25">
        <f t="shared" ref="G49" si="29">ROUND(F49*1.2,2)</f>
        <v>4197.3999999999996</v>
      </c>
      <c r="H49" s="29"/>
      <c r="I49" s="18"/>
      <c r="J49" s="18"/>
      <c r="K49" s="26">
        <f t="shared" ref="K49:L52" si="30">F49+I49</f>
        <v>3497.83</v>
      </c>
      <c r="L49" s="27">
        <f t="shared" si="30"/>
        <v>4197.3999999999996</v>
      </c>
      <c r="M49" s="45"/>
    </row>
    <row r="50" spans="1:13" ht="18" customHeight="1" x14ac:dyDescent="0.25">
      <c r="A50" s="30" t="s">
        <v>71</v>
      </c>
      <c r="B50" s="31" t="s">
        <v>19</v>
      </c>
      <c r="C50" s="32" t="s">
        <v>15</v>
      </c>
      <c r="D50" s="33">
        <f>2.67*1.1</f>
        <v>2.9370000000000003</v>
      </c>
      <c r="E50" s="34"/>
      <c r="F50" s="35"/>
      <c r="G50" s="35"/>
      <c r="H50" s="36">
        <v>1191.3</v>
      </c>
      <c r="I50" s="35">
        <f>ROUND(H50*D50,2)</f>
        <v>3498.85</v>
      </c>
      <c r="J50" s="35">
        <f>ROUND(I50*1.2,2)</f>
        <v>4198.62</v>
      </c>
      <c r="K50" s="37">
        <f t="shared" si="30"/>
        <v>3498.85</v>
      </c>
      <c r="L50" s="35">
        <f t="shared" si="30"/>
        <v>4198.62</v>
      </c>
      <c r="M50" s="45"/>
    </row>
    <row r="51" spans="1:13" ht="21.75" customHeight="1" x14ac:dyDescent="0.25">
      <c r="A51" s="39">
        <f>A49+1</f>
        <v>22</v>
      </c>
      <c r="B51" s="21" t="s">
        <v>20</v>
      </c>
      <c r="C51" s="22" t="s">
        <v>15</v>
      </c>
      <c r="D51" s="23">
        <v>1.17</v>
      </c>
      <c r="E51" s="28">
        <v>6804.09</v>
      </c>
      <c r="F51" s="25">
        <f t="shared" ref="F51" si="31">ROUND(E51*D51,2)</f>
        <v>7960.79</v>
      </c>
      <c r="G51" s="25">
        <f t="shared" ref="G51" si="32">ROUND(F51*1.2,2)</f>
        <v>9552.9500000000007</v>
      </c>
      <c r="H51" s="17"/>
      <c r="I51" s="18"/>
      <c r="J51" s="18"/>
      <c r="K51" s="26">
        <f t="shared" si="30"/>
        <v>7960.79</v>
      </c>
      <c r="L51" s="27">
        <f t="shared" si="30"/>
        <v>9552.9500000000007</v>
      </c>
      <c r="M51" s="45"/>
    </row>
    <row r="52" spans="1:13" ht="18.75" customHeight="1" x14ac:dyDescent="0.25">
      <c r="A52" s="30" t="s">
        <v>72</v>
      </c>
      <c r="B52" s="31" t="s">
        <v>22</v>
      </c>
      <c r="C52" s="32" t="s">
        <v>15</v>
      </c>
      <c r="D52" s="33">
        <f>1.02*1.17</f>
        <v>1.1934</v>
      </c>
      <c r="E52" s="34"/>
      <c r="F52" s="35"/>
      <c r="G52" s="35"/>
      <c r="H52" s="36">
        <v>5007.45</v>
      </c>
      <c r="I52" s="35">
        <f>ROUND(H52*D52,2)</f>
        <v>5975.89</v>
      </c>
      <c r="J52" s="35">
        <f>ROUND(I52*1.2,2)</f>
        <v>7171.07</v>
      </c>
      <c r="K52" s="37">
        <f t="shared" si="30"/>
        <v>5975.89</v>
      </c>
      <c r="L52" s="35">
        <f t="shared" si="30"/>
        <v>7171.07</v>
      </c>
    </row>
    <row r="53" spans="1:13" ht="20.25" customHeight="1" x14ac:dyDescent="0.25">
      <c r="A53" s="39">
        <f>A51+1</f>
        <v>23</v>
      </c>
      <c r="B53" s="43" t="s">
        <v>73</v>
      </c>
      <c r="C53" s="12" t="s">
        <v>15</v>
      </c>
      <c r="D53" s="53">
        <v>1.02</v>
      </c>
      <c r="E53" s="24">
        <v>17265.68</v>
      </c>
      <c r="F53" s="40">
        <f>ROUND(E53*D53,2)</f>
        <v>17610.990000000002</v>
      </c>
      <c r="G53" s="40">
        <f t="shared" ref="G53" si="33">ROUND(F53*1.2,2)</f>
        <v>21133.19</v>
      </c>
      <c r="H53" s="26"/>
      <c r="I53" s="40"/>
      <c r="J53" s="40"/>
      <c r="K53" s="26">
        <f t="shared" si="20"/>
        <v>17610.990000000002</v>
      </c>
      <c r="L53" s="27">
        <f t="shared" si="20"/>
        <v>21133.19</v>
      </c>
    </row>
    <row r="54" spans="1:13" ht="19.5" customHeight="1" x14ac:dyDescent="0.25">
      <c r="A54" s="30" t="s">
        <v>74</v>
      </c>
      <c r="B54" s="54" t="s">
        <v>75</v>
      </c>
      <c r="C54" s="32" t="s">
        <v>58</v>
      </c>
      <c r="D54" s="60">
        <v>1</v>
      </c>
      <c r="E54" s="34"/>
      <c r="F54" s="35"/>
      <c r="G54" s="35"/>
      <c r="H54" s="61">
        <v>14873.33</v>
      </c>
      <c r="I54" s="35">
        <f t="shared" ref="I54" si="34">ROUND(H54*D54,2)</f>
        <v>14873.33</v>
      </c>
      <c r="J54" s="35">
        <f t="shared" ref="J54" si="35">ROUND(I54*1.2,2)</f>
        <v>17848</v>
      </c>
      <c r="K54" s="37">
        <f t="shared" si="20"/>
        <v>14873.33</v>
      </c>
      <c r="L54" s="35">
        <f t="shared" si="20"/>
        <v>17848</v>
      </c>
      <c r="M54" t="s">
        <v>76</v>
      </c>
    </row>
    <row r="55" spans="1:13" ht="18" customHeight="1" x14ac:dyDescent="0.25">
      <c r="A55" s="39">
        <f>A53+1</f>
        <v>24</v>
      </c>
      <c r="B55" s="43" t="s">
        <v>77</v>
      </c>
      <c r="C55" s="12" t="s">
        <v>15</v>
      </c>
      <c r="D55" s="53">
        <v>0.51</v>
      </c>
      <c r="E55" s="24">
        <v>17265.68</v>
      </c>
      <c r="F55" s="40">
        <f>ROUND(E55*D55,2)</f>
        <v>8805.5</v>
      </c>
      <c r="G55" s="40">
        <f t="shared" ref="G55" si="36">ROUND(F55*1.2,2)</f>
        <v>10566.6</v>
      </c>
      <c r="H55" s="26"/>
      <c r="I55" s="40"/>
      <c r="J55" s="40"/>
      <c r="K55" s="26">
        <f t="shared" si="20"/>
        <v>8805.5</v>
      </c>
      <c r="L55" s="27">
        <f t="shared" si="20"/>
        <v>10566.6</v>
      </c>
    </row>
    <row r="56" spans="1:13" ht="18.75" customHeight="1" x14ac:dyDescent="0.25">
      <c r="A56" s="30" t="s">
        <v>78</v>
      </c>
      <c r="B56" s="54" t="s">
        <v>79</v>
      </c>
      <c r="C56" s="32" t="s">
        <v>58</v>
      </c>
      <c r="D56" s="60">
        <v>1</v>
      </c>
      <c r="E56" s="34"/>
      <c r="F56" s="35"/>
      <c r="G56" s="35"/>
      <c r="H56" s="61">
        <v>13934.17</v>
      </c>
      <c r="I56" s="35">
        <f t="shared" ref="I56" si="37">ROUND(H56*D56,2)</f>
        <v>13934.17</v>
      </c>
      <c r="J56" s="35">
        <f t="shared" ref="J56" si="38">ROUND(I56*1.2,2)</f>
        <v>16721</v>
      </c>
      <c r="K56" s="62">
        <f t="shared" ref="K56:L71" si="39">F56+I56</f>
        <v>13934.17</v>
      </c>
      <c r="L56" s="63">
        <f t="shared" si="39"/>
        <v>16721</v>
      </c>
      <c r="M56" t="s">
        <v>76</v>
      </c>
    </row>
    <row r="57" spans="1:13" ht="21.75" customHeight="1" x14ac:dyDescent="0.25">
      <c r="A57" s="39">
        <f>A55+1</f>
        <v>25</v>
      </c>
      <c r="B57" s="52" t="s">
        <v>80</v>
      </c>
      <c r="C57" s="12" t="s">
        <v>15</v>
      </c>
      <c r="D57" s="53">
        <f>2*0.14</f>
        <v>0.28000000000000003</v>
      </c>
      <c r="E57" s="24">
        <v>17265.68</v>
      </c>
      <c r="F57" s="40">
        <f>ROUND(E57*D57,2)</f>
        <v>4834.3900000000003</v>
      </c>
      <c r="G57" s="40">
        <f t="shared" ref="G57" si="40">ROUND(F57*1.2,2)</f>
        <v>5801.27</v>
      </c>
      <c r="H57" s="26"/>
      <c r="I57" s="40"/>
      <c r="J57" s="40"/>
      <c r="K57" s="26">
        <f t="shared" si="39"/>
        <v>4834.3900000000003</v>
      </c>
      <c r="L57" s="27">
        <f t="shared" si="39"/>
        <v>5801.27</v>
      </c>
      <c r="M57" s="59"/>
    </row>
    <row r="58" spans="1:13" ht="20.25" customHeight="1" x14ac:dyDescent="0.25">
      <c r="A58" s="30" t="s">
        <v>81</v>
      </c>
      <c r="B58" s="54" t="s">
        <v>82</v>
      </c>
      <c r="C58" s="32" t="s">
        <v>58</v>
      </c>
      <c r="D58" s="60">
        <v>2</v>
      </c>
      <c r="E58" s="34"/>
      <c r="F58" s="35"/>
      <c r="G58" s="35"/>
      <c r="H58" s="61">
        <v>4267.9399999999996</v>
      </c>
      <c r="I58" s="35">
        <f t="shared" ref="I58" si="41">ROUND(H58*D58,2)</f>
        <v>8535.8799999999992</v>
      </c>
      <c r="J58" s="35">
        <f t="shared" ref="J58" si="42">ROUND(I58*1.2,2)</f>
        <v>10243.06</v>
      </c>
      <c r="K58" s="62">
        <f t="shared" si="39"/>
        <v>8535.8799999999992</v>
      </c>
      <c r="L58" s="63">
        <f t="shared" si="39"/>
        <v>10243.06</v>
      </c>
      <c r="M58" t="s">
        <v>76</v>
      </c>
    </row>
    <row r="59" spans="1:13" ht="20.25" customHeight="1" x14ac:dyDescent="0.25">
      <c r="A59" s="39">
        <f>A57+1</f>
        <v>26</v>
      </c>
      <c r="B59" s="52" t="s">
        <v>83</v>
      </c>
      <c r="C59" s="12" t="s">
        <v>15</v>
      </c>
      <c r="D59" s="53">
        <v>0.59</v>
      </c>
      <c r="E59" s="24">
        <v>17265.68</v>
      </c>
      <c r="F59" s="40">
        <f>ROUND(E59*D59,2)</f>
        <v>10186.75</v>
      </c>
      <c r="G59" s="40">
        <f t="shared" ref="G59" si="43">ROUND(F59*1.2,2)</f>
        <v>12224.1</v>
      </c>
      <c r="H59" s="26"/>
      <c r="I59" s="40"/>
      <c r="J59" s="40"/>
      <c r="K59" s="26">
        <f t="shared" si="39"/>
        <v>10186.75</v>
      </c>
      <c r="L59" s="27">
        <f t="shared" si="39"/>
        <v>12224.1</v>
      </c>
      <c r="M59" s="38"/>
    </row>
    <row r="60" spans="1:13" ht="20.25" customHeight="1" x14ac:dyDescent="0.25">
      <c r="A60" s="30" t="s">
        <v>84</v>
      </c>
      <c r="B60" s="54" t="s">
        <v>85</v>
      </c>
      <c r="C60" s="32" t="s">
        <v>58</v>
      </c>
      <c r="D60" s="60">
        <v>1</v>
      </c>
      <c r="E60" s="34"/>
      <c r="F60" s="35"/>
      <c r="G60" s="35"/>
      <c r="H60" s="61">
        <v>10574.63</v>
      </c>
      <c r="I60" s="35">
        <f t="shared" ref="I60" si="44">ROUND(H60*D60,2)</f>
        <v>10574.63</v>
      </c>
      <c r="J60" s="35">
        <f t="shared" ref="J60" si="45">ROUND(I60*1.2,2)</f>
        <v>12689.56</v>
      </c>
      <c r="K60" s="62">
        <f t="shared" si="39"/>
        <v>10574.63</v>
      </c>
      <c r="L60" s="63">
        <f t="shared" si="39"/>
        <v>12689.56</v>
      </c>
      <c r="M60" t="s">
        <v>76</v>
      </c>
    </row>
    <row r="61" spans="1:13" ht="20.25" customHeight="1" x14ac:dyDescent="0.25">
      <c r="A61" s="39">
        <f>A59+1</f>
        <v>27</v>
      </c>
      <c r="B61" s="52" t="s">
        <v>86</v>
      </c>
      <c r="C61" s="12" t="s">
        <v>15</v>
      </c>
      <c r="D61" s="53">
        <v>0.27</v>
      </c>
      <c r="E61" s="24">
        <v>17265.68</v>
      </c>
      <c r="F61" s="40">
        <f>ROUND(E61*D61,2)</f>
        <v>4661.7299999999996</v>
      </c>
      <c r="G61" s="40">
        <f t="shared" ref="G61" si="46">ROUND(F61*1.2,2)</f>
        <v>5594.08</v>
      </c>
      <c r="H61" s="26"/>
      <c r="I61" s="40"/>
      <c r="J61" s="40"/>
      <c r="K61" s="26">
        <f t="shared" si="39"/>
        <v>4661.7299999999996</v>
      </c>
      <c r="L61" s="27">
        <f t="shared" si="39"/>
        <v>5594.08</v>
      </c>
      <c r="M61" s="45"/>
    </row>
    <row r="62" spans="1:13" ht="20.25" customHeight="1" x14ac:dyDescent="0.25">
      <c r="A62" s="30" t="s">
        <v>87</v>
      </c>
      <c r="B62" s="54" t="s">
        <v>88</v>
      </c>
      <c r="C62" s="32" t="s">
        <v>58</v>
      </c>
      <c r="D62" s="60">
        <v>1</v>
      </c>
      <c r="E62" s="34"/>
      <c r="F62" s="35"/>
      <c r="G62" s="35"/>
      <c r="H62" s="61">
        <v>5177.5</v>
      </c>
      <c r="I62" s="35">
        <f t="shared" ref="I62" si="47">ROUND(H62*D62,2)</f>
        <v>5177.5</v>
      </c>
      <c r="J62" s="35">
        <f t="shared" ref="J62" si="48">ROUND(I62*1.2,2)</f>
        <v>6213</v>
      </c>
      <c r="K62" s="62">
        <f t="shared" si="39"/>
        <v>5177.5</v>
      </c>
      <c r="L62" s="63">
        <f t="shared" si="39"/>
        <v>6213</v>
      </c>
      <c r="M62" s="59" t="s">
        <v>59</v>
      </c>
    </row>
    <row r="63" spans="1:13" ht="20.25" customHeight="1" x14ac:dyDescent="0.25">
      <c r="A63" s="39">
        <f>A61+1</f>
        <v>28</v>
      </c>
      <c r="B63" s="52" t="s">
        <v>89</v>
      </c>
      <c r="C63" s="12" t="s">
        <v>15</v>
      </c>
      <c r="D63" s="53">
        <v>1.1499999999999999</v>
      </c>
      <c r="E63" s="24">
        <v>17265.68</v>
      </c>
      <c r="F63" s="40">
        <f>ROUND(E63*D63,2)</f>
        <v>19855.53</v>
      </c>
      <c r="G63" s="40">
        <f t="shared" ref="G63" si="49">ROUND(F63*1.2,2)</f>
        <v>23826.639999999999</v>
      </c>
      <c r="H63" s="26"/>
      <c r="I63" s="40"/>
      <c r="J63" s="40"/>
      <c r="K63" s="26">
        <f t="shared" si="39"/>
        <v>19855.53</v>
      </c>
      <c r="L63" s="27">
        <f t="shared" si="39"/>
        <v>23826.639999999999</v>
      </c>
      <c r="M63" s="59"/>
    </row>
    <row r="64" spans="1:13" ht="20.25" customHeight="1" x14ac:dyDescent="0.25">
      <c r="A64" s="30" t="s">
        <v>90</v>
      </c>
      <c r="B64" s="54" t="s">
        <v>91</v>
      </c>
      <c r="C64" s="32" t="s">
        <v>58</v>
      </c>
      <c r="D64" s="60">
        <v>1</v>
      </c>
      <c r="E64" s="34"/>
      <c r="F64" s="35"/>
      <c r="G64" s="35"/>
      <c r="H64" s="61">
        <v>14212</v>
      </c>
      <c r="I64" s="35">
        <f t="shared" ref="I64" si="50">ROUND(H64*D64,2)</f>
        <v>14212</v>
      </c>
      <c r="J64" s="35">
        <f t="shared" ref="J64" si="51">ROUND(I64*1.2,2)</f>
        <v>17054.400000000001</v>
      </c>
      <c r="K64" s="62">
        <f t="shared" si="39"/>
        <v>14212</v>
      </c>
      <c r="L64" s="63">
        <f t="shared" si="39"/>
        <v>17054.400000000001</v>
      </c>
      <c r="M64" s="59" t="s">
        <v>59</v>
      </c>
    </row>
    <row r="65" spans="1:13" ht="20.25" customHeight="1" x14ac:dyDescent="0.25">
      <c r="A65" s="39">
        <f>A63+1</f>
        <v>29</v>
      </c>
      <c r="B65" s="52" t="s">
        <v>92</v>
      </c>
      <c r="C65" s="12" t="s">
        <v>15</v>
      </c>
      <c r="D65" s="53">
        <f>0.62*2</f>
        <v>1.24</v>
      </c>
      <c r="E65" s="24">
        <v>17265.68</v>
      </c>
      <c r="F65" s="40">
        <f>ROUND(E65*D65,2)</f>
        <v>21409.439999999999</v>
      </c>
      <c r="G65" s="40">
        <f t="shared" ref="G65" si="52">ROUND(F65*1.2,2)</f>
        <v>25691.33</v>
      </c>
      <c r="H65" s="26"/>
      <c r="I65" s="40"/>
      <c r="J65" s="40"/>
      <c r="K65" s="26">
        <f t="shared" si="39"/>
        <v>21409.439999999999</v>
      </c>
      <c r="L65" s="27">
        <f t="shared" si="39"/>
        <v>25691.33</v>
      </c>
      <c r="M65" s="38"/>
    </row>
    <row r="66" spans="1:13" ht="20.25" customHeight="1" x14ac:dyDescent="0.25">
      <c r="A66" s="30" t="s">
        <v>93</v>
      </c>
      <c r="B66" s="54" t="s">
        <v>94</v>
      </c>
      <c r="C66" s="32" t="s">
        <v>58</v>
      </c>
      <c r="D66" s="60">
        <v>2</v>
      </c>
      <c r="E66" s="34"/>
      <c r="F66" s="35"/>
      <c r="G66" s="35"/>
      <c r="H66" s="61">
        <v>5538.5</v>
      </c>
      <c r="I66" s="35">
        <f t="shared" ref="I66" si="53">ROUND(H66*D66,2)</f>
        <v>11077</v>
      </c>
      <c r="J66" s="35">
        <f t="shared" ref="J66" si="54">ROUND(I66*1.2,2)</f>
        <v>13292.4</v>
      </c>
      <c r="K66" s="62">
        <f t="shared" si="39"/>
        <v>11077</v>
      </c>
      <c r="L66" s="63">
        <f t="shared" si="39"/>
        <v>13292.4</v>
      </c>
      <c r="M66" s="38"/>
    </row>
    <row r="67" spans="1:13" ht="20.25" customHeight="1" x14ac:dyDescent="0.25">
      <c r="A67" s="39">
        <f>A65+1</f>
        <v>30</v>
      </c>
      <c r="B67" s="52" t="s">
        <v>95</v>
      </c>
      <c r="C67" s="12" t="s">
        <v>58</v>
      </c>
      <c r="D67" s="57">
        <v>2</v>
      </c>
      <c r="E67" s="28">
        <f>ROUND(1529*1.33,2)</f>
        <v>2033.57</v>
      </c>
      <c r="F67" s="40">
        <f>ROUND(E67*D67,2)</f>
        <v>4067.14</v>
      </c>
      <c r="G67" s="40">
        <f t="shared" ref="G67" si="55">ROUND(F67*1.2,2)</f>
        <v>4880.57</v>
      </c>
      <c r="H67" s="26"/>
      <c r="I67" s="40"/>
      <c r="J67" s="40"/>
      <c r="K67" s="26">
        <f t="shared" si="39"/>
        <v>4067.14</v>
      </c>
      <c r="L67" s="27">
        <f t="shared" si="39"/>
        <v>4880.57</v>
      </c>
      <c r="M67" s="38"/>
    </row>
    <row r="68" spans="1:13" ht="20.25" customHeight="1" x14ac:dyDescent="0.25">
      <c r="A68" s="30" t="s">
        <v>96</v>
      </c>
      <c r="B68" s="54" t="s">
        <v>97</v>
      </c>
      <c r="C68" s="32" t="s">
        <v>58</v>
      </c>
      <c r="D68" s="60">
        <v>2</v>
      </c>
      <c r="E68" s="34"/>
      <c r="F68" s="35"/>
      <c r="G68" s="35"/>
      <c r="H68" s="61">
        <v>1824</v>
      </c>
      <c r="I68" s="35">
        <f t="shared" ref="I68" si="56">ROUND(H68*D68,2)</f>
        <v>3648</v>
      </c>
      <c r="J68" s="35">
        <f t="shared" ref="J68" si="57">ROUND(I68*1.2,2)</f>
        <v>4377.6000000000004</v>
      </c>
      <c r="K68" s="62">
        <f t="shared" si="39"/>
        <v>3648</v>
      </c>
      <c r="L68" s="63">
        <f t="shared" si="39"/>
        <v>4377.6000000000004</v>
      </c>
      <c r="M68" s="38"/>
    </row>
    <row r="69" spans="1:13" ht="20.25" customHeight="1" x14ac:dyDescent="0.25">
      <c r="A69" s="39">
        <f>A67+1</f>
        <v>31</v>
      </c>
      <c r="B69" s="52" t="s">
        <v>98</v>
      </c>
      <c r="C69" s="12" t="s">
        <v>58</v>
      </c>
      <c r="D69" s="57">
        <v>2</v>
      </c>
      <c r="E69" s="28">
        <f>ROUND(1974*1.33,2)</f>
        <v>2625.42</v>
      </c>
      <c r="F69" s="40">
        <f>ROUND(E69*D69,2)</f>
        <v>5250.84</v>
      </c>
      <c r="G69" s="40">
        <f t="shared" ref="G69" si="58">ROUND(F69*1.2,2)</f>
        <v>6301.01</v>
      </c>
      <c r="H69" s="26"/>
      <c r="I69" s="40"/>
      <c r="J69" s="40"/>
      <c r="K69" s="26">
        <f t="shared" si="39"/>
        <v>5250.84</v>
      </c>
      <c r="L69" s="27">
        <f t="shared" si="39"/>
        <v>6301.01</v>
      </c>
      <c r="M69" s="38"/>
    </row>
    <row r="70" spans="1:13" ht="20.25" customHeight="1" x14ac:dyDescent="0.25">
      <c r="A70" s="30" t="s">
        <v>99</v>
      </c>
      <c r="B70" s="54" t="s">
        <v>100</v>
      </c>
      <c r="C70" s="32" t="s">
        <v>58</v>
      </c>
      <c r="D70" s="60">
        <v>2</v>
      </c>
      <c r="E70" s="34"/>
      <c r="F70" s="35"/>
      <c r="G70" s="35"/>
      <c r="H70" s="61">
        <v>8645</v>
      </c>
      <c r="I70" s="35">
        <f t="shared" ref="I70" si="59">ROUND(H70*D70,2)</f>
        <v>17290</v>
      </c>
      <c r="J70" s="35">
        <f t="shared" ref="J70" si="60">ROUND(I70*1.2,2)</f>
        <v>20748</v>
      </c>
      <c r="K70" s="62">
        <f t="shared" si="39"/>
        <v>17290</v>
      </c>
      <c r="L70" s="63">
        <f t="shared" si="39"/>
        <v>20748</v>
      </c>
      <c r="M70" s="38"/>
    </row>
    <row r="71" spans="1:13" ht="36" customHeight="1" x14ac:dyDescent="0.25">
      <c r="A71" s="39">
        <f>A69+1</f>
        <v>32</v>
      </c>
      <c r="B71" s="52" t="s">
        <v>65</v>
      </c>
      <c r="C71" s="12" t="s">
        <v>34</v>
      </c>
      <c r="D71" s="53">
        <v>18.940000000000001</v>
      </c>
      <c r="E71" s="24">
        <v>144.4</v>
      </c>
      <c r="F71" s="40">
        <f>ROUND(E71*D71,2)</f>
        <v>2734.94</v>
      </c>
      <c r="G71" s="40">
        <f t="shared" ref="G71" si="61">ROUND(F71*1.2,2)</f>
        <v>3281.93</v>
      </c>
      <c r="H71" s="26"/>
      <c r="I71" s="40"/>
      <c r="J71" s="40"/>
      <c r="K71" s="26">
        <f t="shared" si="39"/>
        <v>2734.94</v>
      </c>
      <c r="L71" s="27">
        <f t="shared" si="39"/>
        <v>3281.93</v>
      </c>
      <c r="M71" s="38"/>
    </row>
    <row r="72" spans="1:13" ht="24" customHeight="1" x14ac:dyDescent="0.25">
      <c r="A72" s="30" t="s">
        <v>101</v>
      </c>
      <c r="B72" s="54" t="s">
        <v>51</v>
      </c>
      <c r="C72" s="32" t="s">
        <v>52</v>
      </c>
      <c r="D72" s="55">
        <f>2.83*20/16</f>
        <v>3.5375000000000001</v>
      </c>
      <c r="E72" s="34"/>
      <c r="F72" s="35"/>
      <c r="G72" s="35"/>
      <c r="H72" s="56">
        <v>237.5</v>
      </c>
      <c r="I72" s="35">
        <f>ROUND(H72*D72,2)</f>
        <v>840.16</v>
      </c>
      <c r="J72" s="35">
        <f>ROUND(I72*1.2,2)</f>
        <v>1008.19</v>
      </c>
      <c r="K72" s="37">
        <f t="shared" ref="K72:L74" si="62">F72+I72</f>
        <v>840.16</v>
      </c>
      <c r="L72" s="35">
        <f t="shared" si="62"/>
        <v>1008.19</v>
      </c>
      <c r="M72" s="38"/>
    </row>
    <row r="73" spans="1:13" ht="31.5" customHeight="1" x14ac:dyDescent="0.25">
      <c r="A73" s="20">
        <f>A71+1</f>
        <v>33</v>
      </c>
      <c r="B73" s="21" t="s">
        <v>67</v>
      </c>
      <c r="C73" s="12" t="s">
        <v>34</v>
      </c>
      <c r="D73" s="53">
        <v>18.940000000000001</v>
      </c>
      <c r="E73" s="24">
        <v>299.76</v>
      </c>
      <c r="F73" s="40">
        <f>ROUND(E73*D73,2)</f>
        <v>5677.45</v>
      </c>
      <c r="G73" s="40">
        <f t="shared" ref="G73" si="63">ROUND(F73*1.2,2)</f>
        <v>6812.94</v>
      </c>
      <c r="H73" s="26"/>
      <c r="I73" s="40"/>
      <c r="J73" s="40"/>
      <c r="K73" s="26">
        <f t="shared" si="62"/>
        <v>5677.45</v>
      </c>
      <c r="L73" s="27">
        <f t="shared" si="62"/>
        <v>6812.94</v>
      </c>
      <c r="M73" s="38"/>
    </row>
    <row r="74" spans="1:13" ht="24" customHeight="1" x14ac:dyDescent="0.25">
      <c r="A74" s="30" t="s">
        <v>102</v>
      </c>
      <c r="B74" s="54" t="s">
        <v>55</v>
      </c>
      <c r="C74" s="32" t="s">
        <v>43</v>
      </c>
      <c r="D74" s="55">
        <v>5.68</v>
      </c>
      <c r="E74" s="34"/>
      <c r="F74" s="35"/>
      <c r="G74" s="35"/>
      <c r="H74" s="56">
        <v>296.39999999999998</v>
      </c>
      <c r="I74" s="35">
        <f t="shared" ref="I74" si="64">ROUND(H74*D74,2)</f>
        <v>1683.55</v>
      </c>
      <c r="J74" s="35">
        <f t="shared" ref="J74" si="65">ROUND(I74*1.2,2)</f>
        <v>2020.26</v>
      </c>
      <c r="K74" s="37">
        <f t="shared" si="62"/>
        <v>1683.55</v>
      </c>
      <c r="L74" s="35">
        <f t="shared" si="62"/>
        <v>2020.26</v>
      </c>
      <c r="M74" s="38"/>
    </row>
    <row r="75" spans="1:13" ht="24" customHeight="1" x14ac:dyDescent="0.25">
      <c r="A75" s="30"/>
      <c r="B75" s="11" t="s">
        <v>103</v>
      </c>
      <c r="C75" s="12"/>
      <c r="D75" s="64"/>
      <c r="E75" s="28"/>
      <c r="F75" s="40"/>
      <c r="G75" s="40"/>
      <c r="H75" s="29"/>
      <c r="I75" s="40"/>
      <c r="J75" s="40"/>
      <c r="K75" s="41"/>
      <c r="L75" s="40"/>
      <c r="M75" s="38"/>
    </row>
    <row r="76" spans="1:13" ht="24" customHeight="1" x14ac:dyDescent="0.25">
      <c r="A76" s="39">
        <f>A73+1</f>
        <v>34</v>
      </c>
      <c r="B76" s="52" t="s">
        <v>104</v>
      </c>
      <c r="C76" s="12" t="s">
        <v>58</v>
      </c>
      <c r="D76" s="57">
        <v>2</v>
      </c>
      <c r="E76" s="28">
        <v>2390.1999999999998</v>
      </c>
      <c r="F76" s="40">
        <f>ROUND(E76*D76,2)</f>
        <v>4780.3999999999996</v>
      </c>
      <c r="G76" s="40">
        <f t="shared" ref="G76:G77" si="66">ROUND(F76*1.2,2)</f>
        <v>5736.48</v>
      </c>
      <c r="H76" s="26"/>
      <c r="I76" s="40"/>
      <c r="J76" s="40"/>
      <c r="K76" s="26">
        <f t="shared" ref="K76:L91" si="67">F76+I76</f>
        <v>4780.3999999999996</v>
      </c>
      <c r="L76" s="27">
        <f t="shared" si="67"/>
        <v>5736.48</v>
      </c>
      <c r="M76" s="59" t="s">
        <v>59</v>
      </c>
    </row>
    <row r="77" spans="1:13" ht="24" customHeight="1" x14ac:dyDescent="0.25">
      <c r="A77" s="39">
        <f>A76+1</f>
        <v>35</v>
      </c>
      <c r="B77" s="52" t="s">
        <v>105</v>
      </c>
      <c r="C77" s="12" t="s">
        <v>106</v>
      </c>
      <c r="D77" s="64">
        <v>3</v>
      </c>
      <c r="E77" s="28">
        <v>1450.65</v>
      </c>
      <c r="F77" s="40">
        <f>ROUND(E77*D77,2)</f>
        <v>4351.95</v>
      </c>
      <c r="G77" s="40">
        <f t="shared" si="66"/>
        <v>5222.34</v>
      </c>
      <c r="H77" s="26"/>
      <c r="I77" s="40"/>
      <c r="J77" s="40"/>
      <c r="K77" s="26">
        <f t="shared" si="67"/>
        <v>4351.95</v>
      </c>
      <c r="L77" s="27">
        <f t="shared" si="67"/>
        <v>5222.34</v>
      </c>
      <c r="M77" s="59" t="s">
        <v>107</v>
      </c>
    </row>
    <row r="78" spans="1:13" ht="21" customHeight="1" x14ac:dyDescent="0.25">
      <c r="A78" s="30" t="s">
        <v>108</v>
      </c>
      <c r="B78" s="54" t="s">
        <v>109</v>
      </c>
      <c r="C78" s="32" t="s">
        <v>106</v>
      </c>
      <c r="D78" s="65">
        <f>1.02*3</f>
        <v>3.06</v>
      </c>
      <c r="E78" s="34"/>
      <c r="F78" s="35"/>
      <c r="G78" s="35"/>
      <c r="H78" s="66">
        <v>7288.13</v>
      </c>
      <c r="I78" s="35">
        <f t="shared" ref="I78" si="68">ROUND(H78*D78,2)</f>
        <v>22301.68</v>
      </c>
      <c r="J78" s="35">
        <f t="shared" ref="J78" si="69">ROUND(I78*1.2,2)</f>
        <v>26762.02</v>
      </c>
      <c r="K78" s="37">
        <f t="shared" si="67"/>
        <v>22301.68</v>
      </c>
      <c r="L78" s="35">
        <f t="shared" si="67"/>
        <v>26762.02</v>
      </c>
      <c r="M78" s="59" t="s">
        <v>76</v>
      </c>
    </row>
    <row r="79" spans="1:13" ht="24" customHeight="1" x14ac:dyDescent="0.25">
      <c r="A79" s="20">
        <f>A77+1</f>
        <v>36</v>
      </c>
      <c r="B79" s="52" t="s">
        <v>110</v>
      </c>
      <c r="C79" s="12" t="s">
        <v>58</v>
      </c>
      <c r="D79" s="57">
        <v>1</v>
      </c>
      <c r="E79" s="28">
        <v>8327.42</v>
      </c>
      <c r="F79" s="40">
        <f>ROUND(E79*D79,2)</f>
        <v>8327.42</v>
      </c>
      <c r="G79" s="40">
        <f t="shared" ref="G79:G81" si="70">ROUND(F79*1.2,2)</f>
        <v>9992.9</v>
      </c>
      <c r="H79" s="26"/>
      <c r="I79" s="40"/>
      <c r="J79" s="40"/>
      <c r="K79" s="26">
        <f t="shared" si="67"/>
        <v>8327.42</v>
      </c>
      <c r="L79" s="27">
        <f t="shared" si="67"/>
        <v>9992.9</v>
      </c>
      <c r="M79" s="38"/>
    </row>
    <row r="80" spans="1:13" ht="24" customHeight="1" x14ac:dyDescent="0.25">
      <c r="A80" s="39">
        <f>A79+1</f>
        <v>37</v>
      </c>
      <c r="B80" s="52" t="s">
        <v>111</v>
      </c>
      <c r="C80" s="12" t="s">
        <v>58</v>
      </c>
      <c r="D80" s="57">
        <v>2</v>
      </c>
      <c r="E80" s="28">
        <v>3065.7924999999996</v>
      </c>
      <c r="F80" s="40">
        <f>ROUND(E80*D80,2)</f>
        <v>6131.59</v>
      </c>
      <c r="G80" s="40">
        <f t="shared" si="70"/>
        <v>7357.91</v>
      </c>
      <c r="H80" s="26"/>
      <c r="I80" s="40"/>
      <c r="J80" s="40"/>
      <c r="K80" s="26">
        <f t="shared" si="67"/>
        <v>6131.59</v>
      </c>
      <c r="L80" s="27">
        <f t="shared" si="67"/>
        <v>7357.91</v>
      </c>
      <c r="M80" s="67" t="s">
        <v>107</v>
      </c>
    </row>
    <row r="81" spans="1:13" ht="24" customHeight="1" x14ac:dyDescent="0.25">
      <c r="A81" s="39">
        <f>A80+1</f>
        <v>38</v>
      </c>
      <c r="B81" s="52" t="s">
        <v>112</v>
      </c>
      <c r="C81" s="12" t="s">
        <v>106</v>
      </c>
      <c r="D81" s="64">
        <v>6</v>
      </c>
      <c r="E81" s="28">
        <f>ROUND(938.89,2)</f>
        <v>938.89</v>
      </c>
      <c r="F81" s="40">
        <f>ROUND(E81*D81,2)</f>
        <v>5633.34</v>
      </c>
      <c r="G81" s="40">
        <f t="shared" si="70"/>
        <v>6760.01</v>
      </c>
      <c r="H81" s="26"/>
      <c r="I81" s="40"/>
      <c r="J81" s="40"/>
      <c r="K81" s="26">
        <f t="shared" si="67"/>
        <v>5633.34</v>
      </c>
      <c r="L81" s="27">
        <f t="shared" si="67"/>
        <v>6760.01</v>
      </c>
      <c r="M81" s="45"/>
    </row>
    <row r="82" spans="1:13" ht="24" customHeight="1" x14ac:dyDescent="0.25">
      <c r="A82" s="30" t="s">
        <v>113</v>
      </c>
      <c r="B82" s="54" t="s">
        <v>114</v>
      </c>
      <c r="C82" s="32" t="s">
        <v>106</v>
      </c>
      <c r="D82" s="36">
        <f>1.02*6</f>
        <v>6.12</v>
      </c>
      <c r="E82" s="34"/>
      <c r="F82" s="35"/>
      <c r="G82" s="35"/>
      <c r="H82" s="62">
        <v>821.1</v>
      </c>
      <c r="I82" s="35">
        <f t="shared" ref="I82" si="71">ROUND(H82*D82,2)</f>
        <v>5025.13</v>
      </c>
      <c r="J82" s="35">
        <f t="shared" ref="J82" si="72">ROUND(I82*1.2,2)</f>
        <v>6030.16</v>
      </c>
      <c r="K82" s="37">
        <f t="shared" si="67"/>
        <v>5025.13</v>
      </c>
      <c r="L82" s="35">
        <f t="shared" si="67"/>
        <v>6030.16</v>
      </c>
      <c r="M82" s="59" t="s">
        <v>76</v>
      </c>
    </row>
    <row r="83" spans="1:13" ht="24" customHeight="1" x14ac:dyDescent="0.25">
      <c r="A83" s="39">
        <f>A81+1</f>
        <v>39</v>
      </c>
      <c r="B83" s="52" t="s">
        <v>115</v>
      </c>
      <c r="C83" s="12" t="s">
        <v>106</v>
      </c>
      <c r="D83" s="64">
        <v>122</v>
      </c>
      <c r="E83" s="28">
        <v>2175.65</v>
      </c>
      <c r="F83" s="40">
        <f>ROUND(E83*D83,2)</f>
        <v>265429.3</v>
      </c>
      <c r="G83" s="40">
        <f t="shared" ref="G83" si="73">ROUND(F83*1.2,2)</f>
        <v>318515.15999999997</v>
      </c>
      <c r="H83" s="26"/>
      <c r="I83" s="40"/>
      <c r="J83" s="40"/>
      <c r="K83" s="26">
        <f t="shared" si="67"/>
        <v>265429.3</v>
      </c>
      <c r="L83" s="27">
        <f t="shared" si="67"/>
        <v>318515.15999999997</v>
      </c>
      <c r="M83" s="38"/>
    </row>
    <row r="84" spans="1:13" ht="24" customHeight="1" x14ac:dyDescent="0.25">
      <c r="A84" s="30" t="s">
        <v>116</v>
      </c>
      <c r="B84" s="54" t="s">
        <v>117</v>
      </c>
      <c r="C84" s="32" t="s">
        <v>106</v>
      </c>
      <c r="D84" s="36">
        <f>1.02*122</f>
        <v>124.44</v>
      </c>
      <c r="E84" s="34"/>
      <c r="F84" s="35"/>
      <c r="G84" s="35"/>
      <c r="H84" s="62">
        <v>3644.2</v>
      </c>
      <c r="I84" s="35">
        <f t="shared" ref="I84" si="74">ROUND(H84*D84,2)</f>
        <v>453484.25</v>
      </c>
      <c r="J84" s="35">
        <f t="shared" ref="J84" si="75">ROUND(I84*1.2,2)</f>
        <v>544181.1</v>
      </c>
      <c r="K84" s="37">
        <f t="shared" si="67"/>
        <v>453484.25</v>
      </c>
      <c r="L84" s="35">
        <f t="shared" si="67"/>
        <v>544181.1</v>
      </c>
      <c r="M84" s="38"/>
    </row>
    <row r="85" spans="1:13" ht="24" customHeight="1" x14ac:dyDescent="0.25">
      <c r="A85" s="39">
        <f>A83+1</f>
        <v>40</v>
      </c>
      <c r="B85" s="52" t="s">
        <v>118</v>
      </c>
      <c r="C85" s="12" t="s">
        <v>58</v>
      </c>
      <c r="D85" s="57">
        <v>10</v>
      </c>
      <c r="E85" s="28">
        <v>4223.7</v>
      </c>
      <c r="F85" s="40">
        <f>ROUND(E85*D85,2)</f>
        <v>42237</v>
      </c>
      <c r="G85" s="40">
        <f t="shared" ref="G85" si="76">ROUND(F85*1.2,2)</f>
        <v>50684.4</v>
      </c>
      <c r="H85" s="26"/>
      <c r="I85" s="40"/>
      <c r="J85" s="40"/>
      <c r="K85" s="26">
        <f t="shared" si="67"/>
        <v>42237</v>
      </c>
      <c r="L85" s="27">
        <f t="shared" si="67"/>
        <v>50684.4</v>
      </c>
      <c r="M85" s="38"/>
    </row>
    <row r="86" spans="1:13" ht="24" customHeight="1" x14ac:dyDescent="0.25">
      <c r="A86" s="30" t="s">
        <v>119</v>
      </c>
      <c r="B86" s="54" t="s">
        <v>120</v>
      </c>
      <c r="C86" s="32" t="s">
        <v>58</v>
      </c>
      <c r="D86" s="68">
        <v>10</v>
      </c>
      <c r="E86" s="34"/>
      <c r="F86" s="35"/>
      <c r="G86" s="35"/>
      <c r="H86" s="62">
        <v>17412.55</v>
      </c>
      <c r="I86" s="35">
        <f t="shared" ref="I86" si="77">ROUND(H86*D86,2)</f>
        <v>174125.5</v>
      </c>
      <c r="J86" s="35">
        <f t="shared" ref="J86" si="78">ROUND(I86*1.2,2)</f>
        <v>208950.6</v>
      </c>
      <c r="K86" s="37">
        <f t="shared" si="67"/>
        <v>174125.5</v>
      </c>
      <c r="L86" s="35">
        <f t="shared" si="67"/>
        <v>208950.6</v>
      </c>
      <c r="M86" s="38"/>
    </row>
    <row r="87" spans="1:13" ht="24" customHeight="1" x14ac:dyDescent="0.25">
      <c r="A87" s="39">
        <f>A85+1</f>
        <v>41</v>
      </c>
      <c r="B87" s="52" t="s">
        <v>121</v>
      </c>
      <c r="C87" s="12" t="s">
        <v>122</v>
      </c>
      <c r="D87" s="64">
        <v>28</v>
      </c>
      <c r="E87" s="28">
        <f>ROUND(1773.42*1.33,2)</f>
        <v>2358.65</v>
      </c>
      <c r="F87" s="40">
        <f>ROUND(E87*D87,2)</f>
        <v>66042.2</v>
      </c>
      <c r="G87" s="40">
        <f t="shared" ref="G87" si="79">ROUND(F87*1.2,2)</f>
        <v>79250.64</v>
      </c>
      <c r="H87" s="26"/>
      <c r="I87" s="40"/>
      <c r="J87" s="40"/>
      <c r="K87" s="26">
        <f t="shared" si="67"/>
        <v>66042.2</v>
      </c>
      <c r="L87" s="27">
        <f t="shared" si="67"/>
        <v>79250.64</v>
      </c>
      <c r="M87" s="38"/>
    </row>
    <row r="88" spans="1:13" ht="31.5" customHeight="1" x14ac:dyDescent="0.25">
      <c r="A88" s="30" t="s">
        <v>123</v>
      </c>
      <c r="B88" s="54" t="s">
        <v>124</v>
      </c>
      <c r="C88" s="32" t="s">
        <v>122</v>
      </c>
      <c r="D88" s="68">
        <v>28</v>
      </c>
      <c r="E88" s="69"/>
      <c r="F88" s="35"/>
      <c r="G88" s="35"/>
      <c r="H88" s="62">
        <v>1721.4</v>
      </c>
      <c r="I88" s="35">
        <f>ROUND(H88*D88,2)</f>
        <v>48199.199999999997</v>
      </c>
      <c r="J88" s="35">
        <f>ROUND(I88*1.2,2)</f>
        <v>57839.040000000001</v>
      </c>
      <c r="K88" s="37">
        <f t="shared" si="67"/>
        <v>48199.199999999997</v>
      </c>
      <c r="L88" s="35">
        <f t="shared" si="67"/>
        <v>57839.040000000001</v>
      </c>
      <c r="M88" s="38"/>
    </row>
    <row r="89" spans="1:13" ht="24" customHeight="1" x14ac:dyDescent="0.25">
      <c r="A89" s="39">
        <f>A87+1</f>
        <v>42</v>
      </c>
      <c r="B89" s="52" t="s">
        <v>125</v>
      </c>
      <c r="C89" s="12" t="s">
        <v>122</v>
      </c>
      <c r="D89" s="64">
        <v>2</v>
      </c>
      <c r="E89" s="28">
        <f>ROUND(1773.42*1.33,2)</f>
        <v>2358.65</v>
      </c>
      <c r="F89" s="40">
        <f>ROUND(E89*D89,2)</f>
        <v>4717.3</v>
      </c>
      <c r="G89" s="40">
        <f t="shared" ref="G89" si="80">ROUND(F89*1.2,2)</f>
        <v>5660.76</v>
      </c>
      <c r="H89" s="26"/>
      <c r="I89" s="40"/>
      <c r="J89" s="40"/>
      <c r="K89" s="26">
        <f t="shared" si="67"/>
        <v>4717.3</v>
      </c>
      <c r="L89" s="27">
        <f t="shared" si="67"/>
        <v>5660.76</v>
      </c>
      <c r="M89" s="38"/>
    </row>
    <row r="90" spans="1:13" ht="29.25" customHeight="1" x14ac:dyDescent="0.25">
      <c r="A90" s="30" t="s">
        <v>126</v>
      </c>
      <c r="B90" s="54" t="s">
        <v>124</v>
      </c>
      <c r="C90" s="32" t="s">
        <v>122</v>
      </c>
      <c r="D90" s="68">
        <v>2</v>
      </c>
      <c r="E90" s="69"/>
      <c r="F90" s="35"/>
      <c r="G90" s="35"/>
      <c r="H90" s="62">
        <v>1586.5</v>
      </c>
      <c r="I90" s="35">
        <f>ROUND(H90*D90,2)</f>
        <v>3173</v>
      </c>
      <c r="J90" s="35">
        <f>ROUND(I90*1.2,2)</f>
        <v>3807.6</v>
      </c>
      <c r="K90" s="37">
        <f t="shared" si="67"/>
        <v>3173</v>
      </c>
      <c r="L90" s="35">
        <f t="shared" si="67"/>
        <v>3807.6</v>
      </c>
      <c r="M90" s="38"/>
    </row>
    <row r="91" spans="1:13" ht="24" customHeight="1" x14ac:dyDescent="0.25">
      <c r="A91" s="39">
        <f>A89+1</f>
        <v>43</v>
      </c>
      <c r="B91" s="52" t="s">
        <v>127</v>
      </c>
      <c r="C91" s="12" t="s">
        <v>106</v>
      </c>
      <c r="D91" s="64">
        <v>20</v>
      </c>
      <c r="E91" s="28">
        <v>2175.65</v>
      </c>
      <c r="F91" s="40">
        <f>ROUND(E91*D91,2)</f>
        <v>43513</v>
      </c>
      <c r="G91" s="40">
        <f t="shared" ref="G91" si="81">ROUND(F91*1.2,2)</f>
        <v>52215.6</v>
      </c>
      <c r="H91" s="26"/>
      <c r="I91" s="40"/>
      <c r="J91" s="40"/>
      <c r="K91" s="26">
        <f t="shared" si="67"/>
        <v>43513</v>
      </c>
      <c r="L91" s="27">
        <f t="shared" si="67"/>
        <v>52215.6</v>
      </c>
      <c r="M91" s="38"/>
    </row>
    <row r="92" spans="1:13" ht="24" customHeight="1" x14ac:dyDescent="0.25">
      <c r="A92" s="30" t="s">
        <v>128</v>
      </c>
      <c r="B92" s="54" t="s">
        <v>129</v>
      </c>
      <c r="C92" s="32" t="s">
        <v>106</v>
      </c>
      <c r="D92" s="36">
        <f>1.02*20</f>
        <v>20.399999999999999</v>
      </c>
      <c r="E92" s="34"/>
      <c r="F92" s="35"/>
      <c r="G92" s="35"/>
      <c r="H92" s="62">
        <v>3229.6</v>
      </c>
      <c r="I92" s="35">
        <f t="shared" ref="I92" si="82">ROUND(H92*D92,2)</f>
        <v>65883.839999999997</v>
      </c>
      <c r="J92" s="35">
        <f t="shared" ref="J92" si="83">ROUND(I92*1.2,2)</f>
        <v>79060.61</v>
      </c>
      <c r="K92" s="37">
        <f t="shared" ref="K92:L104" si="84">F92+I92</f>
        <v>65883.839999999997</v>
      </c>
      <c r="L92" s="35">
        <f t="shared" si="84"/>
        <v>79060.61</v>
      </c>
      <c r="M92" s="59" t="s">
        <v>76</v>
      </c>
    </row>
    <row r="93" spans="1:13" ht="34.5" customHeight="1" x14ac:dyDescent="0.25">
      <c r="A93" s="30" t="s">
        <v>130</v>
      </c>
      <c r="B93" s="54" t="s">
        <v>131</v>
      </c>
      <c r="C93" s="32" t="s">
        <v>58</v>
      </c>
      <c r="D93" s="68">
        <v>2</v>
      </c>
      <c r="E93" s="69"/>
      <c r="F93" s="35"/>
      <c r="G93" s="35"/>
      <c r="H93" s="62">
        <v>5348.5</v>
      </c>
      <c r="I93" s="35">
        <f>ROUND(H93*D93,2)</f>
        <v>10697</v>
      </c>
      <c r="J93" s="35">
        <f>ROUND(I93*1.2,2)</f>
        <v>12836.4</v>
      </c>
      <c r="K93" s="37">
        <f t="shared" si="84"/>
        <v>10697</v>
      </c>
      <c r="L93" s="35">
        <f t="shared" si="84"/>
        <v>12836.4</v>
      </c>
      <c r="M93" s="38"/>
    </row>
    <row r="94" spans="1:13" ht="24" customHeight="1" x14ac:dyDescent="0.25">
      <c r="A94" s="39">
        <f>A91+1</f>
        <v>44</v>
      </c>
      <c r="B94" s="52" t="s">
        <v>132</v>
      </c>
      <c r="C94" s="12" t="s">
        <v>58</v>
      </c>
      <c r="D94" s="57">
        <v>6</v>
      </c>
      <c r="E94" s="28">
        <v>4223.7</v>
      </c>
      <c r="F94" s="40">
        <f>ROUND(E94*D94,2)</f>
        <v>25342.2</v>
      </c>
      <c r="G94" s="40">
        <f t="shared" ref="G94" si="85">ROUND(F94*1.2,2)</f>
        <v>30410.639999999999</v>
      </c>
      <c r="H94" s="26"/>
      <c r="I94" s="40"/>
      <c r="J94" s="40"/>
      <c r="K94" s="26">
        <f t="shared" si="84"/>
        <v>25342.2</v>
      </c>
      <c r="L94" s="27">
        <f t="shared" si="84"/>
        <v>30410.639999999999</v>
      </c>
      <c r="M94" s="38"/>
    </row>
    <row r="95" spans="1:13" ht="24" customHeight="1" x14ac:dyDescent="0.25">
      <c r="A95" s="30" t="s">
        <v>133</v>
      </c>
      <c r="B95" s="54" t="s">
        <v>134</v>
      </c>
      <c r="C95" s="32" t="s">
        <v>58</v>
      </c>
      <c r="D95" s="68">
        <v>6</v>
      </c>
      <c r="E95" s="34"/>
      <c r="F95" s="35"/>
      <c r="G95" s="35"/>
      <c r="H95" s="62">
        <v>17412.55</v>
      </c>
      <c r="I95" s="35">
        <f t="shared" ref="I95" si="86">ROUND(H95*D95,2)</f>
        <v>104475.3</v>
      </c>
      <c r="J95" s="35">
        <f t="shared" ref="J95" si="87">ROUND(I95*1.2,2)</f>
        <v>125370.36</v>
      </c>
      <c r="K95" s="37">
        <f t="shared" si="84"/>
        <v>104475.3</v>
      </c>
      <c r="L95" s="35">
        <f t="shared" si="84"/>
        <v>125370.36</v>
      </c>
      <c r="M95" s="38"/>
    </row>
    <row r="96" spans="1:13" ht="24" customHeight="1" x14ac:dyDescent="0.25">
      <c r="A96" s="39">
        <f>A94+1</f>
        <v>45</v>
      </c>
      <c r="B96" s="52" t="s">
        <v>135</v>
      </c>
      <c r="C96" s="12" t="s">
        <v>122</v>
      </c>
      <c r="D96" s="64">
        <v>16</v>
      </c>
      <c r="E96" s="28">
        <f>ROUND(1773.42*1.33,2)</f>
        <v>2358.65</v>
      </c>
      <c r="F96" s="40">
        <f>ROUND(E96*D96,2)</f>
        <v>37738.400000000001</v>
      </c>
      <c r="G96" s="40">
        <f t="shared" ref="G96" si="88">ROUND(F96*1.2,2)</f>
        <v>45286.080000000002</v>
      </c>
      <c r="H96" s="26"/>
      <c r="I96" s="40"/>
      <c r="J96" s="40"/>
      <c r="K96" s="26">
        <f t="shared" si="84"/>
        <v>37738.400000000001</v>
      </c>
      <c r="L96" s="27">
        <f t="shared" si="84"/>
        <v>45286.080000000002</v>
      </c>
      <c r="M96" s="38"/>
    </row>
    <row r="97" spans="1:13" ht="30" customHeight="1" x14ac:dyDescent="0.25">
      <c r="A97" s="30" t="s">
        <v>136</v>
      </c>
      <c r="B97" s="54" t="s">
        <v>124</v>
      </c>
      <c r="C97" s="32" t="s">
        <v>122</v>
      </c>
      <c r="D97" s="68">
        <v>16</v>
      </c>
      <c r="E97" s="69"/>
      <c r="F97" s="35"/>
      <c r="G97" s="35"/>
      <c r="H97" s="62">
        <v>1586.5</v>
      </c>
      <c r="I97" s="35">
        <f>ROUND(H97*D97,2)</f>
        <v>25384</v>
      </c>
      <c r="J97" s="35">
        <f>ROUND(I97*1.2,2)</f>
        <v>30460.799999999999</v>
      </c>
      <c r="K97" s="37">
        <f t="shared" si="84"/>
        <v>25384</v>
      </c>
      <c r="L97" s="35">
        <f t="shared" si="84"/>
        <v>30460.799999999999</v>
      </c>
      <c r="M97" s="38"/>
    </row>
    <row r="98" spans="1:13" ht="46.5" customHeight="1" x14ac:dyDescent="0.25">
      <c r="A98" s="39">
        <f>A96+1</f>
        <v>46</v>
      </c>
      <c r="B98" s="52" t="s">
        <v>137</v>
      </c>
      <c r="C98" s="12" t="s">
        <v>15</v>
      </c>
      <c r="D98" s="70">
        <v>1.974</v>
      </c>
      <c r="E98" s="28">
        <v>80533.5</v>
      </c>
      <c r="F98" s="40">
        <f>ROUND(E98*D98,2)</f>
        <v>158973.13</v>
      </c>
      <c r="G98" s="40">
        <f t="shared" ref="G98" si="89">ROUND(F98*1.2,2)</f>
        <v>190767.76</v>
      </c>
      <c r="H98" s="26"/>
      <c r="I98" s="40"/>
      <c r="J98" s="40"/>
      <c r="K98" s="26">
        <f t="shared" si="84"/>
        <v>158973.13</v>
      </c>
      <c r="L98" s="27">
        <f t="shared" si="84"/>
        <v>190767.76</v>
      </c>
      <c r="M98" s="45"/>
    </row>
    <row r="99" spans="1:13" ht="24" customHeight="1" x14ac:dyDescent="0.25">
      <c r="A99" s="30" t="s">
        <v>138</v>
      </c>
      <c r="B99" s="54" t="s">
        <v>139</v>
      </c>
      <c r="C99" s="32" t="s">
        <v>15</v>
      </c>
      <c r="D99" s="71">
        <v>2.1318999999999999</v>
      </c>
      <c r="E99" s="69"/>
      <c r="F99" s="35"/>
      <c r="G99" s="35"/>
      <c r="H99" s="62">
        <v>4423.67</v>
      </c>
      <c r="I99" s="35">
        <f>ROUND(H99*D99,2)</f>
        <v>9430.82</v>
      </c>
      <c r="J99" s="35">
        <f>ROUND(I99*1.2,2)</f>
        <v>11316.98</v>
      </c>
      <c r="K99" s="37">
        <f t="shared" si="84"/>
        <v>9430.82</v>
      </c>
      <c r="L99" s="35">
        <f t="shared" si="84"/>
        <v>11316.98</v>
      </c>
      <c r="M99" s="59" t="s">
        <v>76</v>
      </c>
    </row>
    <row r="100" spans="1:13" ht="26.25" customHeight="1" x14ac:dyDescent="0.25">
      <c r="A100" s="30" t="s">
        <v>140</v>
      </c>
      <c r="B100" s="54" t="s">
        <v>141</v>
      </c>
      <c r="C100" s="32" t="s">
        <v>36</v>
      </c>
      <c r="D100" s="71">
        <f>0.038</f>
        <v>3.7999999999999999E-2</v>
      </c>
      <c r="E100" s="69"/>
      <c r="F100" s="35"/>
      <c r="G100" s="35"/>
      <c r="H100" s="62">
        <v>100807.08</v>
      </c>
      <c r="I100" s="35">
        <f>ROUND(H100*D100,2)</f>
        <v>3830.67</v>
      </c>
      <c r="J100" s="35">
        <f>ROUND(I100*1.2,2)</f>
        <v>4596.8</v>
      </c>
      <c r="K100" s="37">
        <f t="shared" si="84"/>
        <v>3830.67</v>
      </c>
      <c r="L100" s="35">
        <f t="shared" si="84"/>
        <v>4596.8</v>
      </c>
      <c r="M100" s="38"/>
    </row>
    <row r="101" spans="1:13" ht="34.5" customHeight="1" x14ac:dyDescent="0.25">
      <c r="A101" s="39">
        <f>A98+1</f>
        <v>47</v>
      </c>
      <c r="B101" s="52" t="s">
        <v>142</v>
      </c>
      <c r="C101" s="12" t="s">
        <v>58</v>
      </c>
      <c r="D101" s="64">
        <v>4</v>
      </c>
      <c r="E101" s="28">
        <v>8041.99</v>
      </c>
      <c r="F101" s="40">
        <f>ROUND(E101*D101,2)</f>
        <v>32167.96</v>
      </c>
      <c r="G101" s="40">
        <f t="shared" ref="G101" si="90">ROUND(F101*1.2,2)</f>
        <v>38601.550000000003</v>
      </c>
      <c r="H101" s="26"/>
      <c r="I101" s="40"/>
      <c r="J101" s="40"/>
      <c r="K101" s="26">
        <f t="shared" si="84"/>
        <v>32167.96</v>
      </c>
      <c r="L101" s="27">
        <f t="shared" si="84"/>
        <v>38601.550000000003</v>
      </c>
      <c r="M101" s="45"/>
    </row>
    <row r="102" spans="1:13" ht="24" customHeight="1" x14ac:dyDescent="0.25">
      <c r="A102" s="30" t="s">
        <v>143</v>
      </c>
      <c r="B102" s="54" t="s">
        <v>139</v>
      </c>
      <c r="C102" s="32" t="s">
        <v>15</v>
      </c>
      <c r="D102" s="71">
        <f>0.082*4</f>
        <v>0.32800000000000001</v>
      </c>
      <c r="E102" s="69"/>
      <c r="F102" s="35"/>
      <c r="G102" s="35"/>
      <c r="H102" s="62">
        <v>4423.67</v>
      </c>
      <c r="I102" s="35">
        <f>ROUND(H102*D102,2)</f>
        <v>1450.96</v>
      </c>
      <c r="J102" s="35">
        <f>ROUND(I102*1.2,2)</f>
        <v>1741.15</v>
      </c>
      <c r="K102" s="37">
        <f t="shared" si="84"/>
        <v>1450.96</v>
      </c>
      <c r="L102" s="35">
        <f t="shared" si="84"/>
        <v>1741.15</v>
      </c>
      <c r="M102" s="59" t="s">
        <v>76</v>
      </c>
    </row>
    <row r="103" spans="1:13" ht="24" customHeight="1" x14ac:dyDescent="0.25">
      <c r="A103" s="30" t="s">
        <v>144</v>
      </c>
      <c r="B103" s="54" t="s">
        <v>145</v>
      </c>
      <c r="C103" s="32" t="s">
        <v>36</v>
      </c>
      <c r="D103" s="71">
        <f>ROUND(0.1027*4/10,3)</f>
        <v>4.1000000000000002E-2</v>
      </c>
      <c r="E103" s="69"/>
      <c r="F103" s="35"/>
      <c r="G103" s="35"/>
      <c r="H103" s="62">
        <v>100807.08</v>
      </c>
      <c r="I103" s="35">
        <f>ROUND(H103*D103,2)</f>
        <v>4133.09</v>
      </c>
      <c r="J103" s="35">
        <f>ROUND(I103*1.2,2)</f>
        <v>4959.71</v>
      </c>
      <c r="K103" s="37">
        <f t="shared" si="84"/>
        <v>4133.09</v>
      </c>
      <c r="L103" s="35">
        <f t="shared" si="84"/>
        <v>4959.71</v>
      </c>
      <c r="M103" s="38"/>
    </row>
    <row r="104" spans="1:13" ht="24" customHeight="1" x14ac:dyDescent="0.25">
      <c r="A104" s="39">
        <f>A101+1</f>
        <v>48</v>
      </c>
      <c r="B104" s="52" t="s">
        <v>146</v>
      </c>
      <c r="C104" s="12" t="s">
        <v>58</v>
      </c>
      <c r="D104" s="64">
        <v>38</v>
      </c>
      <c r="E104" s="28">
        <v>10239.1</v>
      </c>
      <c r="F104" s="40">
        <f>ROUND(E104*D104,2)</f>
        <v>389085.8</v>
      </c>
      <c r="G104" s="40">
        <f t="shared" ref="G104" si="91">ROUND(F104*1.2,2)</f>
        <v>466902.96</v>
      </c>
      <c r="H104" s="26"/>
      <c r="I104" s="40"/>
      <c r="J104" s="40"/>
      <c r="K104" s="26">
        <f t="shared" si="84"/>
        <v>389085.8</v>
      </c>
      <c r="L104" s="27">
        <f t="shared" si="84"/>
        <v>466902.96</v>
      </c>
      <c r="M104" s="38"/>
    </row>
    <row r="105" spans="1:13" ht="24" customHeight="1" x14ac:dyDescent="0.25">
      <c r="A105" s="39"/>
      <c r="B105" s="46" t="s">
        <v>147</v>
      </c>
      <c r="C105" s="12"/>
      <c r="D105" s="64"/>
      <c r="E105" s="28"/>
      <c r="F105" s="40"/>
      <c r="G105" s="40"/>
      <c r="H105" s="26"/>
      <c r="I105" s="40"/>
      <c r="J105" s="40"/>
      <c r="K105" s="26"/>
      <c r="L105" s="27"/>
      <c r="M105" s="38"/>
    </row>
    <row r="106" spans="1:13" ht="34.5" customHeight="1" x14ac:dyDescent="0.25">
      <c r="A106" s="39">
        <f>A104+1</f>
        <v>49</v>
      </c>
      <c r="B106" s="52" t="s">
        <v>148</v>
      </c>
      <c r="C106" s="12" t="s">
        <v>58</v>
      </c>
      <c r="D106" s="64">
        <v>2</v>
      </c>
      <c r="E106" s="28">
        <v>13159.94</v>
      </c>
      <c r="F106" s="40">
        <f>ROUND(E106*D106,2)</f>
        <v>26319.88</v>
      </c>
      <c r="G106" s="40">
        <f t="shared" ref="G106" si="92">ROUND(F106*1.2,2)</f>
        <v>31583.86</v>
      </c>
      <c r="H106" s="26"/>
      <c r="I106" s="40"/>
      <c r="J106" s="40"/>
      <c r="K106" s="26">
        <f t="shared" ref="K106:L115" si="93">F106+I106</f>
        <v>26319.88</v>
      </c>
      <c r="L106" s="27">
        <f t="shared" si="93"/>
        <v>31583.86</v>
      </c>
      <c r="M106" s="38"/>
    </row>
    <row r="107" spans="1:13" ht="30" customHeight="1" x14ac:dyDescent="0.25">
      <c r="A107" s="30" t="s">
        <v>149</v>
      </c>
      <c r="B107" s="54" t="s">
        <v>150</v>
      </c>
      <c r="C107" s="32" t="s">
        <v>58</v>
      </c>
      <c r="D107" s="68">
        <v>2</v>
      </c>
      <c r="E107" s="34"/>
      <c r="F107" s="35"/>
      <c r="G107" s="35"/>
      <c r="H107" s="62">
        <v>45970.5</v>
      </c>
      <c r="I107" s="35">
        <f t="shared" ref="I107" si="94">ROUND(H107*D107,2)</f>
        <v>91941</v>
      </c>
      <c r="J107" s="35">
        <f t="shared" ref="J107" si="95">ROUND(I107*1.2,2)</f>
        <v>110329.2</v>
      </c>
      <c r="K107" s="37">
        <f t="shared" si="93"/>
        <v>91941</v>
      </c>
      <c r="L107" s="35">
        <f t="shared" si="93"/>
        <v>110329.2</v>
      </c>
      <c r="M107" s="38"/>
    </row>
    <row r="108" spans="1:13" ht="31.5" customHeight="1" x14ac:dyDescent="0.25">
      <c r="A108" s="39">
        <f>A106+1</f>
        <v>50</v>
      </c>
      <c r="B108" s="52" t="s">
        <v>151</v>
      </c>
      <c r="C108" s="12" t="s">
        <v>58</v>
      </c>
      <c r="D108" s="64">
        <v>2</v>
      </c>
      <c r="E108" s="28">
        <v>22382.13</v>
      </c>
      <c r="F108" s="40">
        <f>ROUND(E108*D108,2)</f>
        <v>44764.26</v>
      </c>
      <c r="G108" s="40">
        <f t="shared" ref="G108" si="96">ROUND(F108*1.2,2)</f>
        <v>53717.11</v>
      </c>
      <c r="H108" s="26"/>
      <c r="I108" s="40"/>
      <c r="J108" s="40"/>
      <c r="K108" s="26">
        <f t="shared" si="93"/>
        <v>44764.26</v>
      </c>
      <c r="L108" s="27">
        <f t="shared" si="93"/>
        <v>53717.11</v>
      </c>
      <c r="M108" s="45"/>
    </row>
    <row r="109" spans="1:13" ht="32.25" customHeight="1" x14ac:dyDescent="0.25">
      <c r="A109" s="30" t="s">
        <v>152</v>
      </c>
      <c r="B109" s="54" t="s">
        <v>153</v>
      </c>
      <c r="C109" s="32" t="s">
        <v>58</v>
      </c>
      <c r="D109" s="68">
        <v>2</v>
      </c>
      <c r="E109" s="34"/>
      <c r="F109" s="35"/>
      <c r="G109" s="35"/>
      <c r="H109" s="62">
        <v>11596.03</v>
      </c>
      <c r="I109" s="35">
        <f t="shared" ref="I109" si="97">ROUND(H109*D109,2)</f>
        <v>23192.06</v>
      </c>
      <c r="J109" s="35">
        <f t="shared" ref="J109" si="98">ROUND(I109*1.2,2)</f>
        <v>27830.47</v>
      </c>
      <c r="K109" s="37">
        <f t="shared" si="93"/>
        <v>23192.06</v>
      </c>
      <c r="L109" s="35">
        <f t="shared" si="93"/>
        <v>27830.47</v>
      </c>
      <c r="M109" s="59" t="s">
        <v>76</v>
      </c>
    </row>
    <row r="110" spans="1:13" ht="35.25" customHeight="1" x14ac:dyDescent="0.25">
      <c r="A110" s="39">
        <f>A108+1</f>
        <v>51</v>
      </c>
      <c r="B110" s="52" t="s">
        <v>154</v>
      </c>
      <c r="C110" s="12" t="s">
        <v>58</v>
      </c>
      <c r="D110" s="64">
        <v>2</v>
      </c>
      <c r="E110" s="28">
        <v>11115.54</v>
      </c>
      <c r="F110" s="40">
        <f>ROUND(E110*D110,2)</f>
        <v>22231.08</v>
      </c>
      <c r="G110" s="40">
        <f t="shared" ref="G110" si="99">ROUND(F110*1.2,2)</f>
        <v>26677.3</v>
      </c>
      <c r="H110" s="26"/>
      <c r="I110" s="40"/>
      <c r="J110" s="40"/>
      <c r="K110" s="26">
        <f t="shared" si="93"/>
        <v>22231.08</v>
      </c>
      <c r="L110" s="27">
        <f t="shared" si="93"/>
        <v>26677.3</v>
      </c>
      <c r="M110" s="38"/>
    </row>
    <row r="111" spans="1:13" ht="34.5" customHeight="1" x14ac:dyDescent="0.25">
      <c r="A111" s="30" t="s">
        <v>155</v>
      </c>
      <c r="B111" s="54" t="s">
        <v>156</v>
      </c>
      <c r="C111" s="32" t="s">
        <v>58</v>
      </c>
      <c r="D111" s="68">
        <v>2</v>
      </c>
      <c r="E111" s="34"/>
      <c r="F111" s="35"/>
      <c r="G111" s="35"/>
      <c r="H111" s="62">
        <v>3895</v>
      </c>
      <c r="I111" s="35">
        <f t="shared" ref="I111" si="100">ROUND(H111*D111,2)</f>
        <v>7790</v>
      </c>
      <c r="J111" s="35">
        <f t="shared" ref="J111" si="101">ROUND(I111*1.2,2)</f>
        <v>9348</v>
      </c>
      <c r="K111" s="37">
        <f t="shared" si="93"/>
        <v>7790</v>
      </c>
      <c r="L111" s="35">
        <f t="shared" si="93"/>
        <v>9348</v>
      </c>
      <c r="M111" s="38"/>
    </row>
    <row r="112" spans="1:13" ht="31.5" customHeight="1" x14ac:dyDescent="0.25">
      <c r="A112" s="39">
        <f>A110+1</f>
        <v>52</v>
      </c>
      <c r="B112" s="52" t="s">
        <v>157</v>
      </c>
      <c r="C112" s="12" t="s">
        <v>58</v>
      </c>
      <c r="D112" s="64">
        <v>2</v>
      </c>
      <c r="E112" s="28">
        <v>22382.13</v>
      </c>
      <c r="F112" s="40">
        <f>ROUND(E112*D112,2)</f>
        <v>44764.26</v>
      </c>
      <c r="G112" s="40">
        <f t="shared" ref="G112" si="102">ROUND(F112*1.2,2)</f>
        <v>53717.11</v>
      </c>
      <c r="H112" s="26"/>
      <c r="I112" s="40"/>
      <c r="J112" s="40"/>
      <c r="K112" s="26">
        <f t="shared" si="93"/>
        <v>44764.26</v>
      </c>
      <c r="L112" s="27">
        <f t="shared" si="93"/>
        <v>53717.11</v>
      </c>
      <c r="M112" s="45"/>
    </row>
    <row r="113" spans="1:13" ht="27.75" customHeight="1" x14ac:dyDescent="0.25">
      <c r="A113" s="30" t="s">
        <v>158</v>
      </c>
      <c r="B113" s="54" t="s">
        <v>159</v>
      </c>
      <c r="C113" s="32" t="s">
        <v>58</v>
      </c>
      <c r="D113" s="68">
        <v>2</v>
      </c>
      <c r="E113" s="34"/>
      <c r="F113" s="35"/>
      <c r="G113" s="35"/>
      <c r="H113" s="62">
        <v>10397.73</v>
      </c>
      <c r="I113" s="35">
        <f t="shared" ref="I113" si="103">ROUND(H113*D113,2)</f>
        <v>20795.46</v>
      </c>
      <c r="J113" s="35">
        <f t="shared" ref="J113" si="104">ROUND(I113*1.2,2)</f>
        <v>24954.55</v>
      </c>
      <c r="K113" s="37">
        <f t="shared" si="93"/>
        <v>20795.46</v>
      </c>
      <c r="L113" s="35">
        <f t="shared" si="93"/>
        <v>24954.55</v>
      </c>
      <c r="M113" s="59" t="s">
        <v>76</v>
      </c>
    </row>
    <row r="114" spans="1:13" ht="30.75" customHeight="1" x14ac:dyDescent="0.25">
      <c r="A114" s="39">
        <f>A112+1</f>
        <v>53</v>
      </c>
      <c r="B114" s="52" t="s">
        <v>160</v>
      </c>
      <c r="C114" s="12" t="s">
        <v>58</v>
      </c>
      <c r="D114" s="64">
        <v>2</v>
      </c>
      <c r="E114" s="28">
        <v>17298.849999999999</v>
      </c>
      <c r="F114" s="40">
        <f>ROUND(E114*D114,2)</f>
        <v>34597.699999999997</v>
      </c>
      <c r="G114" s="40">
        <f t="shared" ref="G114" si="105">ROUND(F114*1.2,2)</f>
        <v>41517.24</v>
      </c>
      <c r="H114" s="26"/>
      <c r="I114" s="40"/>
      <c r="J114" s="40"/>
      <c r="K114" s="26">
        <f t="shared" si="93"/>
        <v>34597.699999999997</v>
      </c>
      <c r="L114" s="27">
        <f t="shared" si="93"/>
        <v>41517.24</v>
      </c>
      <c r="M114" s="59" t="s">
        <v>59</v>
      </c>
    </row>
    <row r="115" spans="1:13" ht="31.5" customHeight="1" x14ac:dyDescent="0.25">
      <c r="A115" s="30" t="s">
        <v>161</v>
      </c>
      <c r="B115" s="54" t="s">
        <v>162</v>
      </c>
      <c r="C115" s="32" t="s">
        <v>58</v>
      </c>
      <c r="D115" s="68">
        <v>2</v>
      </c>
      <c r="E115" s="34"/>
      <c r="F115" s="35"/>
      <c r="G115" s="35"/>
      <c r="H115" s="62">
        <v>8930</v>
      </c>
      <c r="I115" s="35">
        <f t="shared" ref="I115" si="106">ROUND(H115*D115,2)</f>
        <v>17860</v>
      </c>
      <c r="J115" s="35">
        <f t="shared" ref="J115" si="107">ROUND(I115*1.2,2)</f>
        <v>21432</v>
      </c>
      <c r="K115" s="37">
        <f t="shared" si="93"/>
        <v>17860</v>
      </c>
      <c r="L115" s="35">
        <f t="shared" si="93"/>
        <v>21432</v>
      </c>
      <c r="M115" s="59" t="s">
        <v>59</v>
      </c>
    </row>
    <row r="116" spans="1:13" ht="15.75" x14ac:dyDescent="0.25">
      <c r="A116" s="77" t="s">
        <v>163</v>
      </c>
      <c r="B116" s="78"/>
      <c r="C116" s="78"/>
      <c r="D116" s="78"/>
      <c r="E116" s="79"/>
      <c r="F116" s="72">
        <f>SUM(F7:F115)</f>
        <v>2661491.3399999994</v>
      </c>
      <c r="G116" s="73">
        <f>ROUND(F116*1.2,2)</f>
        <v>3193789.61</v>
      </c>
      <c r="I116" s="72">
        <f>SUM(I7:I115)</f>
        <v>2260756.7499999995</v>
      </c>
      <c r="J116" s="73">
        <f>ROUND(I116*1.2,2)</f>
        <v>2712908.1</v>
      </c>
      <c r="K116" s="72">
        <f>SUM(K7:K115)</f>
        <v>4922248.0899999989</v>
      </c>
      <c r="L116" s="73">
        <f>ROUND(K116*1.2,2)</f>
        <v>5906697.71</v>
      </c>
    </row>
  </sheetData>
  <mergeCells count="10">
    <mergeCell ref="B6:D6"/>
    <mergeCell ref="A116:E116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ТС3</vt:lpstr>
      <vt:lpstr>ТС3!Область_печати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2024-02-27T16:13:55Z</dcterms:created>
  <dcterms:modified xsi:type="dcterms:W3CDTF">2024-03-01T10:41:21Z</dcterms:modified>
</cp:coreProperties>
</file>