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I:\Эмиль (8-953-516-38-61)\2023\Цех 8 Мытищи\"/>
    </mc:Choice>
  </mc:AlternateContent>
  <bookViews>
    <workbookView xWindow="-15690" yWindow="90" windowWidth="15660" windowHeight="15210" tabRatio="602"/>
  </bookViews>
  <sheets>
    <sheet name="Отправочная" sheetId="8" r:id="rId1"/>
    <sheet name="Здание" sheetId="1" r:id="rId2"/>
    <sheet name="Детали" sheetId="11" r:id="rId3"/>
    <sheet name="Металл" sheetId="13" r:id="rId4"/>
    <sheet name="Метизы" sheetId="9" r:id="rId5"/>
  </sheets>
  <definedNames>
    <definedName name="_xlnm._FilterDatabase" localSheetId="2" hidden="1">Детали!$B$5:$K$142</definedName>
    <definedName name="_xlnm._FilterDatabase" localSheetId="1" hidden="1">Здание!$E$1:$G$291</definedName>
    <definedName name="_xlnm._FilterDatabase" localSheetId="0" hidden="1">Отправочная!$E$6:$E$34</definedName>
    <definedName name="_xlnm.Print_Area" localSheetId="2">Детали!$B$2:$K$112</definedName>
    <definedName name="_xlnm.Print_Area" localSheetId="1">Здание!$E$3:$O$213</definedName>
    <definedName name="_xlnm.Print_Area" localSheetId="3">Металл!$A$2:$L$258</definedName>
    <definedName name="_xlnm.Print_Area" localSheetId="4">Метизы!$B$7:$I$107</definedName>
    <definedName name="_xlnm.Print_Area" localSheetId="0">Отправочная!$A$3:$E$34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1" l="1"/>
  <c r="G12" i="11" l="1"/>
  <c r="G22" i="11"/>
  <c r="G6" i="11"/>
  <c r="C26" i="8" l="1"/>
  <c r="C28" i="8"/>
  <c r="B19" i="8"/>
  <c r="K27" i="11"/>
  <c r="H27" i="11"/>
  <c r="B27" i="11"/>
  <c r="W85" i="1"/>
  <c r="J84" i="1"/>
  <c r="I84" i="1"/>
  <c r="G84" i="1"/>
  <c r="W84" i="1" s="1"/>
  <c r="B84" i="1"/>
  <c r="W83" i="1"/>
  <c r="J83" i="1"/>
  <c r="L83" i="1" s="1"/>
  <c r="M83" i="1" s="1"/>
  <c r="B83" i="1"/>
  <c r="K26" i="11"/>
  <c r="H26" i="11"/>
  <c r="B26" i="11"/>
  <c r="B18" i="8"/>
  <c r="L84" i="1" l="1"/>
  <c r="M84" i="1" s="1"/>
  <c r="M85" i="1" s="1"/>
  <c r="N83" i="1" s="1"/>
  <c r="D19" i="8" s="1"/>
  <c r="E19" i="8" s="1"/>
  <c r="B23" i="8"/>
  <c r="W96" i="1"/>
  <c r="W95" i="1"/>
  <c r="L95" i="1" s="1"/>
  <c r="M95" i="1" s="1"/>
  <c r="B95" i="1"/>
  <c r="W94" i="1"/>
  <c r="L94" i="1" s="1"/>
  <c r="M94" i="1" s="1"/>
  <c r="B94" i="1"/>
  <c r="B21" i="8"/>
  <c r="B22" i="8"/>
  <c r="W93" i="1"/>
  <c r="L93" i="1" s="1"/>
  <c r="M93" i="1" s="1"/>
  <c r="B93" i="1"/>
  <c r="W92" i="1"/>
  <c r="L92" i="1" s="1"/>
  <c r="M92" i="1" s="1"/>
  <c r="B92" i="1"/>
  <c r="B20" i="8"/>
  <c r="W91" i="1"/>
  <c r="L91" i="1" s="1"/>
  <c r="M91" i="1" s="1"/>
  <c r="B91" i="1"/>
  <c r="G25" i="11"/>
  <c r="K25" i="11"/>
  <c r="H25" i="11"/>
  <c r="B25" i="11"/>
  <c r="W82" i="1"/>
  <c r="B81" i="1"/>
  <c r="B80" i="1"/>
  <c r="W79" i="1"/>
  <c r="B79" i="1"/>
  <c r="W27" i="1"/>
  <c r="L27" i="1"/>
  <c r="M27" i="1" s="1"/>
  <c r="B27" i="1"/>
  <c r="W26" i="1"/>
  <c r="L26" i="1"/>
  <c r="M26" i="1" s="1"/>
  <c r="B26" i="1"/>
  <c r="B26" i="8"/>
  <c r="B27" i="8"/>
  <c r="B28" i="8"/>
  <c r="B29" i="8"/>
  <c r="B30" i="8"/>
  <c r="B31" i="8"/>
  <c r="W25" i="1"/>
  <c r="L25" i="1"/>
  <c r="M25" i="1" s="1"/>
  <c r="B25" i="1"/>
  <c r="W24" i="1"/>
  <c r="L24" i="1"/>
  <c r="M24" i="1" s="1"/>
  <c r="B24" i="1"/>
  <c r="W23" i="1"/>
  <c r="L23" i="1" s="1"/>
  <c r="M23" i="1" s="1"/>
  <c r="B23" i="1"/>
  <c r="W22" i="1"/>
  <c r="L22" i="1" s="1"/>
  <c r="M22" i="1" s="1"/>
  <c r="B22" i="1"/>
  <c r="B17" i="8"/>
  <c r="K24" i="11"/>
  <c r="H24" i="11" s="1"/>
  <c r="W78" i="1"/>
  <c r="B77" i="1"/>
  <c r="W76" i="1"/>
  <c r="B76" i="1"/>
  <c r="B16" i="8"/>
  <c r="K23" i="11"/>
  <c r="W75" i="1"/>
  <c r="B74" i="1"/>
  <c r="W73" i="1"/>
  <c r="B73" i="1"/>
  <c r="B11" i="8"/>
  <c r="K22" i="11"/>
  <c r="W56" i="1"/>
  <c r="B55" i="1"/>
  <c r="B54" i="1"/>
  <c r="W53" i="1"/>
  <c r="B53" i="1"/>
  <c r="B15" i="8"/>
  <c r="G21" i="11"/>
  <c r="K21" i="11"/>
  <c r="W72" i="1"/>
  <c r="B71" i="1"/>
  <c r="B70" i="1"/>
  <c r="W69" i="1"/>
  <c r="B69" i="1"/>
  <c r="G20" i="11"/>
  <c r="K20" i="11"/>
  <c r="H20" i="11" s="1"/>
  <c r="B14" i="8"/>
  <c r="W68" i="1"/>
  <c r="B67" i="1"/>
  <c r="B66" i="1"/>
  <c r="W65" i="1"/>
  <c r="B65" i="1"/>
  <c r="K19" i="11"/>
  <c r="H19" i="11"/>
  <c r="K18" i="11"/>
  <c r="H18" i="11"/>
  <c r="B13" i="8"/>
  <c r="H17" i="11"/>
  <c r="K17" i="11"/>
  <c r="B61" i="1"/>
  <c r="W61" i="1"/>
  <c r="B62" i="1"/>
  <c r="B63" i="1"/>
  <c r="W64" i="1"/>
  <c r="B9" i="8"/>
  <c r="W43" i="1"/>
  <c r="B42" i="1"/>
  <c r="W41" i="1"/>
  <c r="B41" i="1"/>
  <c r="K16" i="11"/>
  <c r="H16" i="11"/>
  <c r="K15" i="11"/>
  <c r="H15" i="11" s="1"/>
  <c r="B25" i="8"/>
  <c r="W21" i="1"/>
  <c r="L21" i="1"/>
  <c r="M21" i="1" s="1"/>
  <c r="B21" i="1"/>
  <c r="B24" i="8"/>
  <c r="G14" i="11"/>
  <c r="B12" i="8"/>
  <c r="W60" i="1"/>
  <c r="B59" i="1"/>
  <c r="B58" i="1"/>
  <c r="W57" i="1"/>
  <c r="B57" i="1"/>
  <c r="K14" i="11"/>
  <c r="H14" i="11" s="1"/>
  <c r="B10" i="8"/>
  <c r="K12" i="11"/>
  <c r="H12" i="11" s="1"/>
  <c r="W52" i="1"/>
  <c r="B51" i="1"/>
  <c r="B50" i="1"/>
  <c r="W49" i="1"/>
  <c r="B49" i="1"/>
  <c r="B8" i="8"/>
  <c r="W40" i="1"/>
  <c r="B39" i="1"/>
  <c r="B38" i="1"/>
  <c r="W37" i="1"/>
  <c r="B37" i="1"/>
  <c r="K9" i="11"/>
  <c r="H9" i="11"/>
  <c r="B7" i="8"/>
  <c r="Q83" i="1" s="1"/>
  <c r="C83" i="1" s="1"/>
  <c r="K7" i="11"/>
  <c r="H7" i="11"/>
  <c r="K6" i="11"/>
  <c r="Q84" i="1" l="1"/>
  <c r="C84" i="1" s="1"/>
  <c r="C27" i="11" s="1"/>
  <c r="I27" i="11" s="1"/>
  <c r="D23" i="8"/>
  <c r="E23" i="8" s="1"/>
  <c r="H21" i="11"/>
  <c r="D21" i="8"/>
  <c r="E21" i="8" s="1"/>
  <c r="M96" i="1"/>
  <c r="N94" i="1" s="1"/>
  <c r="Q94" i="1"/>
  <c r="C94" i="1" s="1"/>
  <c r="N92" i="1"/>
  <c r="Q92" i="1"/>
  <c r="C92" i="1" s="1"/>
  <c r="Q93" i="1"/>
  <c r="C93" i="1" s="1"/>
  <c r="N93" i="1"/>
  <c r="D22" i="8" s="1"/>
  <c r="E22" i="8" s="1"/>
  <c r="Q91" i="1"/>
  <c r="C91" i="1" s="1"/>
  <c r="N91" i="1"/>
  <c r="D20" i="8" s="1"/>
  <c r="E20" i="8" s="1"/>
  <c r="H22" i="11"/>
  <c r="H23" i="11"/>
  <c r="Q27" i="1"/>
  <c r="C27" i="1" s="1"/>
  <c r="N27" i="1"/>
  <c r="D31" i="8" s="1"/>
  <c r="E31" i="8" s="1"/>
  <c r="D30" i="8"/>
  <c r="E30" i="8" s="1"/>
  <c r="Q26" i="1"/>
  <c r="C26" i="1" s="1"/>
  <c r="N26" i="1"/>
  <c r="D29" i="8" s="1"/>
  <c r="E29" i="8" s="1"/>
  <c r="N24" i="1"/>
  <c r="D28" i="8" s="1"/>
  <c r="E28" i="8" s="1"/>
  <c r="N25" i="1"/>
  <c r="N22" i="1"/>
  <c r="N23" i="1"/>
  <c r="D27" i="8" s="1"/>
  <c r="E27" i="8" s="1"/>
  <c r="N21" i="1"/>
  <c r="H6" i="11"/>
  <c r="K11" i="11"/>
  <c r="H11" i="11"/>
  <c r="B7" i="11"/>
  <c r="K13" i="11"/>
  <c r="H13" i="11"/>
  <c r="K10" i="11"/>
  <c r="H10" i="11"/>
  <c r="W17" i="1"/>
  <c r="W16" i="1"/>
  <c r="L16" i="1" s="1"/>
  <c r="M16" i="1" s="1"/>
  <c r="B16" i="1"/>
  <c r="W15" i="1"/>
  <c r="W14" i="1"/>
  <c r="L14" i="1" s="1"/>
  <c r="M14" i="1" s="1"/>
  <c r="B14" i="1"/>
  <c r="W198" i="1"/>
  <c r="B197" i="1"/>
  <c r="B196" i="1"/>
  <c r="W195" i="1"/>
  <c r="B195" i="1"/>
  <c r="W194" i="1"/>
  <c r="B193" i="1"/>
  <c r="B192" i="1"/>
  <c r="W191" i="1"/>
  <c r="B191" i="1"/>
  <c r="K87" i="11"/>
  <c r="H87" i="11" s="1"/>
  <c r="K86" i="11"/>
  <c r="H86" i="11" s="1"/>
  <c r="K85" i="11"/>
  <c r="H85" i="11" s="1"/>
  <c r="K84" i="11"/>
  <c r="H84" i="11"/>
  <c r="K83" i="11"/>
  <c r="H83" i="11"/>
  <c r="W181" i="1"/>
  <c r="B180" i="1"/>
  <c r="B179" i="1"/>
  <c r="B178" i="1"/>
  <c r="W177" i="1"/>
  <c r="B177" i="1"/>
  <c r="W176" i="1"/>
  <c r="B175" i="1"/>
  <c r="B174" i="1"/>
  <c r="B173" i="1"/>
  <c r="W172" i="1"/>
  <c r="B172" i="1"/>
  <c r="B170" i="1"/>
  <c r="B169" i="1"/>
  <c r="B163" i="1"/>
  <c r="K82" i="11"/>
  <c r="H82" i="11"/>
  <c r="K81" i="11"/>
  <c r="H81" i="11"/>
  <c r="K79" i="11"/>
  <c r="H79" i="11" s="1"/>
  <c r="W171" i="1"/>
  <c r="B168" i="1"/>
  <c r="B167" i="1"/>
  <c r="W166" i="1"/>
  <c r="B166" i="1"/>
  <c r="B164" i="1"/>
  <c r="Q85" i="1" l="1"/>
  <c r="Q95" i="1"/>
  <c r="C95" i="1" s="1"/>
  <c r="Q96" i="1" s="1"/>
  <c r="M17" i="1"/>
  <c r="N16" i="1" s="1"/>
  <c r="M15" i="1"/>
  <c r="N14" i="1" s="1"/>
  <c r="W20" i="1" l="1"/>
  <c r="L20" i="1" s="1"/>
  <c r="M20" i="1" s="1"/>
  <c r="B20" i="1"/>
  <c r="W19" i="1"/>
  <c r="L19" i="1" s="1"/>
  <c r="M19" i="1" s="1"/>
  <c r="B19" i="1"/>
  <c r="W18" i="1"/>
  <c r="L18" i="1" s="1"/>
  <c r="M18" i="1" s="1"/>
  <c r="B18" i="1"/>
  <c r="W13" i="1"/>
  <c r="L13" i="1" s="1"/>
  <c r="M13" i="1" s="1"/>
  <c r="B13" i="1"/>
  <c r="H76" i="11"/>
  <c r="K73" i="11"/>
  <c r="H73" i="11"/>
  <c r="R193" i="13"/>
  <c r="G193" i="13"/>
  <c r="N20" i="1" l="1"/>
  <c r="N18" i="1"/>
  <c r="N19" i="1"/>
  <c r="N13" i="1"/>
  <c r="A11" i="9"/>
  <c r="F13" i="9"/>
  <c r="F16" i="9"/>
  <c r="F20" i="9"/>
  <c r="F21" i="9"/>
  <c r="F22" i="9"/>
  <c r="F28" i="9"/>
  <c r="F31" i="9"/>
  <c r="F35" i="9"/>
  <c r="F37" i="9"/>
  <c r="F40" i="9"/>
  <c r="F54" i="9"/>
  <c r="F66" i="9"/>
  <c r="F67" i="9"/>
  <c r="F71" i="9"/>
  <c r="F72" i="9"/>
  <c r="F75" i="9"/>
  <c r="F76" i="9"/>
  <c r="F78" i="9"/>
  <c r="F80" i="9"/>
  <c r="F84" i="9"/>
  <c r="F88" i="9"/>
  <c r="F89" i="9"/>
  <c r="F90" i="9"/>
  <c r="F91" i="9"/>
  <c r="F95" i="9"/>
  <c r="F96" i="9"/>
  <c r="F97" i="9"/>
  <c r="F11" i="9"/>
  <c r="R223" i="13"/>
  <c r="G223" i="13"/>
  <c r="R41" i="13"/>
  <c r="G41" i="13"/>
  <c r="R40" i="13"/>
  <c r="G40" i="13"/>
  <c r="R45" i="13"/>
  <c r="G45" i="13"/>
  <c r="R47" i="13"/>
  <c r="G47" i="13"/>
  <c r="R38" i="13"/>
  <c r="G38" i="13"/>
  <c r="R34" i="13"/>
  <c r="S34" i="13" s="1"/>
  <c r="G34" i="13"/>
  <c r="R33" i="13"/>
  <c r="G33" i="13"/>
  <c r="R31" i="13"/>
  <c r="G31" i="13"/>
  <c r="R32" i="13"/>
  <c r="G32" i="13"/>
  <c r="R19" i="13"/>
  <c r="G19" i="13"/>
  <c r="R18" i="13"/>
  <c r="G18" i="13"/>
  <c r="R17" i="13"/>
  <c r="G17" i="13"/>
  <c r="R16" i="13"/>
  <c r="G16" i="13"/>
  <c r="R15" i="13"/>
  <c r="G15" i="13"/>
  <c r="R14" i="13"/>
  <c r="G14" i="13"/>
  <c r="R13" i="13"/>
  <c r="G13" i="13"/>
  <c r="R12" i="13"/>
  <c r="S12" i="13" s="1"/>
  <c r="G12" i="13"/>
  <c r="R11" i="13"/>
  <c r="G11" i="13"/>
  <c r="R10" i="13"/>
  <c r="S10" i="13" s="1"/>
  <c r="G10" i="13"/>
  <c r="R9" i="13"/>
  <c r="G9" i="13"/>
  <c r="R8" i="13"/>
  <c r="G8" i="13"/>
  <c r="R28" i="13"/>
  <c r="G28" i="13"/>
  <c r="R29" i="13"/>
  <c r="G29" i="13"/>
  <c r="R27" i="13"/>
  <c r="G27" i="13"/>
  <c r="R26" i="13"/>
  <c r="S26" i="13" s="1"/>
  <c r="G26" i="13"/>
  <c r="R25" i="13"/>
  <c r="G25" i="13"/>
  <c r="R24" i="13"/>
  <c r="G24" i="13"/>
  <c r="S38" i="13" l="1"/>
  <c r="S33" i="13"/>
  <c r="S31" i="13"/>
  <c r="S32" i="13"/>
  <c r="S14" i="13"/>
  <c r="S13" i="13"/>
  <c r="S9" i="13"/>
  <c r="S11" i="13"/>
  <c r="S27" i="13"/>
  <c r="S25" i="13"/>
  <c r="S24" i="13"/>
  <c r="W266" i="1" l="1"/>
  <c r="L266" i="1"/>
  <c r="M266" i="1" s="1"/>
  <c r="B266" i="1"/>
  <c r="W265" i="1"/>
  <c r="L265" i="1"/>
  <c r="M265" i="1" s="1"/>
  <c r="B265" i="1"/>
  <c r="W264" i="1"/>
  <c r="L264" i="1"/>
  <c r="M264" i="1" s="1"/>
  <c r="B264" i="1"/>
  <c r="W263" i="1"/>
  <c r="L263" i="1"/>
  <c r="M263" i="1" s="1"/>
  <c r="B263" i="1"/>
  <c r="W260" i="1"/>
  <c r="L260" i="1"/>
  <c r="M260" i="1" s="1"/>
  <c r="B260" i="1"/>
  <c r="W259" i="1"/>
  <c r="L259" i="1"/>
  <c r="M259" i="1" s="1"/>
  <c r="B259" i="1"/>
  <c r="N265" i="1" l="1"/>
  <c r="N263" i="1"/>
  <c r="N259" i="1"/>
  <c r="Q24" i="1" l="1"/>
  <c r="C24" i="1" s="1"/>
  <c r="Q25" i="1"/>
  <c r="C25" i="1" s="1"/>
  <c r="Q22" i="1"/>
  <c r="C22" i="1" s="1"/>
  <c r="Q23" i="1"/>
  <c r="C23" i="1" s="1"/>
  <c r="Q21" i="1"/>
  <c r="C21" i="1" s="1"/>
  <c r="Q16" i="1"/>
  <c r="C16" i="1" s="1"/>
  <c r="Q17" i="1" s="1"/>
  <c r="Q14" i="1"/>
  <c r="C14" i="1" s="1"/>
  <c r="Q15" i="1" s="1"/>
  <c r="Q20" i="1"/>
  <c r="C20" i="1" s="1"/>
  <c r="Q18" i="1"/>
  <c r="C18" i="1" s="1"/>
  <c r="Q19" i="1"/>
  <c r="C19" i="1" s="1"/>
  <c r="Q13" i="1"/>
  <c r="C13" i="1" s="1"/>
  <c r="B35" i="1" l="1"/>
  <c r="B34" i="1"/>
  <c r="B33" i="1"/>
  <c r="W152" i="1"/>
  <c r="L152" i="1" s="1"/>
  <c r="M152" i="1" s="1"/>
  <c r="B152" i="1"/>
  <c r="N152" i="1" l="1"/>
  <c r="W106" i="1" l="1"/>
  <c r="K8" i="11"/>
  <c r="H8" i="11"/>
  <c r="W151" i="1"/>
  <c r="L151" i="1" s="1"/>
  <c r="M151" i="1" s="1"/>
  <c r="B151" i="1"/>
  <c r="W150" i="1"/>
  <c r="L150" i="1" s="1"/>
  <c r="M150" i="1" s="1"/>
  <c r="B150" i="1"/>
  <c r="W149" i="1"/>
  <c r="L149" i="1" s="1"/>
  <c r="M149" i="1" s="1"/>
  <c r="B149" i="1"/>
  <c r="W148" i="1"/>
  <c r="L148" i="1" s="1"/>
  <c r="M148" i="1" s="1"/>
  <c r="B148" i="1"/>
  <c r="W147" i="1"/>
  <c r="L147" i="1" s="1"/>
  <c r="M147" i="1" s="1"/>
  <c r="B147" i="1"/>
  <c r="N149" i="1" l="1"/>
  <c r="N148" i="1"/>
  <c r="N150" i="1"/>
  <c r="N151" i="1"/>
  <c r="N147" i="1"/>
  <c r="W190" i="1" l="1"/>
  <c r="B189" i="1"/>
  <c r="B188" i="1"/>
  <c r="W187" i="1"/>
  <c r="B187" i="1"/>
  <c r="K80" i="11"/>
  <c r="H80" i="11" s="1"/>
  <c r="K78" i="11"/>
  <c r="H78" i="11" s="1"/>
  <c r="K77" i="11"/>
  <c r="H77" i="11" s="1"/>
  <c r="K76" i="11"/>
  <c r="W165" i="1"/>
  <c r="B162" i="1"/>
  <c r="B161" i="1"/>
  <c r="W160" i="1"/>
  <c r="B160" i="1"/>
  <c r="K74" i="11"/>
  <c r="H74" i="11"/>
  <c r="B74" i="11"/>
  <c r="B140" i="1"/>
  <c r="B135" i="1"/>
  <c r="K60" i="11"/>
  <c r="H60" i="11"/>
  <c r="W145" i="1"/>
  <c r="W144" i="1"/>
  <c r="B144" i="1"/>
  <c r="W143" i="1"/>
  <c r="B143" i="1"/>
  <c r="W141" i="1" l="1"/>
  <c r="B141" i="1"/>
  <c r="W142" i="1"/>
  <c r="W139" i="1"/>
  <c r="B139" i="1"/>
  <c r="B136" i="1"/>
  <c r="W138" i="1"/>
  <c r="W137" i="1"/>
  <c r="B137" i="1"/>
  <c r="B134" i="1"/>
  <c r="W133" i="1"/>
  <c r="B133" i="1"/>
  <c r="W131" i="1"/>
  <c r="B131" i="1"/>
  <c r="W132" i="1"/>
  <c r="B130" i="1"/>
  <c r="W129" i="1"/>
  <c r="B129" i="1"/>
  <c r="K59" i="11"/>
  <c r="H59" i="11" s="1"/>
  <c r="K58" i="11"/>
  <c r="H58" i="11"/>
  <c r="K57" i="11"/>
  <c r="H57" i="11" s="1"/>
  <c r="K46" i="11"/>
  <c r="H46" i="11" s="1"/>
  <c r="K45" i="11"/>
  <c r="H45" i="11" s="1"/>
  <c r="K44" i="11"/>
  <c r="H44" i="11"/>
  <c r="K43" i="11"/>
  <c r="H43" i="11"/>
  <c r="K41" i="11"/>
  <c r="H41" i="11"/>
  <c r="R134" i="13"/>
  <c r="R109" i="13"/>
  <c r="S265" i="1" l="1"/>
  <c r="C265" i="1" s="1"/>
  <c r="S266" i="1" s="1"/>
  <c r="C266" i="1" s="1"/>
  <c r="S263" i="1"/>
  <c r="C263" i="1" s="1"/>
  <c r="S264" i="1" s="1"/>
  <c r="C264" i="1" s="1"/>
  <c r="Q259" i="1"/>
  <c r="C259" i="1" s="1"/>
  <c r="Q260" i="1" s="1"/>
  <c r="C260" i="1" s="1"/>
  <c r="Q152" i="1"/>
  <c r="C152" i="1" s="1"/>
  <c r="Q149" i="1"/>
  <c r="C149" i="1" s="1"/>
  <c r="Q148" i="1"/>
  <c r="C148" i="1" s="1"/>
  <c r="Q150" i="1"/>
  <c r="C150" i="1" s="1"/>
  <c r="Q151" i="1"/>
  <c r="C151" i="1" s="1"/>
  <c r="Q147" i="1"/>
  <c r="C147" i="1" s="1"/>
  <c r="R121" i="13"/>
  <c r="R64" i="13"/>
  <c r="R65" i="13"/>
  <c r="R83" i="13"/>
  <c r="R84" i="13"/>
  <c r="R85" i="13"/>
  <c r="R86" i="13"/>
  <c r="R87" i="13"/>
  <c r="R88" i="13"/>
  <c r="R51" i="13"/>
  <c r="R22" i="13"/>
  <c r="R23" i="13"/>
  <c r="R107" i="13"/>
  <c r="R108" i="13"/>
  <c r="R165" i="13"/>
  <c r="T44" i="13" l="1"/>
  <c r="T162" i="13"/>
  <c r="K75" i="11" l="1"/>
  <c r="H75" i="11"/>
  <c r="B75" i="11" l="1"/>
  <c r="B76" i="11" s="1"/>
  <c r="B77" i="11" s="1"/>
  <c r="B78" i="11" s="1"/>
  <c r="B79" i="11" l="1"/>
  <c r="B80" i="11" s="1"/>
  <c r="B81" i="11" s="1"/>
  <c r="B82" i="11" s="1"/>
  <c r="B83" i="11" s="1"/>
  <c r="B84" i="11" s="1"/>
  <c r="B85" i="11" s="1"/>
  <c r="B86" i="11" s="1"/>
  <c r="B87" i="11" s="1"/>
  <c r="K42" i="11"/>
  <c r="H42" i="11"/>
  <c r="K40" i="11"/>
  <c r="H40" i="11"/>
  <c r="K38" i="11"/>
  <c r="H38" i="11"/>
  <c r="K112" i="11" l="1"/>
  <c r="H112" i="11"/>
  <c r="K111" i="11"/>
  <c r="H111" i="11"/>
  <c r="K110" i="11"/>
  <c r="G110" i="11"/>
  <c r="H110" i="11" s="1"/>
  <c r="G109" i="11"/>
  <c r="K109" i="11"/>
  <c r="K108" i="11"/>
  <c r="H108" i="11" s="1"/>
  <c r="K107" i="11"/>
  <c r="H107" i="11" s="1"/>
  <c r="K106" i="11"/>
  <c r="H106" i="11" s="1"/>
  <c r="K105" i="11"/>
  <c r="H105" i="11" s="1"/>
  <c r="K104" i="11"/>
  <c r="H104" i="11" s="1"/>
  <c r="K103" i="11"/>
  <c r="H103" i="11" s="1"/>
  <c r="K102" i="11"/>
  <c r="H102" i="11" s="1"/>
  <c r="K101" i="11"/>
  <c r="H101" i="11" s="1"/>
  <c r="B227" i="1"/>
  <c r="B226" i="1"/>
  <c r="B225" i="1"/>
  <c r="W230" i="1"/>
  <c r="L230" i="1" s="1"/>
  <c r="M230" i="1" s="1"/>
  <c r="B230" i="1"/>
  <c r="H109" i="11" l="1"/>
  <c r="N230" i="1"/>
  <c r="C32" i="9" l="1"/>
  <c r="K56" i="11" l="1"/>
  <c r="H56" i="11" s="1"/>
  <c r="K55" i="11"/>
  <c r="H55" i="11" s="1"/>
  <c r="K54" i="11"/>
  <c r="H54" i="11" s="1"/>
  <c r="K53" i="11"/>
  <c r="H53" i="11" s="1"/>
  <c r="K52" i="11"/>
  <c r="H52" i="11" s="1"/>
  <c r="K51" i="11"/>
  <c r="H51" i="11" s="1"/>
  <c r="K50" i="11"/>
  <c r="H50" i="11" s="1"/>
  <c r="K49" i="11"/>
  <c r="H49" i="11" s="1"/>
  <c r="K48" i="11"/>
  <c r="H48" i="11" s="1"/>
  <c r="K47" i="11"/>
  <c r="H47" i="11" s="1"/>
  <c r="K39" i="11" l="1"/>
  <c r="H39" i="11"/>
  <c r="K37" i="11"/>
  <c r="H37" i="11"/>
  <c r="K36" i="11"/>
  <c r="H36" i="11"/>
  <c r="B36" i="11"/>
  <c r="B37" i="11" s="1"/>
  <c r="K35" i="11"/>
  <c r="H35" i="11"/>
  <c r="R112" i="13"/>
  <c r="G112" i="13"/>
  <c r="R52" i="13"/>
  <c r="G52" i="13"/>
  <c r="B38" i="11" l="1"/>
  <c r="B39" i="11" s="1"/>
  <c r="B40" i="11" s="1"/>
  <c r="B41" i="11" l="1"/>
  <c r="B42" i="11" s="1"/>
  <c r="B43" i="11" l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100" i="11"/>
  <c r="B101" i="11" s="1"/>
  <c r="B102" i="11" s="1"/>
  <c r="B103" i="11" s="1"/>
  <c r="B104" i="11" s="1"/>
  <c r="B105" i="11" s="1"/>
  <c r="B106" i="11" s="1"/>
  <c r="B107" i="11" s="1"/>
  <c r="B108" i="11" s="1"/>
  <c r="B109" i="11" s="1"/>
  <c r="B110" i="11" s="1"/>
  <c r="B111" i="11" s="1"/>
  <c r="B112" i="11" s="1"/>
  <c r="K100" i="11"/>
  <c r="H100" i="11" s="1"/>
  <c r="K99" i="11"/>
  <c r="H99" i="11" s="1"/>
  <c r="L231" i="1"/>
  <c r="W232" i="1"/>
  <c r="L232" i="1" s="1"/>
  <c r="M232" i="1" s="1"/>
  <c r="B232" i="1"/>
  <c r="W231" i="1"/>
  <c r="B231" i="1"/>
  <c r="W229" i="1"/>
  <c r="L229" i="1" s="1"/>
  <c r="M229" i="1" s="1"/>
  <c r="B229" i="1"/>
  <c r="W228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B224" i="1"/>
  <c r="B223" i="1"/>
  <c r="B222" i="1"/>
  <c r="B221" i="1"/>
  <c r="B220" i="1"/>
  <c r="B219" i="1"/>
  <c r="B218" i="1"/>
  <c r="B217" i="1"/>
  <c r="B216" i="1"/>
  <c r="B215" i="1"/>
  <c r="B214" i="1"/>
  <c r="Q230" i="1" l="1"/>
  <c r="C230" i="1" s="1"/>
  <c r="M231" i="1"/>
  <c r="N231" i="1" s="1"/>
  <c r="D25" i="8" s="1"/>
  <c r="E25" i="8" s="1"/>
  <c r="D24" i="8"/>
  <c r="E24" i="8" s="1"/>
  <c r="N232" i="1"/>
  <c r="D26" i="8" s="1"/>
  <c r="E26" i="8" s="1"/>
  <c r="N229" i="1"/>
  <c r="W9" i="1" l="1"/>
  <c r="L9" i="1"/>
  <c r="M9" i="1" s="1"/>
  <c r="B9" i="1"/>
  <c r="W8" i="1"/>
  <c r="L8" i="1"/>
  <c r="M8" i="1" s="1"/>
  <c r="B8" i="1"/>
  <c r="C26" i="11" s="1"/>
  <c r="I26" i="11" s="1"/>
  <c r="R215" i="13"/>
  <c r="G215" i="13"/>
  <c r="R221" i="13"/>
  <c r="G221" i="13"/>
  <c r="G179" i="13"/>
  <c r="R179" i="13"/>
  <c r="R219" i="13"/>
  <c r="S219" i="13" s="1"/>
  <c r="G219" i="13"/>
  <c r="R185" i="13"/>
  <c r="G185" i="13"/>
  <c r="W36" i="1"/>
  <c r="W33" i="1"/>
  <c r="R42" i="13"/>
  <c r="G42" i="13"/>
  <c r="G74" i="9"/>
  <c r="G73" i="9"/>
  <c r="H75" i="9"/>
  <c r="H76" i="9"/>
  <c r="C74" i="9"/>
  <c r="C73" i="9"/>
  <c r="AO5" i="8"/>
  <c r="A74" i="9" s="1"/>
  <c r="AN5" i="8"/>
  <c r="A73" i="9" s="1"/>
  <c r="F73" i="9" s="1"/>
  <c r="F74" i="9" l="1"/>
  <c r="H74" i="9" s="1"/>
  <c r="Q232" i="1"/>
  <c r="C232" i="1" s="1"/>
  <c r="Q231" i="1"/>
  <c r="C231" i="1" s="1"/>
  <c r="Q229" i="1"/>
  <c r="C229" i="1" s="1"/>
  <c r="Q8" i="1"/>
  <c r="C8" i="1" s="1"/>
  <c r="N8" i="1"/>
  <c r="Q9" i="1"/>
  <c r="C9" i="1" s="1"/>
  <c r="N9" i="1"/>
  <c r="S215" i="13"/>
  <c r="H73" i="9"/>
  <c r="A77" i="9"/>
  <c r="H78" i="9"/>
  <c r="A79" i="9" l="1"/>
  <c r="F77" i="9"/>
  <c r="H77" i="9" s="1"/>
  <c r="K142" i="11"/>
  <c r="H142" i="11" s="1"/>
  <c r="K141" i="11"/>
  <c r="H141" i="11" s="1"/>
  <c r="K140" i="11"/>
  <c r="H140" i="11" s="1"/>
  <c r="K139" i="11"/>
  <c r="H139" i="11" s="1"/>
  <c r="K138" i="11"/>
  <c r="H138" i="11" s="1"/>
  <c r="K137" i="11"/>
  <c r="H137" i="11" s="1"/>
  <c r="K136" i="11"/>
  <c r="H136" i="11" s="1"/>
  <c r="K135" i="11"/>
  <c r="H135" i="11" s="1"/>
  <c r="K134" i="11"/>
  <c r="H134" i="11" s="1"/>
  <c r="K133" i="11"/>
  <c r="H133" i="11" s="1"/>
  <c r="K132" i="11"/>
  <c r="H132" i="11" s="1"/>
  <c r="B132" i="11"/>
  <c r="K131" i="11"/>
  <c r="H131" i="11" s="1"/>
  <c r="F79" i="9" l="1"/>
  <c r="H79" i="9" s="1"/>
  <c r="B133" i="11"/>
  <c r="R168" i="13"/>
  <c r="G168" i="13"/>
  <c r="R120" i="13"/>
  <c r="G120" i="13"/>
  <c r="R7" i="13"/>
  <c r="S7" i="13" s="1"/>
  <c r="G7" i="13"/>
  <c r="R21" i="13"/>
  <c r="S21" i="13" s="1"/>
  <c r="G21" i="13"/>
  <c r="G88" i="13"/>
  <c r="R175" i="13"/>
  <c r="G175" i="13"/>
  <c r="B134" i="11" l="1"/>
  <c r="B135" i="11" l="1"/>
  <c r="B136" i="11" l="1"/>
  <c r="J2" i="1"/>
  <c r="B137" i="11" l="1"/>
  <c r="B138" i="11" l="1"/>
  <c r="C50" i="9"/>
  <c r="C62" i="9"/>
  <c r="AJ5" i="8"/>
  <c r="A62" i="9" s="1"/>
  <c r="F62" i="9" s="1"/>
  <c r="B139" i="11" l="1"/>
  <c r="B140" i="11" l="1"/>
  <c r="W11" i="1"/>
  <c r="L11" i="1"/>
  <c r="M11" i="1" s="1"/>
  <c r="B11" i="1"/>
  <c r="C43" i="9"/>
  <c r="A43" i="9"/>
  <c r="T5" i="8"/>
  <c r="C46" i="9"/>
  <c r="W5" i="8"/>
  <c r="A46" i="9" s="1"/>
  <c r="F46" i="9" l="1"/>
  <c r="H46" i="9" s="1"/>
  <c r="F43" i="9"/>
  <c r="H43" i="9" s="1"/>
  <c r="B141" i="11"/>
  <c r="N11" i="1"/>
  <c r="B142" i="11" l="1"/>
  <c r="Q11" i="1"/>
  <c r="C11" i="1" s="1"/>
  <c r="R163" i="13" l="1"/>
  <c r="G163" i="13"/>
  <c r="R89" i="13"/>
  <c r="G89" i="13"/>
  <c r="R48" i="13"/>
  <c r="G48" i="13"/>
  <c r="R79" i="13"/>
  <c r="G79" i="13"/>
  <c r="R68" i="13"/>
  <c r="G68" i="13"/>
  <c r="G108" i="13"/>
  <c r="G84" i="13" l="1"/>
  <c r="R156" i="13" l="1"/>
  <c r="G156" i="13"/>
  <c r="R255" i="13" l="1"/>
  <c r="H71" i="9" l="1"/>
  <c r="H72" i="9"/>
  <c r="F106" i="9"/>
  <c r="Q258" i="13" l="1"/>
  <c r="S22" i="13"/>
  <c r="S23" i="13"/>
  <c r="R35" i="13"/>
  <c r="S35" i="13" s="1"/>
  <c r="R36" i="13"/>
  <c r="S36" i="13" s="1"/>
  <c r="R37" i="13"/>
  <c r="S37" i="13" s="1"/>
  <c r="R43" i="13"/>
  <c r="R46" i="13"/>
  <c r="R49" i="13"/>
  <c r="R50" i="13"/>
  <c r="R53" i="13"/>
  <c r="R54" i="13"/>
  <c r="R55" i="13"/>
  <c r="R56" i="13"/>
  <c r="R57" i="13"/>
  <c r="R58" i="13"/>
  <c r="R59" i="13"/>
  <c r="R60" i="13"/>
  <c r="R61" i="13"/>
  <c r="R62" i="13"/>
  <c r="R63" i="13"/>
  <c r="R66" i="13"/>
  <c r="R67" i="13"/>
  <c r="R69" i="13"/>
  <c r="R70" i="13"/>
  <c r="R71" i="13"/>
  <c r="R72" i="13"/>
  <c r="R73" i="13"/>
  <c r="R74" i="13"/>
  <c r="R75" i="13"/>
  <c r="R76" i="13"/>
  <c r="R77" i="13"/>
  <c r="T77" i="13" s="1"/>
  <c r="R78" i="13"/>
  <c r="R80" i="13"/>
  <c r="R81" i="13"/>
  <c r="R82" i="13"/>
  <c r="R90" i="13"/>
  <c r="R91" i="13"/>
  <c r="R92" i="13"/>
  <c r="R93" i="13"/>
  <c r="R94" i="13"/>
  <c r="R95" i="13"/>
  <c r="R96" i="13"/>
  <c r="R97" i="13"/>
  <c r="R98" i="13"/>
  <c r="R99" i="13"/>
  <c r="R100" i="13"/>
  <c r="R101" i="13"/>
  <c r="R102" i="13"/>
  <c r="R103" i="13"/>
  <c r="R104" i="13"/>
  <c r="R105" i="13"/>
  <c r="R106" i="13"/>
  <c r="R111" i="13"/>
  <c r="R113" i="13"/>
  <c r="R114" i="13"/>
  <c r="R115" i="13"/>
  <c r="R116" i="13"/>
  <c r="R117" i="13"/>
  <c r="R118" i="13"/>
  <c r="R119" i="13"/>
  <c r="R122" i="13"/>
  <c r="R123" i="13"/>
  <c r="R124" i="13"/>
  <c r="R125" i="13"/>
  <c r="R126" i="13"/>
  <c r="R127" i="13"/>
  <c r="R128" i="13"/>
  <c r="R129" i="13"/>
  <c r="R130" i="13"/>
  <c r="R131" i="13"/>
  <c r="R132" i="13"/>
  <c r="R133" i="13"/>
  <c r="R136" i="13"/>
  <c r="R137" i="13"/>
  <c r="R138" i="13"/>
  <c r="R139" i="13"/>
  <c r="R140" i="13"/>
  <c r="R141" i="13"/>
  <c r="R142" i="13"/>
  <c r="R143" i="13"/>
  <c r="R144" i="13"/>
  <c r="R145" i="13"/>
  <c r="R146" i="13"/>
  <c r="R147" i="13"/>
  <c r="R148" i="13"/>
  <c r="R149" i="13"/>
  <c r="R150" i="13"/>
  <c r="T150" i="13" s="1"/>
  <c r="R151" i="13"/>
  <c r="R152" i="13"/>
  <c r="R153" i="13"/>
  <c r="R154" i="13"/>
  <c r="R155" i="13"/>
  <c r="R157" i="13"/>
  <c r="R158" i="13"/>
  <c r="R159" i="13"/>
  <c r="R160" i="13"/>
  <c r="R161" i="13"/>
  <c r="R164" i="13"/>
  <c r="R166" i="13"/>
  <c r="R167" i="13"/>
  <c r="R169" i="13"/>
  <c r="R170" i="13"/>
  <c r="R171" i="13"/>
  <c r="R172" i="13"/>
  <c r="R173" i="13"/>
  <c r="R174" i="13"/>
  <c r="R176" i="13"/>
  <c r="R177" i="13"/>
  <c r="R178" i="13"/>
  <c r="R180" i="13"/>
  <c r="T180" i="13" s="1"/>
  <c r="R181" i="13"/>
  <c r="R182" i="13"/>
  <c r="R183" i="13"/>
  <c r="R184" i="13"/>
  <c r="R186" i="13"/>
  <c r="R187" i="13"/>
  <c r="R188" i="13"/>
  <c r="R189" i="13"/>
  <c r="R190" i="13"/>
  <c r="R191" i="13"/>
  <c r="R192" i="13"/>
  <c r="R194" i="13"/>
  <c r="R195" i="13"/>
  <c r="R196" i="13"/>
  <c r="R197" i="13"/>
  <c r="R198" i="13"/>
  <c r="R199" i="13"/>
  <c r="R200" i="13"/>
  <c r="R201" i="13"/>
  <c r="R202" i="13"/>
  <c r="S202" i="13" s="1"/>
  <c r="R203" i="13"/>
  <c r="R204" i="13"/>
  <c r="R205" i="13"/>
  <c r="R206" i="13"/>
  <c r="R207" i="13"/>
  <c r="R208" i="13"/>
  <c r="R209" i="13"/>
  <c r="R210" i="13"/>
  <c r="R211" i="13"/>
  <c r="T211" i="13" s="1"/>
  <c r="R212" i="13"/>
  <c r="R213" i="13"/>
  <c r="R214" i="13"/>
  <c r="S214" i="13" s="1"/>
  <c r="R217" i="13"/>
  <c r="S217" i="13" s="1"/>
  <c r="R218" i="13"/>
  <c r="S218" i="13" s="1"/>
  <c r="R220" i="13"/>
  <c r="S220" i="13" s="1"/>
  <c r="R222" i="13"/>
  <c r="R224" i="13"/>
  <c r="R225" i="13"/>
  <c r="R226" i="13"/>
  <c r="R227" i="13"/>
  <c r="R228" i="13"/>
  <c r="R229" i="13"/>
  <c r="R230" i="13"/>
  <c r="T230" i="13" s="1"/>
  <c r="R231" i="13"/>
  <c r="R232" i="13"/>
  <c r="R233" i="13"/>
  <c r="R234" i="13"/>
  <c r="R235" i="13"/>
  <c r="R236" i="13"/>
  <c r="R237" i="13"/>
  <c r="R238" i="13"/>
  <c r="R239" i="13"/>
  <c r="R240" i="13"/>
  <c r="R241" i="13"/>
  <c r="R242" i="13"/>
  <c r="R243" i="13"/>
  <c r="T243" i="13" s="1"/>
  <c r="R244" i="13"/>
  <c r="R245" i="13"/>
  <c r="R246" i="13"/>
  <c r="R247" i="13"/>
  <c r="R248" i="13"/>
  <c r="R249" i="13"/>
  <c r="R250" i="13"/>
  <c r="R251" i="13"/>
  <c r="R252" i="13"/>
  <c r="R253" i="13"/>
  <c r="R254" i="13"/>
  <c r="R256" i="13"/>
  <c r="R257" i="13"/>
  <c r="R6" i="13"/>
  <c r="G154" i="13"/>
  <c r="R258" i="13" l="1"/>
  <c r="S6" i="13"/>
  <c r="S203" i="13"/>
  <c r="BD32" i="8" l="1"/>
  <c r="G6" i="13" l="1"/>
  <c r="G23" i="13" l="1"/>
  <c r="K150" i="13" l="1"/>
  <c r="G152" i="13" l="1"/>
  <c r="G189" i="13"/>
  <c r="G199" i="13"/>
  <c r="B8" i="11" l="1"/>
  <c r="W123" i="1"/>
  <c r="B9" i="11" l="1"/>
  <c r="B10" i="11"/>
  <c r="G228" i="13"/>
  <c r="C47" i="9"/>
  <c r="B11" i="11" l="1"/>
  <c r="Q123" i="1"/>
  <c r="G237" i="13"/>
  <c r="H11" i="9"/>
  <c r="B12" i="11" l="1"/>
  <c r="W124" i="1"/>
  <c r="W125" i="1"/>
  <c r="W157" i="1"/>
  <c r="W158" i="1"/>
  <c r="W204" i="1"/>
  <c r="W205" i="1"/>
  <c r="W211" i="1"/>
  <c r="W21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61" i="1"/>
  <c r="W262" i="1"/>
  <c r="W267" i="1"/>
  <c r="W268" i="1"/>
  <c r="W269" i="1"/>
  <c r="W270" i="1"/>
  <c r="W271" i="1"/>
  <c r="W272" i="1"/>
  <c r="W273" i="1"/>
  <c r="W107" i="1"/>
  <c r="W108" i="1"/>
  <c r="W109" i="1"/>
  <c r="AB2" i="1"/>
  <c r="AA2" i="1"/>
  <c r="H258" i="13"/>
  <c r="G250" i="13"/>
  <c r="G249" i="13"/>
  <c r="G248" i="13"/>
  <c r="G247" i="13"/>
  <c r="G246" i="13"/>
  <c r="G245" i="13"/>
  <c r="G244" i="13"/>
  <c r="G242" i="13"/>
  <c r="G241" i="13"/>
  <c r="G239" i="13"/>
  <c r="G238" i="13"/>
  <c r="G236" i="13"/>
  <c r="G235" i="13"/>
  <c r="G234" i="13"/>
  <c r="G233" i="13"/>
  <c r="G232" i="13"/>
  <c r="G231" i="13"/>
  <c r="K230" i="13"/>
  <c r="G229" i="13"/>
  <c r="G227" i="13"/>
  <c r="G226" i="13"/>
  <c r="G225" i="13"/>
  <c r="G224" i="13"/>
  <c r="G222" i="13"/>
  <c r="G220" i="13"/>
  <c r="G218" i="13"/>
  <c r="G217" i="13"/>
  <c r="G216" i="13"/>
  <c r="G214" i="13"/>
  <c r="G213" i="13"/>
  <c r="G212" i="13"/>
  <c r="G210" i="13"/>
  <c r="G209" i="13"/>
  <c r="G208" i="13"/>
  <c r="G207" i="13"/>
  <c r="G206" i="13"/>
  <c r="G205" i="13"/>
  <c r="G204" i="13"/>
  <c r="G203" i="13"/>
  <c r="G202" i="13"/>
  <c r="G201" i="13"/>
  <c r="G200" i="13"/>
  <c r="G198" i="13"/>
  <c r="G197" i="13"/>
  <c r="G196" i="13"/>
  <c r="G195" i="13"/>
  <c r="G194" i="13"/>
  <c r="G192" i="13"/>
  <c r="G191" i="13"/>
  <c r="G190" i="13"/>
  <c r="G188" i="13"/>
  <c r="G187" i="13"/>
  <c r="G186" i="13"/>
  <c r="G184" i="13"/>
  <c r="G183" i="13"/>
  <c r="G182" i="13"/>
  <c r="G181" i="13"/>
  <c r="K180" i="13"/>
  <c r="G180" i="13"/>
  <c r="G178" i="13"/>
  <c r="G177" i="13"/>
  <c r="G176" i="13"/>
  <c r="G174" i="13"/>
  <c r="G173" i="13"/>
  <c r="G172" i="13"/>
  <c r="G171" i="13"/>
  <c r="G170" i="13"/>
  <c r="G169" i="13"/>
  <c r="G167" i="13"/>
  <c r="G166" i="13"/>
  <c r="G165" i="13"/>
  <c r="G164" i="13"/>
  <c r="G161" i="13"/>
  <c r="G160" i="13"/>
  <c r="G159" i="13"/>
  <c r="G158" i="13"/>
  <c r="G157" i="13"/>
  <c r="G155" i="13"/>
  <c r="G153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19" i="13"/>
  <c r="G118" i="13"/>
  <c r="G117" i="13"/>
  <c r="G116" i="13"/>
  <c r="G115" i="13"/>
  <c r="G114" i="13"/>
  <c r="G113" i="13"/>
  <c r="G111" i="13"/>
  <c r="G110" i="13"/>
  <c r="G109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7" i="13"/>
  <c r="G86" i="13"/>
  <c r="G85" i="13"/>
  <c r="G83" i="13"/>
  <c r="G82" i="13"/>
  <c r="G81" i="13"/>
  <c r="G80" i="13"/>
  <c r="G78" i="13"/>
  <c r="G76" i="13"/>
  <c r="G75" i="13"/>
  <c r="G74" i="13"/>
  <c r="G73" i="13"/>
  <c r="G72" i="13"/>
  <c r="G71" i="13"/>
  <c r="G70" i="13"/>
  <c r="G69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1" i="13"/>
  <c r="G50" i="13"/>
  <c r="G49" i="13"/>
  <c r="G46" i="13"/>
  <c r="G43" i="13"/>
  <c r="G37" i="13"/>
  <c r="G36" i="13"/>
  <c r="G35" i="13"/>
  <c r="G22" i="13"/>
  <c r="H37" i="9"/>
  <c r="B13" i="11" l="1"/>
  <c r="C24" i="9"/>
  <c r="B14" i="11" l="1"/>
  <c r="C27" i="9"/>
  <c r="C25" i="9"/>
  <c r="B15" i="11" l="1"/>
  <c r="C12" i="9"/>
  <c r="C26" i="9"/>
  <c r="B16" i="11" l="1"/>
  <c r="B17" i="11" s="1"/>
  <c r="B18" i="11" s="1"/>
  <c r="B19" i="11" s="1"/>
  <c r="B20" i="11" s="1"/>
  <c r="B21" i="11" s="1"/>
  <c r="B22" i="11" s="1"/>
  <c r="B23" i="11" s="1"/>
  <c r="B24" i="11" s="1"/>
  <c r="G54" i="1"/>
  <c r="W54" i="1" s="1"/>
  <c r="G80" i="1"/>
  <c r="W80" i="1" s="1"/>
  <c r="G81" i="1"/>
  <c r="W81" i="1" s="1"/>
  <c r="J80" i="1"/>
  <c r="G77" i="1"/>
  <c r="W77" i="1" s="1"/>
  <c r="AC2" i="1"/>
  <c r="G74" i="1" l="1"/>
  <c r="W74" i="1" s="1"/>
  <c r="J55" i="1"/>
  <c r="I77" i="1"/>
  <c r="J77" i="1"/>
  <c r="J54" i="1"/>
  <c r="I55" i="1"/>
  <c r="J79" i="1"/>
  <c r="L79" i="1" s="1"/>
  <c r="M79" i="1" s="1"/>
  <c r="J81" i="1"/>
  <c r="J73" i="1"/>
  <c r="L73" i="1" s="1"/>
  <c r="M73" i="1" s="1"/>
  <c r="G55" i="1"/>
  <c r="W55" i="1" s="1"/>
  <c r="J76" i="1"/>
  <c r="L76" i="1" s="1"/>
  <c r="M76" i="1" s="1"/>
  <c r="I80" i="1"/>
  <c r="L80" i="1" s="1"/>
  <c r="M80" i="1" s="1"/>
  <c r="I74" i="1"/>
  <c r="I81" i="1"/>
  <c r="J74" i="1"/>
  <c r="J53" i="1"/>
  <c r="L53" i="1" s="1"/>
  <c r="M53" i="1" s="1"/>
  <c r="I54" i="1"/>
  <c r="C82" i="9"/>
  <c r="L54" i="1" l="1"/>
  <c r="M54" i="1" s="1"/>
  <c r="L74" i="1"/>
  <c r="M74" i="1" s="1"/>
  <c r="M75" i="1" s="1"/>
  <c r="N73" i="1" s="1"/>
  <c r="D16" i="8" s="1"/>
  <c r="E16" i="8" s="1"/>
  <c r="L81" i="1"/>
  <c r="M81" i="1" s="1"/>
  <c r="M82" i="1" s="1"/>
  <c r="N79" i="1" s="1"/>
  <c r="D18" i="8" s="1"/>
  <c r="E18" i="8" s="1"/>
  <c r="Q76" i="1"/>
  <c r="C76" i="1" s="1"/>
  <c r="Q79" i="1"/>
  <c r="C79" i="1" s="1"/>
  <c r="Q73" i="1"/>
  <c r="C73" i="1" s="1"/>
  <c r="L55" i="1"/>
  <c r="M55" i="1" s="1"/>
  <c r="Q53" i="1"/>
  <c r="C53" i="1" s="1"/>
  <c r="L77" i="1"/>
  <c r="M77" i="1" s="1"/>
  <c r="M78" i="1" s="1"/>
  <c r="N76" i="1" s="1"/>
  <c r="D17" i="8" s="1"/>
  <c r="E17" i="8" s="1"/>
  <c r="B268" i="1"/>
  <c r="B267" i="1"/>
  <c r="B262" i="1"/>
  <c r="B261" i="1"/>
  <c r="L270" i="1"/>
  <c r="M270" i="1" s="1"/>
  <c r="B270" i="1"/>
  <c r="L269" i="1"/>
  <c r="M269" i="1" s="1"/>
  <c r="B269" i="1"/>
  <c r="L268" i="1"/>
  <c r="M268" i="1" s="1"/>
  <c r="L267" i="1"/>
  <c r="M267" i="1" s="1"/>
  <c r="L262" i="1"/>
  <c r="M262" i="1" s="1"/>
  <c r="L261" i="1"/>
  <c r="M261" i="1" s="1"/>
  <c r="L258" i="1"/>
  <c r="M258" i="1" s="1"/>
  <c r="B258" i="1"/>
  <c r="L257" i="1"/>
  <c r="M257" i="1" s="1"/>
  <c r="B257" i="1"/>
  <c r="L256" i="1"/>
  <c r="M256" i="1" s="1"/>
  <c r="B256" i="1"/>
  <c r="L255" i="1"/>
  <c r="M255" i="1" s="1"/>
  <c r="B255" i="1"/>
  <c r="L254" i="1"/>
  <c r="M254" i="1" s="1"/>
  <c r="B254" i="1"/>
  <c r="L253" i="1"/>
  <c r="M253" i="1" s="1"/>
  <c r="B253" i="1"/>
  <c r="L252" i="1"/>
  <c r="M252" i="1" s="1"/>
  <c r="B252" i="1"/>
  <c r="L251" i="1"/>
  <c r="M251" i="1" s="1"/>
  <c r="B251" i="1"/>
  <c r="L250" i="1"/>
  <c r="M250" i="1" s="1"/>
  <c r="B250" i="1"/>
  <c r="L249" i="1"/>
  <c r="M249" i="1" s="1"/>
  <c r="B249" i="1"/>
  <c r="L248" i="1"/>
  <c r="M248" i="1" s="1"/>
  <c r="B248" i="1"/>
  <c r="L247" i="1"/>
  <c r="B247" i="1"/>
  <c r="Q54" i="1" l="1"/>
  <c r="C54" i="1" s="1"/>
  <c r="Q55" i="1" s="1"/>
  <c r="C55" i="1" s="1"/>
  <c r="M56" i="1"/>
  <c r="N53" i="1" s="1"/>
  <c r="D11" i="8" s="1"/>
  <c r="E11" i="8" s="1"/>
  <c r="Q74" i="1"/>
  <c r="C74" i="1" s="1"/>
  <c r="Q75" i="1" s="1"/>
  <c r="Q77" i="1"/>
  <c r="C77" i="1" s="1"/>
  <c r="Q78" i="1" s="1"/>
  <c r="Q56" i="1"/>
  <c r="Q80" i="1"/>
  <c r="C80" i="1" s="1"/>
  <c r="Q81" i="1" s="1"/>
  <c r="C81" i="1" s="1"/>
  <c r="Q82" i="1" s="1"/>
  <c r="C25" i="11"/>
  <c r="I25" i="11" s="1"/>
  <c r="C24" i="11"/>
  <c r="I24" i="11" s="1"/>
  <c r="C23" i="11"/>
  <c r="I23" i="11" s="1"/>
  <c r="C132" i="11"/>
  <c r="I132" i="11" s="1"/>
  <c r="C135" i="11"/>
  <c r="I135" i="11" s="1"/>
  <c r="C137" i="11"/>
  <c r="I137" i="11" s="1"/>
  <c r="C141" i="11"/>
  <c r="I141" i="11" s="1"/>
  <c r="C131" i="11"/>
  <c r="I131" i="11" s="1"/>
  <c r="C136" i="11"/>
  <c r="I136" i="11" s="1"/>
  <c r="C140" i="11"/>
  <c r="I140" i="11" s="1"/>
  <c r="C138" i="11"/>
  <c r="I138" i="11" s="1"/>
  <c r="C134" i="11"/>
  <c r="I134" i="11" s="1"/>
  <c r="C139" i="11"/>
  <c r="I139" i="11" s="1"/>
  <c r="C133" i="11"/>
  <c r="I133" i="11" s="1"/>
  <c r="C142" i="11"/>
  <c r="I142" i="11" s="1"/>
  <c r="N257" i="1"/>
  <c r="N255" i="1"/>
  <c r="N249" i="1"/>
  <c r="M247" i="1"/>
  <c r="N247" i="1" s="1"/>
  <c r="N251" i="1"/>
  <c r="N253" i="1"/>
  <c r="N261" i="1"/>
  <c r="N267" i="1"/>
  <c r="N269" i="1"/>
  <c r="O2" i="1" l="1"/>
  <c r="N2" i="1"/>
  <c r="C17" i="9" l="1"/>
  <c r="J66" i="1" l="1"/>
  <c r="J67" i="1"/>
  <c r="G67" i="1"/>
  <c r="W67" i="1" s="1"/>
  <c r="J58" i="1"/>
  <c r="G66" i="1"/>
  <c r="W66" i="1" s="1"/>
  <c r="M2" i="1"/>
  <c r="I67" i="1" l="1"/>
  <c r="L67" i="1" s="1"/>
  <c r="M67" i="1" s="1"/>
  <c r="J65" i="1"/>
  <c r="L65" i="1" s="1"/>
  <c r="M65" i="1" s="1"/>
  <c r="Q65" i="1" s="1"/>
  <c r="C65" i="1" s="1"/>
  <c r="G70" i="1"/>
  <c r="W70" i="1" s="1"/>
  <c r="I70" i="1"/>
  <c r="J69" i="1"/>
  <c r="L69" i="1" s="1"/>
  <c r="M69" i="1" s="1"/>
  <c r="J70" i="1"/>
  <c r="J71" i="1"/>
  <c r="I71" i="1"/>
  <c r="G71" i="1"/>
  <c r="W71" i="1" s="1"/>
  <c r="I66" i="1"/>
  <c r="L66" i="1" s="1"/>
  <c r="M66" i="1" s="1"/>
  <c r="J42" i="1"/>
  <c r="J63" i="1"/>
  <c r="I42" i="1"/>
  <c r="J61" i="1"/>
  <c r="L61" i="1" s="1"/>
  <c r="M61" i="1" s="1"/>
  <c r="J41" i="1"/>
  <c r="L41" i="1" s="1"/>
  <c r="M41" i="1" s="1"/>
  <c r="G42" i="1"/>
  <c r="W42" i="1" s="1"/>
  <c r="G62" i="1"/>
  <c r="W62" i="1" s="1"/>
  <c r="G63" i="1"/>
  <c r="W63" i="1" s="1"/>
  <c r="I63" i="1"/>
  <c r="J62" i="1"/>
  <c r="J59" i="1"/>
  <c r="I62" i="1"/>
  <c r="I59" i="1"/>
  <c r="I58" i="1"/>
  <c r="G58" i="1"/>
  <c r="W58" i="1" s="1"/>
  <c r="G59" i="1"/>
  <c r="W59" i="1" s="1"/>
  <c r="J57" i="1"/>
  <c r="L57" i="1" s="1"/>
  <c r="M57" i="1" s="1"/>
  <c r="J38" i="1"/>
  <c r="G38" i="1"/>
  <c r="W38" i="1" s="1"/>
  <c r="I38" i="1"/>
  <c r="J50" i="1"/>
  <c r="G50" i="1"/>
  <c r="W50" i="1" s="1"/>
  <c r="I51" i="1"/>
  <c r="J49" i="1"/>
  <c r="L49" i="1" s="1"/>
  <c r="M49" i="1" s="1"/>
  <c r="J37" i="1"/>
  <c r="L37" i="1" s="1"/>
  <c r="M37" i="1" s="1"/>
  <c r="J39" i="1"/>
  <c r="G51" i="1"/>
  <c r="W51" i="1" s="1"/>
  <c r="G39" i="1"/>
  <c r="W39" i="1" s="1"/>
  <c r="I39" i="1"/>
  <c r="J51" i="1"/>
  <c r="I50" i="1"/>
  <c r="G163" i="1"/>
  <c r="W163" i="1" s="1"/>
  <c r="G164" i="1"/>
  <c r="W164" i="1" s="1"/>
  <c r="G179" i="1"/>
  <c r="W179" i="1" s="1"/>
  <c r="I192" i="1"/>
  <c r="I193" i="1"/>
  <c r="J197" i="1"/>
  <c r="I167" i="1"/>
  <c r="J168" i="1"/>
  <c r="J191" i="1"/>
  <c r="L191" i="1" s="1"/>
  <c r="M191" i="1" s="1"/>
  <c r="J178" i="1"/>
  <c r="G196" i="1"/>
  <c r="W196" i="1" s="1"/>
  <c r="J164" i="1"/>
  <c r="I196" i="1"/>
  <c r="J34" i="1"/>
  <c r="J193" i="1"/>
  <c r="J173" i="1"/>
  <c r="G170" i="1"/>
  <c r="W170" i="1" s="1"/>
  <c r="I178" i="1"/>
  <c r="G192" i="1"/>
  <c r="W192" i="1" s="1"/>
  <c r="J166" i="1"/>
  <c r="L166" i="1" s="1"/>
  <c r="M166" i="1" s="1"/>
  <c r="G169" i="1"/>
  <c r="W169" i="1" s="1"/>
  <c r="G175" i="1"/>
  <c r="W175" i="1" s="1"/>
  <c r="J163" i="1"/>
  <c r="J195" i="1"/>
  <c r="L195" i="1" s="1"/>
  <c r="M195" i="1" s="1"/>
  <c r="G178" i="1"/>
  <c r="W178" i="1" s="1"/>
  <c r="I34" i="1"/>
  <c r="J170" i="1"/>
  <c r="G34" i="1"/>
  <c r="W34" i="1" s="1"/>
  <c r="J175" i="1"/>
  <c r="I169" i="1"/>
  <c r="G167" i="1"/>
  <c r="W167" i="1" s="1"/>
  <c r="I35" i="1"/>
  <c r="G180" i="1"/>
  <c r="W180" i="1" s="1"/>
  <c r="G173" i="1"/>
  <c r="W173" i="1" s="1"/>
  <c r="J35" i="1"/>
  <c r="G193" i="1"/>
  <c r="W193" i="1" s="1"/>
  <c r="I173" i="1"/>
  <c r="I175" i="1"/>
  <c r="J169" i="1"/>
  <c r="G174" i="1"/>
  <c r="W174" i="1" s="1"/>
  <c r="I180" i="1"/>
  <c r="J167" i="1"/>
  <c r="I174" i="1"/>
  <c r="I164" i="1"/>
  <c r="I168" i="1"/>
  <c r="J192" i="1"/>
  <c r="G197" i="1"/>
  <c r="W197" i="1" s="1"/>
  <c r="J174" i="1"/>
  <c r="J179" i="1"/>
  <c r="I163" i="1"/>
  <c r="I179" i="1"/>
  <c r="J177" i="1"/>
  <c r="L177" i="1" s="1"/>
  <c r="M177" i="1" s="1"/>
  <c r="G35" i="1"/>
  <c r="W35" i="1" s="1"/>
  <c r="J180" i="1"/>
  <c r="J196" i="1"/>
  <c r="J172" i="1"/>
  <c r="L172" i="1" s="1"/>
  <c r="M172" i="1" s="1"/>
  <c r="I197" i="1"/>
  <c r="I170" i="1"/>
  <c r="G168" i="1"/>
  <c r="W168" i="1" s="1"/>
  <c r="L2" i="1"/>
  <c r="K2" i="1"/>
  <c r="M68" i="1" l="1"/>
  <c r="N65" i="1" s="1"/>
  <c r="D14" i="8" s="1"/>
  <c r="E14" i="8" s="1"/>
  <c r="L71" i="1"/>
  <c r="M71" i="1" s="1"/>
  <c r="Q69" i="1"/>
  <c r="C69" i="1" s="1"/>
  <c r="L70" i="1"/>
  <c r="M70" i="1" s="1"/>
  <c r="Q66" i="1"/>
  <c r="C66" i="1" s="1"/>
  <c r="Q67" i="1" s="1"/>
  <c r="C67" i="1" s="1"/>
  <c r="L63" i="1"/>
  <c r="M63" i="1" s="1"/>
  <c r="L62" i="1"/>
  <c r="M62" i="1" s="1"/>
  <c r="Q41" i="1"/>
  <c r="C41" i="1" s="1"/>
  <c r="Q61" i="1"/>
  <c r="C61" i="1" s="1"/>
  <c r="L42" i="1"/>
  <c r="M42" i="1" s="1"/>
  <c r="M43" i="1" s="1"/>
  <c r="L50" i="1"/>
  <c r="M50" i="1" s="1"/>
  <c r="L58" i="1"/>
  <c r="M58" i="1" s="1"/>
  <c r="Q57" i="1"/>
  <c r="C57" i="1" s="1"/>
  <c r="L59" i="1"/>
  <c r="M59" i="1" s="1"/>
  <c r="L39" i="1"/>
  <c r="M39" i="1" s="1"/>
  <c r="Q37" i="1"/>
  <c r="C37" i="1" s="1"/>
  <c r="Q49" i="1"/>
  <c r="C49" i="1" s="1"/>
  <c r="L51" i="1"/>
  <c r="M51" i="1" s="1"/>
  <c r="L38" i="1"/>
  <c r="M38" i="1" s="1"/>
  <c r="L179" i="1"/>
  <c r="M179" i="1" s="1"/>
  <c r="L197" i="1"/>
  <c r="M197" i="1" s="1"/>
  <c r="L173" i="1"/>
  <c r="M173" i="1" s="1"/>
  <c r="L164" i="1"/>
  <c r="M164" i="1" s="1"/>
  <c r="L35" i="1"/>
  <c r="M35" i="1" s="1"/>
  <c r="L174" i="1"/>
  <c r="M174" i="1" s="1"/>
  <c r="L169" i="1"/>
  <c r="M169" i="1" s="1"/>
  <c r="L178" i="1"/>
  <c r="M178" i="1" s="1"/>
  <c r="L193" i="1"/>
  <c r="M193" i="1" s="1"/>
  <c r="L167" i="1"/>
  <c r="M167" i="1" s="1"/>
  <c r="L192" i="1"/>
  <c r="M192" i="1" s="1"/>
  <c r="Q177" i="1"/>
  <c r="C177" i="1" s="1"/>
  <c r="L163" i="1"/>
  <c r="M163" i="1" s="1"/>
  <c r="L175" i="1"/>
  <c r="M175" i="1" s="1"/>
  <c r="L34" i="1"/>
  <c r="M34" i="1" s="1"/>
  <c r="Q166" i="1"/>
  <c r="C166" i="1" s="1"/>
  <c r="C22" i="11"/>
  <c r="I22" i="11" s="1"/>
  <c r="L196" i="1"/>
  <c r="M196" i="1" s="1"/>
  <c r="L180" i="1"/>
  <c r="M180" i="1" s="1"/>
  <c r="Q195" i="1"/>
  <c r="C195" i="1" s="1"/>
  <c r="Q172" i="1"/>
  <c r="C172" i="1" s="1"/>
  <c r="L170" i="1"/>
  <c r="M170" i="1" s="1"/>
  <c r="L168" i="1"/>
  <c r="M168" i="1" s="1"/>
  <c r="Q191" i="1"/>
  <c r="C191" i="1" s="1"/>
  <c r="Q253" i="1"/>
  <c r="C253" i="1" s="1"/>
  <c r="Q254" i="1" s="1"/>
  <c r="C254" i="1" s="1"/>
  <c r="Q257" i="1"/>
  <c r="C257" i="1" s="1"/>
  <c r="Q258" i="1" s="1"/>
  <c r="Q247" i="1"/>
  <c r="Q269" i="1"/>
  <c r="C269" i="1" s="1"/>
  <c r="Q270" i="1" s="1"/>
  <c r="C270" i="1" s="1"/>
  <c r="Q261" i="1"/>
  <c r="Q267" i="1"/>
  <c r="C267" i="1" s="1"/>
  <c r="Q251" i="1"/>
  <c r="Q255" i="1"/>
  <c r="C255" i="1" s="1"/>
  <c r="Q256" i="1" s="1"/>
  <c r="C256" i="1" s="1"/>
  <c r="Q249" i="1"/>
  <c r="Q125" i="1"/>
  <c r="Q124" i="1"/>
  <c r="M72" i="1" l="1"/>
  <c r="N69" i="1" s="1"/>
  <c r="D15" i="8" s="1"/>
  <c r="E15" i="8" s="1"/>
  <c r="Q62" i="1"/>
  <c r="C62" i="1" s="1"/>
  <c r="Q63" i="1" s="1"/>
  <c r="C63" i="1" s="1"/>
  <c r="Q68" i="1"/>
  <c r="Q70" i="1"/>
  <c r="C70" i="1" s="1"/>
  <c r="Q71" i="1" s="1"/>
  <c r="C71" i="1" s="1"/>
  <c r="C21" i="11"/>
  <c r="I21" i="11" s="1"/>
  <c r="M64" i="1"/>
  <c r="N61" i="1" s="1"/>
  <c r="D13" i="8" s="1"/>
  <c r="E13" i="8" s="1"/>
  <c r="M40" i="1"/>
  <c r="N37" i="1" s="1"/>
  <c r="D8" i="8" s="1"/>
  <c r="E8" i="8" s="1"/>
  <c r="Q173" i="1"/>
  <c r="C173" i="1" s="1"/>
  <c r="Q174" i="1" s="1"/>
  <c r="C174" i="1" s="1"/>
  <c r="Q175" i="1" s="1"/>
  <c r="C175" i="1" s="1"/>
  <c r="C17" i="11"/>
  <c r="I17" i="11" s="1"/>
  <c r="M52" i="1"/>
  <c r="N49" i="1" s="1"/>
  <c r="Q42" i="1"/>
  <c r="C42" i="1" s="1"/>
  <c r="C15" i="11"/>
  <c r="I15" i="11" s="1"/>
  <c r="N41" i="1"/>
  <c r="M60" i="1"/>
  <c r="N57" i="1" s="1"/>
  <c r="Q38" i="1"/>
  <c r="C38" i="1" s="1"/>
  <c r="Q39" i="1" s="1"/>
  <c r="C39" i="1" s="1"/>
  <c r="Q58" i="1"/>
  <c r="C58" i="1" s="1"/>
  <c r="Q59" i="1" s="1"/>
  <c r="C59" i="1" s="1"/>
  <c r="C14" i="11"/>
  <c r="I14" i="11" s="1"/>
  <c r="M176" i="1"/>
  <c r="Q50" i="1"/>
  <c r="C50" i="1" s="1"/>
  <c r="Q51" i="1" s="1"/>
  <c r="C51" i="1" s="1"/>
  <c r="C12" i="11"/>
  <c r="I12" i="11" s="1"/>
  <c r="M171" i="1"/>
  <c r="N166" i="1" s="1"/>
  <c r="M181" i="1"/>
  <c r="N177" i="1" s="1"/>
  <c r="M194" i="1"/>
  <c r="N191" i="1" s="1"/>
  <c r="Q178" i="1"/>
  <c r="C178" i="1" s="1"/>
  <c r="Q179" i="1" s="1"/>
  <c r="C179" i="1" s="1"/>
  <c r="Q180" i="1" s="1"/>
  <c r="C180" i="1" s="1"/>
  <c r="Q196" i="1"/>
  <c r="C196" i="1" s="1"/>
  <c r="Q197" i="1" s="1"/>
  <c r="C197" i="1" s="1"/>
  <c r="C19" i="11"/>
  <c r="I19" i="11" s="1"/>
  <c r="Q192" i="1"/>
  <c r="C192" i="1" s="1"/>
  <c r="Q193" i="1" s="1"/>
  <c r="C193" i="1" s="1"/>
  <c r="Q167" i="1"/>
  <c r="C167" i="1" s="1"/>
  <c r="Q168" i="1" s="1"/>
  <c r="C168" i="1" s="1"/>
  <c r="Q169" i="1" s="1"/>
  <c r="C169" i="1" s="1"/>
  <c r="Q170" i="1" s="1"/>
  <c r="C170" i="1" s="1"/>
  <c r="M198" i="1"/>
  <c r="G256" i="13"/>
  <c r="G255" i="13"/>
  <c r="G257" i="13"/>
  <c r="C251" i="1"/>
  <c r="Q252" i="1" s="1"/>
  <c r="C252" i="1" s="1"/>
  <c r="C247" i="1"/>
  <c r="C249" i="1"/>
  <c r="Q250" i="1" s="1"/>
  <c r="C261" i="1"/>
  <c r="Q262" i="1" s="1"/>
  <c r="C262" i="1" s="1"/>
  <c r="C258" i="1"/>
  <c r="Q268" i="1"/>
  <c r="C268" i="1" s="1"/>
  <c r="Q72" i="1" l="1"/>
  <c r="Q64" i="1"/>
  <c r="Q52" i="1"/>
  <c r="Q40" i="1"/>
  <c r="Q60" i="1"/>
  <c r="Q43" i="1"/>
  <c r="C16" i="11"/>
  <c r="I16" i="11" s="1"/>
  <c r="Q176" i="1"/>
  <c r="Q194" i="1"/>
  <c r="N172" i="1"/>
  <c r="Q181" i="1"/>
  <c r="Q171" i="1"/>
  <c r="C9" i="11"/>
  <c r="I9" i="11" s="1"/>
  <c r="C18" i="11"/>
  <c r="I18" i="11" s="1"/>
  <c r="N195" i="1"/>
  <c r="Q198" i="1"/>
  <c r="C20" i="11"/>
  <c r="I20" i="11" s="1"/>
  <c r="Q248" i="1"/>
  <c r="G251" i="13" s="1"/>
  <c r="G252" i="13"/>
  <c r="G253" i="13"/>
  <c r="G254" i="13"/>
  <c r="G240" i="13"/>
  <c r="C250" i="1"/>
  <c r="C248" i="1" l="1"/>
  <c r="G258" i="13"/>
  <c r="J188" i="1" l="1"/>
  <c r="G188" i="1"/>
  <c r="W188" i="1" s="1"/>
  <c r="C87" i="11"/>
  <c r="I87" i="11" s="1"/>
  <c r="J189" i="1"/>
  <c r="I188" i="1"/>
  <c r="I189" i="1"/>
  <c r="J187" i="1"/>
  <c r="L187" i="1" s="1"/>
  <c r="M187" i="1" s="1"/>
  <c r="G189" i="1"/>
  <c r="W189" i="1" s="1"/>
  <c r="J162" i="1"/>
  <c r="J133" i="1"/>
  <c r="L133" i="1" s="1"/>
  <c r="M133" i="1" s="1"/>
  <c r="I162" i="1"/>
  <c r="J129" i="1"/>
  <c r="L129" i="1" s="1"/>
  <c r="M129" i="1" s="1"/>
  <c r="J131" i="1"/>
  <c r="L131" i="1" s="1"/>
  <c r="M131" i="1" s="1"/>
  <c r="J161" i="1"/>
  <c r="J135" i="1"/>
  <c r="I161" i="1"/>
  <c r="J160" i="1"/>
  <c r="L160" i="1" s="1"/>
  <c r="M160" i="1" s="1"/>
  <c r="Q160" i="1" s="1"/>
  <c r="C160" i="1" s="1"/>
  <c r="J140" i="1"/>
  <c r="G130" i="1"/>
  <c r="W130" i="1" s="1"/>
  <c r="I135" i="1"/>
  <c r="G136" i="1"/>
  <c r="W136" i="1" s="1"/>
  <c r="J139" i="1"/>
  <c r="L139" i="1" s="1"/>
  <c r="M139" i="1" s="1"/>
  <c r="Q139" i="1" s="1"/>
  <c r="C139" i="1" s="1"/>
  <c r="J141" i="1"/>
  <c r="L141" i="1" s="1"/>
  <c r="M141" i="1" s="1"/>
  <c r="J143" i="1"/>
  <c r="L143" i="1" s="1"/>
  <c r="M143" i="1" s="1"/>
  <c r="I134" i="1"/>
  <c r="J130" i="1"/>
  <c r="J137" i="1"/>
  <c r="L137" i="1" s="1"/>
  <c r="M137" i="1" s="1"/>
  <c r="G134" i="1"/>
  <c r="W134" i="1" s="1"/>
  <c r="G135" i="1"/>
  <c r="W135" i="1" s="1"/>
  <c r="I130" i="1"/>
  <c r="J136" i="1"/>
  <c r="J134" i="1"/>
  <c r="G161" i="1"/>
  <c r="W161" i="1" s="1"/>
  <c r="G162" i="1"/>
  <c r="W162" i="1" s="1"/>
  <c r="G140" i="1"/>
  <c r="W140" i="1" s="1"/>
  <c r="I136" i="1"/>
  <c r="J144" i="1"/>
  <c r="L144" i="1" s="1"/>
  <c r="M144" i="1" s="1"/>
  <c r="I140" i="1"/>
  <c r="C92" i="9"/>
  <c r="G94" i="9"/>
  <c r="G93" i="9"/>
  <c r="G92" i="9"/>
  <c r="L140" i="1" l="1"/>
  <c r="M140" i="1" s="1"/>
  <c r="M142" i="1" s="1"/>
  <c r="L189" i="1"/>
  <c r="M189" i="1" s="1"/>
  <c r="L188" i="1"/>
  <c r="M188" i="1" s="1"/>
  <c r="Q187" i="1"/>
  <c r="C187" i="1" s="1"/>
  <c r="C82" i="11" s="1"/>
  <c r="I82" i="11" s="1"/>
  <c r="C86" i="11"/>
  <c r="I86" i="11" s="1"/>
  <c r="L130" i="1"/>
  <c r="M130" i="1" s="1"/>
  <c r="M132" i="1" s="1"/>
  <c r="N129" i="1" s="1"/>
  <c r="L134" i="1"/>
  <c r="M134" i="1" s="1"/>
  <c r="L136" i="1"/>
  <c r="M136" i="1" s="1"/>
  <c r="M145" i="1"/>
  <c r="N143" i="1" s="1"/>
  <c r="Q143" i="1"/>
  <c r="C143" i="1" s="1"/>
  <c r="Q129" i="1"/>
  <c r="C129" i="1" s="1"/>
  <c r="C79" i="11"/>
  <c r="I79" i="11" s="1"/>
  <c r="L135" i="1"/>
  <c r="M135" i="1" s="1"/>
  <c r="L161" i="1"/>
  <c r="M161" i="1" s="1"/>
  <c r="Q161" i="1" s="1"/>
  <c r="C161" i="1" s="1"/>
  <c r="L162" i="1"/>
  <c r="M162" i="1" s="1"/>
  <c r="Q133" i="1"/>
  <c r="C133" i="1" s="1"/>
  <c r="G83" i="9"/>
  <c r="C83" i="9"/>
  <c r="C85" i="11" l="1"/>
  <c r="I85" i="11" s="1"/>
  <c r="Q162" i="1"/>
  <c r="C162" i="1" s="1"/>
  <c r="Q163" i="1" s="1"/>
  <c r="C163" i="1" s="1"/>
  <c r="Q164" i="1" s="1"/>
  <c r="Q140" i="1"/>
  <c r="C140" i="1" s="1"/>
  <c r="Q141" i="1" s="1"/>
  <c r="C141" i="1" s="1"/>
  <c r="Q142" i="1" s="1"/>
  <c r="N139" i="1"/>
  <c r="M190" i="1"/>
  <c r="N187" i="1" s="1"/>
  <c r="Q134" i="1"/>
  <c r="C134" i="1" s="1"/>
  <c r="Q135" i="1" s="1"/>
  <c r="C135" i="1" s="1"/>
  <c r="Q136" i="1" s="1"/>
  <c r="C136" i="1" s="1"/>
  <c r="Q137" i="1" s="1"/>
  <c r="C137" i="1" s="1"/>
  <c r="Q188" i="1"/>
  <c r="C188" i="1" s="1"/>
  <c r="Q189" i="1" s="1"/>
  <c r="C189" i="1" s="1"/>
  <c r="C84" i="11" s="1"/>
  <c r="I84" i="11" s="1"/>
  <c r="C57" i="11"/>
  <c r="I57" i="11" s="1"/>
  <c r="M138" i="1"/>
  <c r="N133" i="1" s="1"/>
  <c r="Q130" i="1"/>
  <c r="C130" i="1" s="1"/>
  <c r="M165" i="1"/>
  <c r="Q144" i="1"/>
  <c r="C144" i="1" s="1"/>
  <c r="Q145" i="1" s="1"/>
  <c r="C59" i="11"/>
  <c r="I59" i="11" s="1"/>
  <c r="C81" i="11"/>
  <c r="I81" i="11" s="1"/>
  <c r="C80" i="11"/>
  <c r="I80" i="11" s="1"/>
  <c r="G65" i="9"/>
  <c r="G62" i="9"/>
  <c r="C83" i="11" l="1"/>
  <c r="I83" i="11" s="1"/>
  <c r="N160" i="1"/>
  <c r="C164" i="1"/>
  <c r="Q165" i="1" s="1"/>
  <c r="C60" i="11"/>
  <c r="I60" i="11" s="1"/>
  <c r="Q190" i="1"/>
  <c r="Q138" i="1"/>
  <c r="Q131" i="1"/>
  <c r="C131" i="1" s="1"/>
  <c r="Q132" i="1" s="1"/>
  <c r="C58" i="11"/>
  <c r="I58" i="11" s="1"/>
  <c r="G64" i="9"/>
  <c r="G63" i="9"/>
  <c r="C65" i="9"/>
  <c r="C64" i="9"/>
  <c r="C63" i="9"/>
  <c r="C81" i="9" l="1"/>
  <c r="G66" i="9" l="1"/>
  <c r="G67" i="9"/>
  <c r="H67" i="9" s="1"/>
  <c r="J214" i="1" l="1"/>
  <c r="L214" i="1" s="1"/>
  <c r="M214" i="1" s="1"/>
  <c r="J216" i="1"/>
  <c r="L216" i="1" s="1"/>
  <c r="M216" i="1" s="1"/>
  <c r="G227" i="1"/>
  <c r="W227" i="1" s="1"/>
  <c r="I225" i="1"/>
  <c r="G225" i="1"/>
  <c r="W225" i="1" s="1"/>
  <c r="J220" i="1"/>
  <c r="L220" i="1" s="1"/>
  <c r="M220" i="1" s="1"/>
  <c r="J227" i="1"/>
  <c r="J222" i="1"/>
  <c r="L222" i="1" s="1"/>
  <c r="M222" i="1" s="1"/>
  <c r="J226" i="1"/>
  <c r="J219" i="1"/>
  <c r="L219" i="1" s="1"/>
  <c r="M219" i="1" s="1"/>
  <c r="J221" i="1"/>
  <c r="L221" i="1" s="1"/>
  <c r="M221" i="1" s="1"/>
  <c r="J225" i="1"/>
  <c r="G226" i="1"/>
  <c r="W226" i="1" s="1"/>
  <c r="J33" i="1"/>
  <c r="L33" i="1" s="1"/>
  <c r="M33" i="1" s="1"/>
  <c r="J224" i="1"/>
  <c r="L224" i="1" s="1"/>
  <c r="M224" i="1" s="1"/>
  <c r="J218" i="1"/>
  <c r="L218" i="1" s="1"/>
  <c r="M218" i="1" s="1"/>
  <c r="I226" i="1"/>
  <c r="J223" i="1"/>
  <c r="L223" i="1" s="1"/>
  <c r="M223" i="1" s="1"/>
  <c r="J217" i="1"/>
  <c r="L217" i="1" s="1"/>
  <c r="M217" i="1" s="1"/>
  <c r="J215" i="1"/>
  <c r="L215" i="1" s="1"/>
  <c r="M215" i="1" s="1"/>
  <c r="I227" i="1"/>
  <c r="H66" i="9"/>
  <c r="C102" i="9"/>
  <c r="L226" i="1" l="1"/>
  <c r="M226" i="1" s="1"/>
  <c r="L227" i="1"/>
  <c r="M227" i="1" s="1"/>
  <c r="Q33" i="1"/>
  <c r="C33" i="1" s="1"/>
  <c r="L225" i="1"/>
  <c r="M225" i="1" s="1"/>
  <c r="M228" i="1"/>
  <c r="Q214" i="1"/>
  <c r="C214" i="1" s="1"/>
  <c r="C99" i="11" s="1"/>
  <c r="I99" i="11" s="1"/>
  <c r="C104" i="9"/>
  <c r="F193" i="13" l="1"/>
  <c r="I193" i="13" s="1"/>
  <c r="F223" i="13"/>
  <c r="I223" i="13" s="1"/>
  <c r="F41" i="13"/>
  <c r="I41" i="13" s="1"/>
  <c r="F40" i="13"/>
  <c r="I40" i="13" s="1"/>
  <c r="F45" i="13"/>
  <c r="I45" i="13" s="1"/>
  <c r="K45" i="13" s="1"/>
  <c r="L45" i="13" s="1"/>
  <c r="O45" i="13" s="1"/>
  <c r="F47" i="13"/>
  <c r="I47" i="13" s="1"/>
  <c r="F38" i="13"/>
  <c r="I38" i="13" s="1"/>
  <c r="F34" i="13"/>
  <c r="I34" i="13" s="1"/>
  <c r="F33" i="13"/>
  <c r="I33" i="13" s="1"/>
  <c r="F31" i="13"/>
  <c r="I31" i="13" s="1"/>
  <c r="F32" i="13"/>
  <c r="I32" i="13" s="1"/>
  <c r="F14" i="13"/>
  <c r="I14" i="13" s="1"/>
  <c r="K14" i="13" s="1"/>
  <c r="L14" i="13" s="1"/>
  <c r="O14" i="13" s="1"/>
  <c r="F16" i="13"/>
  <c r="I16" i="13" s="1"/>
  <c r="F18" i="13"/>
  <c r="I18" i="13" s="1"/>
  <c r="F19" i="13"/>
  <c r="I19" i="13" s="1"/>
  <c r="F15" i="13"/>
  <c r="I15" i="13" s="1"/>
  <c r="F17" i="13"/>
  <c r="I17" i="13" s="1"/>
  <c r="F13" i="13"/>
  <c r="I13" i="13" s="1"/>
  <c r="F12" i="13"/>
  <c r="I12" i="13" s="1"/>
  <c r="F9" i="13"/>
  <c r="I9" i="13" s="1"/>
  <c r="F10" i="13"/>
  <c r="I10" i="13" s="1"/>
  <c r="F8" i="13"/>
  <c r="I8" i="13" s="1"/>
  <c r="F11" i="13"/>
  <c r="I11" i="13" s="1"/>
  <c r="F28" i="13"/>
  <c r="I28" i="13" s="1"/>
  <c r="F29" i="13"/>
  <c r="I29" i="13" s="1"/>
  <c r="F27" i="13"/>
  <c r="I27" i="13" s="1"/>
  <c r="F26" i="13"/>
  <c r="I26" i="13" s="1"/>
  <c r="F25" i="13"/>
  <c r="I25" i="13" s="1"/>
  <c r="F24" i="13"/>
  <c r="I24" i="13" s="1"/>
  <c r="C73" i="11"/>
  <c r="I73" i="11" s="1"/>
  <c r="N214" i="1"/>
  <c r="F185" i="13"/>
  <c r="I185" i="13" s="1"/>
  <c r="T185" i="13" s="1"/>
  <c r="F221" i="13"/>
  <c r="I221" i="13" s="1"/>
  <c r="T221" i="13" s="1"/>
  <c r="Q34" i="1"/>
  <c r="Q215" i="1"/>
  <c r="C215" i="1" s="1"/>
  <c r="F52" i="13"/>
  <c r="I52" i="13" s="1"/>
  <c r="T52" i="13" s="1"/>
  <c r="F215" i="13"/>
  <c r="I215" i="13" s="1"/>
  <c r="T215" i="13" s="1"/>
  <c r="F42" i="13"/>
  <c r="I42" i="13" s="1"/>
  <c r="T42" i="13" s="1"/>
  <c r="F179" i="13"/>
  <c r="I179" i="13" s="1"/>
  <c r="T179" i="13" s="1"/>
  <c r="M36" i="1"/>
  <c r="C103" i="9"/>
  <c r="K193" i="13" l="1"/>
  <c r="L193" i="13" s="1"/>
  <c r="O193" i="13" s="1"/>
  <c r="J193" i="13"/>
  <c r="T193" i="13"/>
  <c r="K223" i="13"/>
  <c r="L223" i="13" s="1"/>
  <c r="O223" i="13" s="1"/>
  <c r="J223" i="13"/>
  <c r="T223" i="13"/>
  <c r="K40" i="13"/>
  <c r="L40" i="13" s="1"/>
  <c r="O40" i="13" s="1"/>
  <c r="J40" i="13"/>
  <c r="T40" i="13"/>
  <c r="K41" i="13"/>
  <c r="L41" i="13" s="1"/>
  <c r="O41" i="13" s="1"/>
  <c r="J41" i="13"/>
  <c r="T41" i="13"/>
  <c r="T45" i="13"/>
  <c r="J45" i="13"/>
  <c r="K47" i="13"/>
  <c r="L47" i="13" s="1"/>
  <c r="O47" i="13" s="1"/>
  <c r="J47" i="13"/>
  <c r="T47" i="13"/>
  <c r="J38" i="13"/>
  <c r="K38" i="13"/>
  <c r="L38" i="13" s="1"/>
  <c r="O38" i="13" s="1"/>
  <c r="T38" i="13"/>
  <c r="K33" i="13"/>
  <c r="L33" i="13" s="1"/>
  <c r="O33" i="13" s="1"/>
  <c r="J33" i="13"/>
  <c r="T33" i="13"/>
  <c r="J34" i="13"/>
  <c r="T34" i="13"/>
  <c r="K34" i="13"/>
  <c r="L34" i="13" s="1"/>
  <c r="O34" i="13" s="1"/>
  <c r="J31" i="13"/>
  <c r="K31" i="13"/>
  <c r="K32" i="13"/>
  <c r="J32" i="13"/>
  <c r="T14" i="13"/>
  <c r="J14" i="13"/>
  <c r="K17" i="13"/>
  <c r="L17" i="13" s="1"/>
  <c r="O17" i="13" s="1"/>
  <c r="J17" i="13"/>
  <c r="T17" i="13"/>
  <c r="K15" i="13"/>
  <c r="L15" i="13" s="1"/>
  <c r="O15" i="13" s="1"/>
  <c r="J15" i="13"/>
  <c r="T15" i="13"/>
  <c r="K19" i="13"/>
  <c r="L19" i="13" s="1"/>
  <c r="O19" i="13" s="1"/>
  <c r="J19" i="13"/>
  <c r="T19" i="13"/>
  <c r="K18" i="13"/>
  <c r="L18" i="13" s="1"/>
  <c r="O18" i="13" s="1"/>
  <c r="J18" i="13"/>
  <c r="T18" i="13"/>
  <c r="K16" i="13"/>
  <c r="L16" i="13" s="1"/>
  <c r="O16" i="13" s="1"/>
  <c r="J16" i="13"/>
  <c r="T16" i="13"/>
  <c r="J12" i="13"/>
  <c r="T12" i="13"/>
  <c r="K12" i="13"/>
  <c r="L12" i="13" s="1"/>
  <c r="O12" i="13" s="1"/>
  <c r="J13" i="13"/>
  <c r="K13" i="13"/>
  <c r="L13" i="13" s="1"/>
  <c r="O13" i="13" s="1"/>
  <c r="T13" i="13"/>
  <c r="K11" i="13"/>
  <c r="L11" i="13" s="1"/>
  <c r="O11" i="13" s="1"/>
  <c r="J11" i="13"/>
  <c r="T11" i="13"/>
  <c r="K8" i="13"/>
  <c r="J8" i="13"/>
  <c r="K10" i="13"/>
  <c r="L10" i="13" s="1"/>
  <c r="O10" i="13" s="1"/>
  <c r="J10" i="13"/>
  <c r="T10" i="13"/>
  <c r="K9" i="13"/>
  <c r="J9" i="13"/>
  <c r="K28" i="13"/>
  <c r="L28" i="13" s="1"/>
  <c r="O28" i="13" s="1"/>
  <c r="J28" i="13"/>
  <c r="T28" i="13"/>
  <c r="K29" i="13"/>
  <c r="L29" i="13" s="1"/>
  <c r="O29" i="13" s="1"/>
  <c r="J29" i="13"/>
  <c r="T29" i="13"/>
  <c r="K26" i="13"/>
  <c r="L26" i="13" s="1"/>
  <c r="O26" i="13" s="1"/>
  <c r="J26" i="13"/>
  <c r="T26" i="13"/>
  <c r="J27" i="13"/>
  <c r="K27" i="13"/>
  <c r="L27" i="13" s="1"/>
  <c r="O27" i="13" s="1"/>
  <c r="T27" i="13"/>
  <c r="J25" i="13"/>
  <c r="K25" i="13"/>
  <c r="L25" i="13" s="1"/>
  <c r="O25" i="13" s="1"/>
  <c r="T25" i="13"/>
  <c r="K24" i="13"/>
  <c r="L24" i="13" s="1"/>
  <c r="O24" i="13" s="1"/>
  <c r="J24" i="13"/>
  <c r="T24" i="13"/>
  <c r="C34" i="1"/>
  <c r="Q35" i="1" s="1"/>
  <c r="C35" i="1" s="1"/>
  <c r="Q36" i="1" s="1"/>
  <c r="C76" i="11"/>
  <c r="I76" i="11" s="1"/>
  <c r="C74" i="11"/>
  <c r="I74" i="11" s="1"/>
  <c r="N33" i="1"/>
  <c r="D7" i="8" s="1"/>
  <c r="E7" i="8" s="1"/>
  <c r="C75" i="11"/>
  <c r="I75" i="11" s="1"/>
  <c r="D10" i="8"/>
  <c r="E10" i="8" s="1"/>
  <c r="D12" i="8"/>
  <c r="E12" i="8" s="1"/>
  <c r="C77" i="11"/>
  <c r="I77" i="11" s="1"/>
  <c r="C78" i="11"/>
  <c r="I78" i="11" s="1"/>
  <c r="C100" i="11"/>
  <c r="I100" i="11" s="1"/>
  <c r="Q216" i="1"/>
  <c r="C216" i="1" s="1"/>
  <c r="K42" i="13"/>
  <c r="J42" i="13"/>
  <c r="K221" i="13"/>
  <c r="J221" i="13"/>
  <c r="F112" i="13"/>
  <c r="I112" i="13" s="1"/>
  <c r="T112" i="13" s="1"/>
  <c r="J215" i="13"/>
  <c r="K215" i="13"/>
  <c r="J52" i="13"/>
  <c r="K52" i="13"/>
  <c r="J179" i="13"/>
  <c r="K179" i="13"/>
  <c r="K185" i="13"/>
  <c r="J185" i="13"/>
  <c r="C105" i="9"/>
  <c r="L31" i="13" l="1"/>
  <c r="O31" i="13" s="1"/>
  <c r="T31" i="13"/>
  <c r="L32" i="13"/>
  <c r="O32" i="13" s="1"/>
  <c r="T32" i="13"/>
  <c r="L9" i="13"/>
  <c r="O9" i="13" s="1"/>
  <c r="T9" i="13"/>
  <c r="L8" i="13"/>
  <c r="O8" i="13" s="1"/>
  <c r="T8" i="13"/>
  <c r="C6" i="11"/>
  <c r="I6" i="11" s="1"/>
  <c r="D9" i="8"/>
  <c r="E9" i="8" s="1"/>
  <c r="L52" i="13"/>
  <c r="O52" i="13" s="1"/>
  <c r="L42" i="13"/>
  <c r="O42" i="13" s="1"/>
  <c r="L215" i="13"/>
  <c r="O215" i="13" s="1"/>
  <c r="K112" i="13"/>
  <c r="J112" i="13"/>
  <c r="L221" i="13"/>
  <c r="C101" i="11"/>
  <c r="I101" i="11" s="1"/>
  <c r="Q217" i="1"/>
  <c r="C217" i="1" s="1"/>
  <c r="L185" i="13"/>
  <c r="O185" i="13" s="1"/>
  <c r="L179" i="13"/>
  <c r="O179" i="13" s="1"/>
  <c r="C23" i="9"/>
  <c r="L112" i="13" l="1"/>
  <c r="O112" i="13" s="1"/>
  <c r="C102" i="11"/>
  <c r="I102" i="11" s="1"/>
  <c r="Q218" i="1"/>
  <c r="C218" i="1" s="1"/>
  <c r="Q219" i="1" l="1"/>
  <c r="C219" i="1" s="1"/>
  <c r="C103" i="11"/>
  <c r="I103" i="11" s="1"/>
  <c r="C61" i="9"/>
  <c r="C10" i="11" l="1"/>
  <c r="I10" i="11" s="1"/>
  <c r="Q220" i="1"/>
  <c r="C104" i="11"/>
  <c r="I104" i="11" s="1"/>
  <c r="C100" i="9"/>
  <c r="C11" i="11" l="1"/>
  <c r="I11" i="11" s="1"/>
  <c r="C220" i="1"/>
  <c r="Q221" i="1" s="1"/>
  <c r="C221" i="1" s="1"/>
  <c r="C53" i="11"/>
  <c r="I53" i="11" s="1"/>
  <c r="C58" i="9"/>
  <c r="C105" i="11" l="1"/>
  <c r="I105" i="11" s="1"/>
  <c r="C54" i="11"/>
  <c r="I54" i="11" s="1"/>
  <c r="C51" i="11"/>
  <c r="I51" i="11" s="1"/>
  <c r="C106" i="11"/>
  <c r="I106" i="11" s="1"/>
  <c r="Q222" i="1"/>
  <c r="C49" i="9"/>
  <c r="C13" i="11" l="1"/>
  <c r="I13" i="11" s="1"/>
  <c r="C222" i="1"/>
  <c r="Q223" i="1" s="1"/>
  <c r="C223" i="1" s="1"/>
  <c r="C55" i="11"/>
  <c r="I55" i="11" s="1"/>
  <c r="C33" i="9"/>
  <c r="C52" i="11" l="1"/>
  <c r="I52" i="11" s="1"/>
  <c r="C107" i="11"/>
  <c r="I107" i="11" s="1"/>
  <c r="C108" i="11"/>
  <c r="I108" i="11" s="1"/>
  <c r="Q224" i="1"/>
  <c r="C56" i="11"/>
  <c r="I56" i="11" s="1"/>
  <c r="C41" i="9"/>
  <c r="C224" i="1" l="1"/>
  <c r="R225" i="1" s="1"/>
  <c r="F219" i="13"/>
  <c r="I219" i="13" s="1"/>
  <c r="T219" i="13" s="1"/>
  <c r="C35" i="11"/>
  <c r="I35" i="11" s="1"/>
  <c r="G38" i="9"/>
  <c r="H31" i="9"/>
  <c r="C34" i="9"/>
  <c r="C109" i="11" l="1"/>
  <c r="I109" i="11" s="1"/>
  <c r="K219" i="13"/>
  <c r="J219" i="13"/>
  <c r="C225" i="1"/>
  <c r="C36" i="11"/>
  <c r="I36" i="11" s="1"/>
  <c r="C55" i="9"/>
  <c r="C57" i="9"/>
  <c r="L219" i="13" l="1"/>
  <c r="C37" i="11"/>
  <c r="I37" i="11" s="1"/>
  <c r="R226" i="1"/>
  <c r="C110" i="11"/>
  <c r="I110" i="11" s="1"/>
  <c r="C98" i="9"/>
  <c r="C38" i="11" l="1"/>
  <c r="I38" i="11" s="1"/>
  <c r="C226" i="1"/>
  <c r="I2" i="1"/>
  <c r="C48" i="9"/>
  <c r="C39" i="11" l="1"/>
  <c r="I39" i="11" s="1"/>
  <c r="R227" i="1"/>
  <c r="C111" i="11"/>
  <c r="I111" i="11" s="1"/>
  <c r="C44" i="9"/>
  <c r="C40" i="11" l="1"/>
  <c r="I40" i="11" s="1"/>
  <c r="C227" i="1"/>
  <c r="F229" i="13"/>
  <c r="C42" i="9"/>
  <c r="C45" i="9"/>
  <c r="C41" i="11" l="1"/>
  <c r="I41" i="11" s="1"/>
  <c r="C112" i="11"/>
  <c r="I112" i="11" s="1"/>
  <c r="Q228" i="1"/>
  <c r="C56" i="9"/>
  <c r="C42" i="11" l="1"/>
  <c r="I42" i="11" s="1"/>
  <c r="C47" i="11"/>
  <c r="I47" i="11" s="1"/>
  <c r="C59" i="9"/>
  <c r="C60" i="9"/>
  <c r="C43" i="11" l="1"/>
  <c r="I43" i="11" s="1"/>
  <c r="C48" i="11"/>
  <c r="I48" i="11" s="1"/>
  <c r="G52" i="9"/>
  <c r="G69" i="9"/>
  <c r="C44" i="11" l="1"/>
  <c r="I44" i="11" s="1"/>
  <c r="C49" i="11"/>
  <c r="I49" i="11" s="1"/>
  <c r="C99" i="9"/>
  <c r="C46" i="11" l="1"/>
  <c r="I46" i="11" s="1"/>
  <c r="C50" i="11"/>
  <c r="I50" i="11" s="1"/>
  <c r="H5" i="8"/>
  <c r="A12" i="9" s="1"/>
  <c r="F12" i="9" s="1"/>
  <c r="J5" i="8"/>
  <c r="A32" i="9" s="1"/>
  <c r="F32" i="9" s="1"/>
  <c r="AP5" i="8"/>
  <c r="A81" i="9" s="1"/>
  <c r="F81" i="9" s="1"/>
  <c r="M5" i="8"/>
  <c r="A23" i="9" s="1"/>
  <c r="F23" i="9" s="1"/>
  <c r="AQ5" i="8"/>
  <c r="A82" i="9" s="1"/>
  <c r="F82" i="9" s="1"/>
  <c r="I5" i="8"/>
  <c r="A17" i="9" s="1"/>
  <c r="F17" i="9" s="1"/>
  <c r="AY5" i="8"/>
  <c r="A104" i="9" s="1"/>
  <c r="F104" i="9" s="1"/>
  <c r="X5" i="8"/>
  <c r="A47" i="9" s="1"/>
  <c r="F47" i="9" s="1"/>
  <c r="AT5" i="8"/>
  <c r="A99" i="9" s="1"/>
  <c r="F99" i="9" s="1"/>
  <c r="V5" i="8"/>
  <c r="A45" i="9" s="1"/>
  <c r="F45" i="9" s="1"/>
  <c r="AS5" i="8"/>
  <c r="A92" i="9" s="1"/>
  <c r="F92" i="9" s="1"/>
  <c r="AA5" i="8"/>
  <c r="A55" i="9" s="1"/>
  <c r="F55" i="9" s="1"/>
  <c r="AW5" i="8"/>
  <c r="A102" i="9" s="1"/>
  <c r="F102" i="9" s="1"/>
  <c r="N5" i="8"/>
  <c r="A24" i="9" s="1"/>
  <c r="F24" i="9" s="1"/>
  <c r="AF5" i="8"/>
  <c r="A60" i="9" s="1"/>
  <c r="F60" i="9" s="1"/>
  <c r="P5" i="8"/>
  <c r="A26" i="9" s="1"/>
  <c r="F26" i="9" s="1"/>
  <c r="AZ5" i="8"/>
  <c r="A105" i="9" s="1"/>
  <c r="F105" i="9" s="1"/>
  <c r="L5" i="8"/>
  <c r="A34" i="9" s="1"/>
  <c r="F34" i="9" s="1"/>
  <c r="AH5" i="8"/>
  <c r="A61" i="9" s="1"/>
  <c r="F61" i="9" s="1"/>
  <c r="AD5" i="8"/>
  <c r="A58" i="9" s="1"/>
  <c r="F58" i="9" s="1"/>
  <c r="K5" i="8"/>
  <c r="A33" i="9" s="1"/>
  <c r="F33" i="9" s="1"/>
  <c r="AE5" i="8"/>
  <c r="A59" i="9" s="1"/>
  <c r="F59" i="9" s="1"/>
  <c r="O5" i="8"/>
  <c r="A25" i="9" s="1"/>
  <c r="F25" i="9" s="1"/>
  <c r="Z5" i="8"/>
  <c r="A49" i="9" s="1"/>
  <c r="F49" i="9" s="1"/>
  <c r="BD34" i="8"/>
  <c r="AC5" i="8"/>
  <c r="A57" i="9" s="1"/>
  <c r="AG5" i="8"/>
  <c r="AR5" i="8"/>
  <c r="A83" i="9" s="1"/>
  <c r="F83" i="9" s="1"/>
  <c r="Q5" i="8"/>
  <c r="A27" i="9" s="1"/>
  <c r="F27" i="9" s="1"/>
  <c r="AK5" i="8"/>
  <c r="A63" i="9" s="1"/>
  <c r="F63" i="9" s="1"/>
  <c r="AV5" i="8"/>
  <c r="A100" i="9" s="1"/>
  <c r="F100" i="9" s="1"/>
  <c r="Y5" i="8"/>
  <c r="A48" i="9" s="1"/>
  <c r="F48" i="9" s="1"/>
  <c r="AI5" i="8"/>
  <c r="A50" i="9" s="1"/>
  <c r="AM5" i="8"/>
  <c r="A65" i="9" s="1"/>
  <c r="F65" i="9" s="1"/>
  <c r="S5" i="8"/>
  <c r="A42" i="9" s="1"/>
  <c r="F42" i="9" s="1"/>
  <c r="AL5" i="8"/>
  <c r="A64" i="9" s="1"/>
  <c r="F64" i="9" s="1"/>
  <c r="U5" i="8"/>
  <c r="A44" i="9" s="1"/>
  <c r="F44" i="9" s="1"/>
  <c r="AU5" i="8"/>
  <c r="A98" i="9" s="1"/>
  <c r="F98" i="9" s="1"/>
  <c r="AX5" i="8"/>
  <c r="A103" i="9" s="1"/>
  <c r="F103" i="9" s="1"/>
  <c r="R5" i="8"/>
  <c r="A41" i="9" s="1"/>
  <c r="AB5" i="8"/>
  <c r="A56" i="9" s="1"/>
  <c r="F56" i="9" s="1"/>
  <c r="F41" i="9" l="1"/>
  <c r="A51" i="9"/>
  <c r="F50" i="9"/>
  <c r="H50" i="9" s="1"/>
  <c r="F57" i="9"/>
  <c r="H57" i="9" s="1"/>
  <c r="C45" i="11"/>
  <c r="I45" i="11" s="1"/>
  <c r="F168" i="13"/>
  <c r="I168" i="13" s="1"/>
  <c r="T168" i="13" s="1"/>
  <c r="H59" i="9"/>
  <c r="H45" i="9"/>
  <c r="H65" i="9"/>
  <c r="H62" i="9"/>
  <c r="H33" i="9"/>
  <c r="H25" i="9"/>
  <c r="H48" i="9"/>
  <c r="H58" i="9"/>
  <c r="H47" i="9"/>
  <c r="H100" i="9"/>
  <c r="H61" i="9"/>
  <c r="H42" i="9"/>
  <c r="H34" i="9"/>
  <c r="H63" i="9"/>
  <c r="H56" i="9"/>
  <c r="H27" i="9"/>
  <c r="H105" i="9"/>
  <c r="H83" i="9"/>
  <c r="H26" i="9"/>
  <c r="H60" i="9"/>
  <c r="H24" i="9"/>
  <c r="H44" i="9"/>
  <c r="H64" i="9"/>
  <c r="H49" i="9"/>
  <c r="A85" i="9"/>
  <c r="F85" i="9" s="1"/>
  <c r="A19" i="9"/>
  <c r="F19" i="9" s="1"/>
  <c r="A18" i="9"/>
  <c r="F18" i="9" s="1"/>
  <c r="H17" i="9"/>
  <c r="A93" i="9"/>
  <c r="H92" i="9"/>
  <c r="H82" i="9"/>
  <c r="A68" i="9"/>
  <c r="F68" i="9" s="1"/>
  <c r="H55" i="9"/>
  <c r="A29" i="9"/>
  <c r="F29" i="9" s="1"/>
  <c r="H23" i="9"/>
  <c r="H81" i="9"/>
  <c r="A36" i="9"/>
  <c r="F36" i="9" s="1"/>
  <c r="H12" i="9"/>
  <c r="A14" i="9"/>
  <c r="F14" i="9" s="1"/>
  <c r="F51" i="9"/>
  <c r="H41" i="9"/>
  <c r="H32" i="9"/>
  <c r="A94" i="9" l="1"/>
  <c r="F94" i="9" s="1"/>
  <c r="H94" i="9" s="1"/>
  <c r="F93" i="9"/>
  <c r="K168" i="13"/>
  <c r="J168" i="13"/>
  <c r="F7" i="13"/>
  <c r="I7" i="13" s="1"/>
  <c r="K7" i="13" s="1"/>
  <c r="F120" i="13"/>
  <c r="I120" i="13" s="1"/>
  <c r="T120" i="13" s="1"/>
  <c r="F88" i="13"/>
  <c r="I88" i="13" s="1"/>
  <c r="T88" i="13" s="1"/>
  <c r="F21" i="13"/>
  <c r="I21" i="13" s="1"/>
  <c r="H93" i="9"/>
  <c r="H18" i="9"/>
  <c r="H19" i="9"/>
  <c r="A86" i="9"/>
  <c r="F86" i="9" s="1"/>
  <c r="H85" i="9"/>
  <c r="H51" i="9"/>
  <c r="A53" i="9"/>
  <c r="F53" i="9" s="1"/>
  <c r="A15" i="9"/>
  <c r="F15" i="9" s="1"/>
  <c r="H14" i="9"/>
  <c r="A87" i="9"/>
  <c r="F87" i="9" s="1"/>
  <c r="H36" i="9"/>
  <c r="A39" i="9"/>
  <c r="F39" i="9" s="1"/>
  <c r="A30" i="9"/>
  <c r="F30" i="9" s="1"/>
  <c r="H29" i="9"/>
  <c r="H68" i="9"/>
  <c r="A70" i="9"/>
  <c r="F70" i="9" s="1"/>
  <c r="K88" i="13" l="1"/>
  <c r="L88" i="13" s="1"/>
  <c r="O88" i="13" s="1"/>
  <c r="L168" i="13"/>
  <c r="O168" i="13" s="1"/>
  <c r="J7" i="13"/>
  <c r="K120" i="13"/>
  <c r="J120" i="13"/>
  <c r="L7" i="13"/>
  <c r="O7" i="13" s="1"/>
  <c r="T7" i="13"/>
  <c r="J88" i="13"/>
  <c r="K21" i="13"/>
  <c r="J21" i="13"/>
  <c r="F164" i="13"/>
  <c r="I164" i="13" s="1"/>
  <c r="T164" i="13" s="1"/>
  <c r="F95" i="13"/>
  <c r="I95" i="13" s="1"/>
  <c r="T95" i="13" s="1"/>
  <c r="F115" i="13"/>
  <c r="I115" i="13" s="1"/>
  <c r="T115" i="13" s="1"/>
  <c r="F122" i="13"/>
  <c r="I122" i="13" s="1"/>
  <c r="T122" i="13" s="1"/>
  <c r="I229" i="13"/>
  <c r="T229" i="13" s="1"/>
  <c r="F82" i="13"/>
  <c r="I82" i="13" s="1"/>
  <c r="T82" i="13" s="1"/>
  <c r="F178" i="13"/>
  <c r="I178" i="13" s="1"/>
  <c r="T178" i="13" s="1"/>
  <c r="F132" i="13"/>
  <c r="I132" i="13" s="1"/>
  <c r="T132" i="13" s="1"/>
  <c r="F93" i="13"/>
  <c r="I93" i="13" s="1"/>
  <c r="T93" i="13" s="1"/>
  <c r="F201" i="13"/>
  <c r="I201" i="13" s="1"/>
  <c r="T201" i="13" s="1"/>
  <c r="F250" i="13"/>
  <c r="I250" i="13" s="1"/>
  <c r="T250" i="13" s="1"/>
  <c r="F206" i="13"/>
  <c r="I206" i="13" s="1"/>
  <c r="T206" i="13" s="1"/>
  <c r="F157" i="13"/>
  <c r="I157" i="13" s="1"/>
  <c r="T157" i="13" s="1"/>
  <c r="F54" i="13"/>
  <c r="I54" i="13" s="1"/>
  <c r="T54" i="13" s="1"/>
  <c r="F226" i="13"/>
  <c r="I226" i="13" s="1"/>
  <c r="T226" i="13" s="1"/>
  <c r="F119" i="13"/>
  <c r="I119" i="13" s="1"/>
  <c r="T119" i="13" s="1"/>
  <c r="F49" i="13"/>
  <c r="I49" i="13" s="1"/>
  <c r="T49" i="13" s="1"/>
  <c r="F137" i="13"/>
  <c r="I137" i="13" s="1"/>
  <c r="T137" i="13" s="1"/>
  <c r="F94" i="13"/>
  <c r="I94" i="13" s="1"/>
  <c r="T94" i="13" s="1"/>
  <c r="F62" i="13"/>
  <c r="I62" i="13" s="1"/>
  <c r="T62" i="13" s="1"/>
  <c r="F103" i="13"/>
  <c r="I103" i="13" s="1"/>
  <c r="T103" i="13" s="1"/>
  <c r="F46" i="13"/>
  <c r="I46" i="13" s="1"/>
  <c r="T46" i="13" s="1"/>
  <c r="F171" i="13"/>
  <c r="I171" i="13" s="1"/>
  <c r="F237" i="13"/>
  <c r="I237" i="13" s="1"/>
  <c r="T237" i="13" s="1"/>
  <c r="F63" i="13"/>
  <c r="I63" i="13" s="1"/>
  <c r="T63" i="13" s="1"/>
  <c r="F160" i="13"/>
  <c r="I160" i="13" s="1"/>
  <c r="T160" i="13" s="1"/>
  <c r="F184" i="13"/>
  <c r="I184" i="13" s="1"/>
  <c r="T184" i="13" s="1"/>
  <c r="F35" i="13"/>
  <c r="I35" i="13" s="1"/>
  <c r="T35" i="13" s="1"/>
  <c r="F53" i="13"/>
  <c r="I53" i="13" s="1"/>
  <c r="T53" i="13" s="1"/>
  <c r="F102" i="13"/>
  <c r="I102" i="13" s="1"/>
  <c r="T102" i="13" s="1"/>
  <c r="F210" i="13"/>
  <c r="I210" i="13" s="1"/>
  <c r="T210" i="13" s="1"/>
  <c r="F220" i="13"/>
  <c r="I220" i="13" s="1"/>
  <c r="T220" i="13" s="1"/>
  <c r="F136" i="13"/>
  <c r="I136" i="13" s="1"/>
  <c r="T136" i="13" s="1"/>
  <c r="F217" i="13"/>
  <c r="I217" i="13" s="1"/>
  <c r="T217" i="13" s="1"/>
  <c r="F228" i="13"/>
  <c r="I228" i="13" s="1"/>
  <c r="T228" i="13" s="1"/>
  <c r="F224" i="13"/>
  <c r="I224" i="13" s="1"/>
  <c r="T224" i="13" s="1"/>
  <c r="F225" i="13"/>
  <c r="I225" i="13" s="1"/>
  <c r="T225" i="13" s="1"/>
  <c r="F107" i="13"/>
  <c r="I107" i="13" s="1"/>
  <c r="T107" i="13" s="1"/>
  <c r="F188" i="13"/>
  <c r="I188" i="13" s="1"/>
  <c r="T188" i="13" s="1"/>
  <c r="F177" i="13"/>
  <c r="I177" i="13" s="1"/>
  <c r="T177" i="13" s="1"/>
  <c r="F90" i="13"/>
  <c r="I90" i="13" s="1"/>
  <c r="T90" i="13" s="1"/>
  <c r="F244" i="13"/>
  <c r="I244" i="13" s="1"/>
  <c r="T244" i="13" s="1"/>
  <c r="F73" i="13"/>
  <c r="I73" i="13" s="1"/>
  <c r="T73" i="13" s="1"/>
  <c r="F100" i="13"/>
  <c r="I100" i="13" s="1"/>
  <c r="T100" i="13" s="1"/>
  <c r="F36" i="13"/>
  <c r="I36" i="13" s="1"/>
  <c r="T36" i="13" s="1"/>
  <c r="F145" i="13"/>
  <c r="I145" i="13" s="1"/>
  <c r="T145" i="13" s="1"/>
  <c r="F247" i="13"/>
  <c r="I247" i="13" s="1"/>
  <c r="T247" i="13" s="1"/>
  <c r="F158" i="13"/>
  <c r="I158" i="13" s="1"/>
  <c r="T158" i="13" s="1"/>
  <c r="F69" i="13"/>
  <c r="I69" i="13" s="1"/>
  <c r="T69" i="13" s="1"/>
  <c r="F81" i="13"/>
  <c r="I81" i="13" s="1"/>
  <c r="T81" i="13" s="1"/>
  <c r="F92" i="13"/>
  <c r="I92" i="13" s="1"/>
  <c r="T92" i="13" s="1"/>
  <c r="F147" i="13"/>
  <c r="I147" i="13" s="1"/>
  <c r="T147" i="13" s="1"/>
  <c r="F143" i="13"/>
  <c r="I143" i="13" s="1"/>
  <c r="T143" i="13" s="1"/>
  <c r="F222" i="13"/>
  <c r="I222" i="13" s="1"/>
  <c r="T222" i="13" s="1"/>
  <c r="F104" i="13"/>
  <c r="I104" i="13" s="1"/>
  <c r="T104" i="13" s="1"/>
  <c r="F91" i="13"/>
  <c r="I91" i="13" s="1"/>
  <c r="T91" i="13" s="1"/>
  <c r="F43" i="13"/>
  <c r="I43" i="13" s="1"/>
  <c r="T43" i="13" s="1"/>
  <c r="F203" i="13"/>
  <c r="I203" i="13" s="1"/>
  <c r="T203" i="13" s="1"/>
  <c r="F57" i="13"/>
  <c r="I57" i="13" s="1"/>
  <c r="T57" i="13" s="1"/>
  <c r="F105" i="13"/>
  <c r="I105" i="13" s="1"/>
  <c r="T105" i="13" s="1"/>
  <c r="F204" i="13"/>
  <c r="I204" i="13" s="1"/>
  <c r="T204" i="13" s="1"/>
  <c r="F70" i="13"/>
  <c r="I70" i="13" s="1"/>
  <c r="T70" i="13" s="1"/>
  <c r="F166" i="13"/>
  <c r="I166" i="13" s="1"/>
  <c r="T166" i="13" s="1"/>
  <c r="F130" i="13"/>
  <c r="I130" i="13" s="1"/>
  <c r="T130" i="13" s="1"/>
  <c r="F114" i="13"/>
  <c r="I114" i="13" s="1"/>
  <c r="T114" i="13" s="1"/>
  <c r="F75" i="13"/>
  <c r="I75" i="13" s="1"/>
  <c r="T75" i="13" s="1"/>
  <c r="F149" i="13"/>
  <c r="I149" i="13" s="1"/>
  <c r="T149" i="13" s="1"/>
  <c r="F138" i="13"/>
  <c r="I138" i="13" s="1"/>
  <c r="T138" i="13" s="1"/>
  <c r="F99" i="13"/>
  <c r="I99" i="13" s="1"/>
  <c r="T99" i="13" s="1"/>
  <c r="F148" i="13"/>
  <c r="I148" i="13" s="1"/>
  <c r="T148" i="13" s="1"/>
  <c r="F139" i="13"/>
  <c r="I139" i="13" s="1"/>
  <c r="T139" i="13" s="1"/>
  <c r="F86" i="13"/>
  <c r="I86" i="13" s="1"/>
  <c r="T86" i="13" s="1"/>
  <c r="F78" i="13"/>
  <c r="I78" i="13" s="1"/>
  <c r="T78" i="13" s="1"/>
  <c r="F209" i="13"/>
  <c r="I209" i="13" s="1"/>
  <c r="T209" i="13" s="1"/>
  <c r="F248" i="13"/>
  <c r="I248" i="13" s="1"/>
  <c r="T248" i="13" s="1"/>
  <c r="F55" i="13"/>
  <c r="I55" i="13" s="1"/>
  <c r="T55" i="13" s="1"/>
  <c r="F238" i="13"/>
  <c r="I238" i="13" s="1"/>
  <c r="T238" i="13" s="1"/>
  <c r="F218" i="13"/>
  <c r="I218" i="13" s="1"/>
  <c r="T218" i="13" s="1"/>
  <c r="F129" i="13"/>
  <c r="I129" i="13" s="1"/>
  <c r="T129" i="13" s="1"/>
  <c r="F232" i="13"/>
  <c r="I232" i="13" s="1"/>
  <c r="T232" i="13" s="1"/>
  <c r="F227" i="13"/>
  <c r="I227" i="13" s="1"/>
  <c r="T227" i="13" s="1"/>
  <c r="F133" i="13"/>
  <c r="I133" i="13" s="1"/>
  <c r="T133" i="13" s="1"/>
  <c r="F199" i="13"/>
  <c r="I199" i="13" s="1"/>
  <c r="T199" i="13" s="1"/>
  <c r="F118" i="13"/>
  <c r="I118" i="13" s="1"/>
  <c r="T118" i="13" s="1"/>
  <c r="F176" i="13"/>
  <c r="I176" i="13" s="1"/>
  <c r="T176" i="13" s="1"/>
  <c r="F153" i="13"/>
  <c r="I153" i="13" s="1"/>
  <c r="T153" i="13" s="1"/>
  <c r="F113" i="13"/>
  <c r="I113" i="13" s="1"/>
  <c r="T113" i="13" s="1"/>
  <c r="F181" i="13"/>
  <c r="I181" i="13" s="1"/>
  <c r="T181" i="13" s="1"/>
  <c r="F131" i="13"/>
  <c r="I131" i="13" s="1"/>
  <c r="T131" i="13" s="1"/>
  <c r="F152" i="13"/>
  <c r="I152" i="13" s="1"/>
  <c r="T152" i="13" s="1"/>
  <c r="F196" i="13"/>
  <c r="I196" i="13" s="1"/>
  <c r="T196" i="13" s="1"/>
  <c r="F216" i="13"/>
  <c r="I216" i="13" s="1"/>
  <c r="T216" i="13" s="1"/>
  <c r="F127" i="13"/>
  <c r="I127" i="13" s="1"/>
  <c r="T127" i="13" s="1"/>
  <c r="F208" i="13"/>
  <c r="I208" i="13" s="1"/>
  <c r="T208" i="13" s="1"/>
  <c r="F189" i="13"/>
  <c r="I189" i="13" s="1"/>
  <c r="T189" i="13" s="1"/>
  <c r="F146" i="13"/>
  <c r="I146" i="13" s="1"/>
  <c r="T146" i="13" s="1"/>
  <c r="F194" i="13"/>
  <c r="I194" i="13" s="1"/>
  <c r="T194" i="13" s="1"/>
  <c r="F60" i="13"/>
  <c r="I60" i="13" s="1"/>
  <c r="T60" i="13" s="1"/>
  <c r="F117" i="13"/>
  <c r="I117" i="13" s="1"/>
  <c r="T117" i="13" s="1"/>
  <c r="F173" i="13"/>
  <c r="I173" i="13" s="1"/>
  <c r="T173" i="13" s="1"/>
  <c r="F61" i="13"/>
  <c r="I61" i="13" s="1"/>
  <c r="T61" i="13" s="1"/>
  <c r="F165" i="13"/>
  <c r="I165" i="13" s="1"/>
  <c r="T165" i="13" s="1"/>
  <c r="F121" i="13"/>
  <c r="I121" i="13" s="1"/>
  <c r="T121" i="13" s="1"/>
  <c r="F111" i="13"/>
  <c r="I111" i="13" s="1"/>
  <c r="T111" i="13" s="1"/>
  <c r="F97" i="13"/>
  <c r="I97" i="13" s="1"/>
  <c r="T97" i="13" s="1"/>
  <c r="F123" i="13"/>
  <c r="I123" i="13" s="1"/>
  <c r="T123" i="13" s="1"/>
  <c r="F58" i="13"/>
  <c r="I58" i="13" s="1"/>
  <c r="T58" i="13" s="1"/>
  <c r="F192" i="13"/>
  <c r="I192" i="13" s="1"/>
  <c r="T192" i="13" s="1"/>
  <c r="F200" i="13"/>
  <c r="I200" i="13" s="1"/>
  <c r="T200" i="13" s="1"/>
  <c r="F50" i="13"/>
  <c r="I50" i="13" s="1"/>
  <c r="T50" i="13" s="1"/>
  <c r="F110" i="13"/>
  <c r="I110" i="13" s="1"/>
  <c r="T110" i="13" s="1"/>
  <c r="F96" i="13"/>
  <c r="I96" i="13" s="1"/>
  <c r="T96" i="13" s="1"/>
  <c r="F79" i="13"/>
  <c r="I79" i="13" s="1"/>
  <c r="T79" i="13" s="1"/>
  <c r="F106" i="13"/>
  <c r="I106" i="13" s="1"/>
  <c r="T106" i="13" s="1"/>
  <c r="F65" i="13"/>
  <c r="I65" i="13" s="1"/>
  <c r="T65" i="13" s="1"/>
  <c r="F84" i="13"/>
  <c r="I84" i="13" s="1"/>
  <c r="T84" i="13" s="1"/>
  <c r="F124" i="13"/>
  <c r="I124" i="13" s="1"/>
  <c r="T124" i="13" s="1"/>
  <c r="F128" i="13"/>
  <c r="I128" i="13" s="1"/>
  <c r="T128" i="13" s="1"/>
  <c r="F205" i="13"/>
  <c r="I205" i="13" s="1"/>
  <c r="T205" i="13" s="1"/>
  <c r="F66" i="13"/>
  <c r="I66" i="13" s="1"/>
  <c r="T66" i="13" s="1"/>
  <c r="F144" i="13"/>
  <c r="I144" i="13" s="1"/>
  <c r="T144" i="13" s="1"/>
  <c r="F80" i="13"/>
  <c r="I80" i="13" s="1"/>
  <c r="T80" i="13" s="1"/>
  <c r="F151" i="13"/>
  <c r="I151" i="13" s="1"/>
  <c r="T151" i="13" s="1"/>
  <c r="F51" i="13"/>
  <c r="I51" i="13" s="1"/>
  <c r="T51" i="13" s="1"/>
  <c r="F190" i="13"/>
  <c r="I190" i="13" s="1"/>
  <c r="T190" i="13" s="1"/>
  <c r="F101" i="13"/>
  <c r="I101" i="13" s="1"/>
  <c r="T101" i="13" s="1"/>
  <c r="F242" i="13"/>
  <c r="I242" i="13" s="1"/>
  <c r="T242" i="13" s="1"/>
  <c r="F214" i="13"/>
  <c r="I214" i="13" s="1"/>
  <c r="T214" i="13" s="1"/>
  <c r="F191" i="13"/>
  <c r="I191" i="13" s="1"/>
  <c r="T191" i="13" s="1"/>
  <c r="F154" i="13"/>
  <c r="I154" i="13" s="1"/>
  <c r="T154" i="13" s="1"/>
  <c r="F76" i="13"/>
  <c r="I76" i="13" s="1"/>
  <c r="T76" i="13" s="1"/>
  <c r="F98" i="13"/>
  <c r="I98" i="13" s="1"/>
  <c r="T98" i="13" s="1"/>
  <c r="F142" i="13"/>
  <c r="I142" i="13" s="1"/>
  <c r="T142" i="13" s="1"/>
  <c r="F170" i="13"/>
  <c r="I170" i="13" s="1"/>
  <c r="T170" i="13" s="1"/>
  <c r="F195" i="13"/>
  <c r="I195" i="13" s="1"/>
  <c r="T195" i="13" s="1"/>
  <c r="F135" i="13"/>
  <c r="I135" i="13" s="1"/>
  <c r="T135" i="13" s="1"/>
  <c r="F64" i="13"/>
  <c r="I64" i="13" s="1"/>
  <c r="T64" i="13" s="1"/>
  <c r="F23" i="13"/>
  <c r="I23" i="13" s="1"/>
  <c r="K23" i="13" s="1"/>
  <c r="T23" i="13" s="1"/>
  <c r="F116" i="13"/>
  <c r="I116" i="13" s="1"/>
  <c r="T116" i="13" s="1"/>
  <c r="F241" i="13"/>
  <c r="I241" i="13" s="1"/>
  <c r="T241" i="13" s="1"/>
  <c r="F141" i="13"/>
  <c r="I141" i="13" s="1"/>
  <c r="T141" i="13" s="1"/>
  <c r="F67" i="13"/>
  <c r="I67" i="13" s="1"/>
  <c r="T67" i="13" s="1"/>
  <c r="F37" i="13"/>
  <c r="I37" i="13" s="1"/>
  <c r="T37" i="13" s="1"/>
  <c r="F59" i="13"/>
  <c r="I59" i="13" s="1"/>
  <c r="T59" i="13" s="1"/>
  <c r="F72" i="13"/>
  <c r="I72" i="13" s="1"/>
  <c r="T72" i="13" s="1"/>
  <c r="F161" i="13"/>
  <c r="I161" i="13" s="1"/>
  <c r="T161" i="13" s="1"/>
  <c r="F22" i="13"/>
  <c r="I22" i="13" s="1"/>
  <c r="K22" i="13" s="1"/>
  <c r="F236" i="13"/>
  <c r="I236" i="13" s="1"/>
  <c r="T236" i="13" s="1"/>
  <c r="F156" i="13"/>
  <c r="I156" i="13" s="1"/>
  <c r="T156" i="13" s="1"/>
  <c r="F125" i="13"/>
  <c r="I125" i="13" s="1"/>
  <c r="T125" i="13" s="1"/>
  <c r="F198" i="13"/>
  <c r="I198" i="13" s="1"/>
  <c r="T198" i="13" s="1"/>
  <c r="F234" i="13"/>
  <c r="I234" i="13" s="1"/>
  <c r="T234" i="13" s="1"/>
  <c r="F74" i="13"/>
  <c r="I74" i="13" s="1"/>
  <c r="T74" i="13" s="1"/>
  <c r="F85" i="13"/>
  <c r="I85" i="13" s="1"/>
  <c r="T85" i="13" s="1"/>
  <c r="F167" i="13"/>
  <c r="I167" i="13" s="1"/>
  <c r="T167" i="13" s="1"/>
  <c r="F83" i="13"/>
  <c r="I83" i="13" s="1"/>
  <c r="T83" i="13" s="1"/>
  <c r="F109" i="13"/>
  <c r="I109" i="13" s="1"/>
  <c r="T109" i="13" s="1"/>
  <c r="F56" i="13"/>
  <c r="I56" i="13" s="1"/>
  <c r="T56" i="13" s="1"/>
  <c r="F213" i="13"/>
  <c r="I213" i="13" s="1"/>
  <c r="T213" i="13" s="1"/>
  <c r="F87" i="13"/>
  <c r="I87" i="13" s="1"/>
  <c r="T87" i="13" s="1"/>
  <c r="F108" i="13"/>
  <c r="I108" i="13" s="1"/>
  <c r="T108" i="13" s="1"/>
  <c r="F6" i="13"/>
  <c r="I6" i="13" s="1"/>
  <c r="J6" i="13" s="1"/>
  <c r="F163" i="13"/>
  <c r="I163" i="13" s="1"/>
  <c r="T163" i="13" s="1"/>
  <c r="F172" i="13"/>
  <c r="I172" i="13" s="1"/>
  <c r="T172" i="13" s="1"/>
  <c r="F48" i="13"/>
  <c r="I48" i="13" s="1"/>
  <c r="T48" i="13" s="1"/>
  <c r="F89" i="13"/>
  <c r="I89" i="13" s="1"/>
  <c r="T89" i="13" s="1"/>
  <c r="F126" i="13"/>
  <c r="I126" i="13" s="1"/>
  <c r="T126" i="13" s="1"/>
  <c r="H30" i="9"/>
  <c r="H86" i="9"/>
  <c r="H87" i="9"/>
  <c r="H15" i="9"/>
  <c r="H39" i="9"/>
  <c r="A38" i="9"/>
  <c r="F38" i="9" s="1"/>
  <c r="A69" i="9"/>
  <c r="F69" i="9" s="1"/>
  <c r="H70" i="9"/>
  <c r="H53" i="9"/>
  <c r="F52" i="9"/>
  <c r="J222" i="13" l="1"/>
  <c r="K241" i="13"/>
  <c r="L241" i="13" s="1"/>
  <c r="O241" i="13" s="1"/>
  <c r="K214" i="13"/>
  <c r="L214" i="13" s="1"/>
  <c r="O214" i="13" s="1"/>
  <c r="J192" i="13"/>
  <c r="K194" i="13"/>
  <c r="L194" i="13" s="1"/>
  <c r="O194" i="13" s="1"/>
  <c r="K153" i="13"/>
  <c r="L153" i="13" s="1"/>
  <c r="O153" i="13" s="1"/>
  <c r="J209" i="13"/>
  <c r="K166" i="13"/>
  <c r="L166" i="13" s="1"/>
  <c r="O166" i="13" s="1"/>
  <c r="K143" i="13"/>
  <c r="L143" i="13" s="1"/>
  <c r="O143" i="13" s="1"/>
  <c r="J244" i="13"/>
  <c r="K102" i="13"/>
  <c r="K62" i="13"/>
  <c r="L62" i="13" s="1"/>
  <c r="O62" i="13" s="1"/>
  <c r="J93" i="13"/>
  <c r="K124" i="13"/>
  <c r="L124" i="13" s="1"/>
  <c r="O124" i="13" s="1"/>
  <c r="J130" i="13"/>
  <c r="J242" i="13"/>
  <c r="J84" i="13"/>
  <c r="K58" i="13"/>
  <c r="L58" i="13" s="1"/>
  <c r="O58" i="13" s="1"/>
  <c r="J146" i="13"/>
  <c r="K176" i="13"/>
  <c r="L176" i="13" s="1"/>
  <c r="O176" i="13" s="1"/>
  <c r="K78" i="13"/>
  <c r="L78" i="13" s="1"/>
  <c r="O78" i="13" s="1"/>
  <c r="K70" i="13"/>
  <c r="K147" i="13"/>
  <c r="L147" i="13" s="1"/>
  <c r="O147" i="13" s="1"/>
  <c r="K90" i="13"/>
  <c r="L90" i="13" s="1"/>
  <c r="O90" i="13" s="1"/>
  <c r="J53" i="13"/>
  <c r="J94" i="13"/>
  <c r="K132" i="13"/>
  <c r="L132" i="13" s="1"/>
  <c r="O132" i="13" s="1"/>
  <c r="K248" i="13"/>
  <c r="L248" i="13" s="1"/>
  <c r="O248" i="13" s="1"/>
  <c r="J210" i="13"/>
  <c r="K116" i="13"/>
  <c r="L116" i="13" s="1"/>
  <c r="O116" i="13" s="1"/>
  <c r="K125" i="13"/>
  <c r="L125" i="13" s="1"/>
  <c r="O125" i="13" s="1"/>
  <c r="K101" i="13"/>
  <c r="L101" i="13" s="1"/>
  <c r="O101" i="13" s="1"/>
  <c r="J65" i="13"/>
  <c r="J123" i="13"/>
  <c r="J189" i="13"/>
  <c r="J118" i="13"/>
  <c r="J86" i="13"/>
  <c r="K204" i="13"/>
  <c r="L204" i="13" s="1"/>
  <c r="O204" i="13" s="1"/>
  <c r="J92" i="13"/>
  <c r="J177" i="13"/>
  <c r="K35" i="13"/>
  <c r="L35" i="13" s="1"/>
  <c r="O35" i="13" s="1"/>
  <c r="K137" i="13"/>
  <c r="L137" i="13" s="1"/>
  <c r="O137" i="13" s="1"/>
  <c r="J178" i="13"/>
  <c r="K163" i="13"/>
  <c r="L163" i="13" s="1"/>
  <c r="O163" i="13" s="1"/>
  <c r="K234" i="13"/>
  <c r="K108" i="13"/>
  <c r="L108" i="13" s="1"/>
  <c r="O108" i="13" s="1"/>
  <c r="K87" i="13"/>
  <c r="L87" i="13" s="1"/>
  <c r="O87" i="13" s="1"/>
  <c r="J156" i="13"/>
  <c r="K64" i="13"/>
  <c r="L64" i="13" s="1"/>
  <c r="O64" i="13" s="1"/>
  <c r="K190" i="13"/>
  <c r="L190" i="13" s="1"/>
  <c r="O190" i="13" s="1"/>
  <c r="J106" i="13"/>
  <c r="J97" i="13"/>
  <c r="J208" i="13"/>
  <c r="K199" i="13"/>
  <c r="L199" i="13" s="1"/>
  <c r="O199" i="13" s="1"/>
  <c r="K139" i="13"/>
  <c r="L139" i="13" s="1"/>
  <c r="O139" i="13" s="1"/>
  <c r="K105" i="13"/>
  <c r="L105" i="13" s="1"/>
  <c r="O105" i="13" s="1"/>
  <c r="J81" i="13"/>
  <c r="K188" i="13"/>
  <c r="L188" i="13" s="1"/>
  <c r="O188" i="13" s="1"/>
  <c r="J184" i="13"/>
  <c r="J49" i="13"/>
  <c r="K82" i="13"/>
  <c r="L82" i="13" s="1"/>
  <c r="O82" i="13" s="1"/>
  <c r="K141" i="13"/>
  <c r="L141" i="13" s="1"/>
  <c r="O141" i="13" s="1"/>
  <c r="K113" i="13"/>
  <c r="L113" i="13" s="1"/>
  <c r="O113" i="13" s="1"/>
  <c r="J73" i="13"/>
  <c r="K201" i="13"/>
  <c r="L201" i="13" s="1"/>
  <c r="O201" i="13" s="1"/>
  <c r="J198" i="13"/>
  <c r="J213" i="13"/>
  <c r="J236" i="13"/>
  <c r="J135" i="13"/>
  <c r="K51" i="13"/>
  <c r="L51" i="13" s="1"/>
  <c r="O51" i="13" s="1"/>
  <c r="J111" i="13"/>
  <c r="K127" i="13"/>
  <c r="L127" i="13" s="1"/>
  <c r="O127" i="13" s="1"/>
  <c r="J133" i="13"/>
  <c r="J148" i="13"/>
  <c r="K69" i="13"/>
  <c r="L69" i="13" s="1"/>
  <c r="O69" i="13" s="1"/>
  <c r="K107" i="13"/>
  <c r="L107" i="13" s="1"/>
  <c r="O107" i="13" s="1"/>
  <c r="K160" i="13"/>
  <c r="L160" i="13" s="1"/>
  <c r="O160" i="13" s="1"/>
  <c r="K119" i="13"/>
  <c r="L119" i="13" s="1"/>
  <c r="O119" i="13" s="1"/>
  <c r="K229" i="13"/>
  <c r="K56" i="13"/>
  <c r="L56" i="13" s="1"/>
  <c r="O56" i="13" s="1"/>
  <c r="K195" i="13"/>
  <c r="L195" i="13" s="1"/>
  <c r="O195" i="13" s="1"/>
  <c r="K151" i="13"/>
  <c r="L151" i="13" s="1"/>
  <c r="O151" i="13" s="1"/>
  <c r="J79" i="13"/>
  <c r="K121" i="13"/>
  <c r="L121" i="13" s="1"/>
  <c r="O121" i="13" s="1"/>
  <c r="K216" i="13"/>
  <c r="J227" i="13"/>
  <c r="K99" i="13"/>
  <c r="L99" i="13" s="1"/>
  <c r="O99" i="13" s="1"/>
  <c r="J225" i="13"/>
  <c r="J226" i="13"/>
  <c r="J122" i="13"/>
  <c r="J200" i="13"/>
  <c r="J89" i="13"/>
  <c r="J161" i="13"/>
  <c r="J170" i="13"/>
  <c r="J80" i="13"/>
  <c r="J196" i="13"/>
  <c r="J232" i="13"/>
  <c r="K138" i="13"/>
  <c r="K57" i="13"/>
  <c r="L57" i="13" s="1"/>
  <c r="O57" i="13" s="1"/>
  <c r="J158" i="13"/>
  <c r="J224" i="13"/>
  <c r="J63" i="13"/>
  <c r="J54" i="13"/>
  <c r="K60" i="13"/>
  <c r="L60" i="13" s="1"/>
  <c r="O60" i="13" s="1"/>
  <c r="J72" i="13"/>
  <c r="K144" i="13"/>
  <c r="L144" i="13" s="1"/>
  <c r="O144" i="13" s="1"/>
  <c r="J165" i="13"/>
  <c r="K152" i="13"/>
  <c r="J129" i="13"/>
  <c r="K203" i="13"/>
  <c r="L203" i="13" s="1"/>
  <c r="O203" i="13" s="1"/>
  <c r="K247" i="13"/>
  <c r="L247" i="13" s="1"/>
  <c r="O247" i="13" s="1"/>
  <c r="J228" i="13"/>
  <c r="K237" i="13"/>
  <c r="L237" i="13" s="1"/>
  <c r="O237" i="13" s="1"/>
  <c r="J157" i="13"/>
  <c r="J115" i="13"/>
  <c r="K191" i="13"/>
  <c r="L191" i="13" s="1"/>
  <c r="O191" i="13" s="1"/>
  <c r="K109" i="13"/>
  <c r="J142" i="13"/>
  <c r="K48" i="13"/>
  <c r="J83" i="13"/>
  <c r="K59" i="13"/>
  <c r="L59" i="13" s="1"/>
  <c r="O59" i="13" s="1"/>
  <c r="J98" i="13"/>
  <c r="J66" i="13"/>
  <c r="J96" i="13"/>
  <c r="J61" i="13"/>
  <c r="K218" i="13"/>
  <c r="L218" i="13" s="1"/>
  <c r="K149" i="13"/>
  <c r="L149" i="13" s="1"/>
  <c r="O149" i="13" s="1"/>
  <c r="J43" i="13"/>
  <c r="J145" i="13"/>
  <c r="K217" i="13"/>
  <c r="L217" i="13" s="1"/>
  <c r="K171" i="13"/>
  <c r="K206" i="13"/>
  <c r="L206" i="13" s="1"/>
  <c r="O206" i="13" s="1"/>
  <c r="J167" i="13"/>
  <c r="K76" i="13"/>
  <c r="L76" i="13" s="1"/>
  <c r="O76" i="13" s="1"/>
  <c r="K110" i="13"/>
  <c r="L110" i="13" s="1"/>
  <c r="O110" i="13" s="1"/>
  <c r="J173" i="13"/>
  <c r="K131" i="13"/>
  <c r="L131" i="13" s="1"/>
  <c r="O131" i="13" s="1"/>
  <c r="K238" i="13"/>
  <c r="L238" i="13" s="1"/>
  <c r="O238" i="13" s="1"/>
  <c r="J75" i="13"/>
  <c r="J91" i="13"/>
  <c r="J36" i="13"/>
  <c r="J136" i="13"/>
  <c r="J46" i="13"/>
  <c r="K250" i="13"/>
  <c r="L250" i="13" s="1"/>
  <c r="O250" i="13" s="1"/>
  <c r="K95" i="13"/>
  <c r="L95" i="13" s="1"/>
  <c r="O95" i="13" s="1"/>
  <c r="K74" i="13"/>
  <c r="L74" i="13" s="1"/>
  <c r="O74" i="13" s="1"/>
  <c r="J37" i="13"/>
  <c r="K205" i="13"/>
  <c r="L205" i="13" s="1"/>
  <c r="O205" i="13" s="1"/>
  <c r="J172" i="13"/>
  <c r="J85" i="13"/>
  <c r="K67" i="13"/>
  <c r="L67" i="13" s="1"/>
  <c r="O67" i="13" s="1"/>
  <c r="K154" i="13"/>
  <c r="L154" i="13" s="1"/>
  <c r="O154" i="13" s="1"/>
  <c r="J128" i="13"/>
  <c r="J50" i="13"/>
  <c r="K117" i="13"/>
  <c r="L117" i="13" s="1"/>
  <c r="O117" i="13" s="1"/>
  <c r="J181" i="13"/>
  <c r="K55" i="13"/>
  <c r="L55" i="13" s="1"/>
  <c r="O55" i="13" s="1"/>
  <c r="K114" i="13"/>
  <c r="L114" i="13" s="1"/>
  <c r="O114" i="13" s="1"/>
  <c r="J104" i="13"/>
  <c r="K100" i="13"/>
  <c r="L100" i="13" s="1"/>
  <c r="O100" i="13" s="1"/>
  <c r="K220" i="13"/>
  <c r="L220" i="13" s="1"/>
  <c r="K103" i="13"/>
  <c r="L103" i="13" s="1"/>
  <c r="O103" i="13" s="1"/>
  <c r="K164" i="13"/>
  <c r="L164" i="13" s="1"/>
  <c r="O164" i="13" s="1"/>
  <c r="L120" i="13"/>
  <c r="O120" i="13" s="1"/>
  <c r="L21" i="13"/>
  <c r="O21" i="13" s="1"/>
  <c r="T21" i="13"/>
  <c r="C8" i="11"/>
  <c r="I8" i="11" s="1"/>
  <c r="J206" i="13"/>
  <c r="J217" i="13"/>
  <c r="K73" i="13"/>
  <c r="F251" i="13"/>
  <c r="I251" i="13" s="1"/>
  <c r="T251" i="13" s="1"/>
  <c r="K157" i="13"/>
  <c r="K115" i="13"/>
  <c r="K43" i="13"/>
  <c r="J160" i="13"/>
  <c r="J119" i="13"/>
  <c r="J107" i="13"/>
  <c r="J90" i="13"/>
  <c r="K93" i="13"/>
  <c r="J102" i="13"/>
  <c r="K53" i="13"/>
  <c r="K177" i="13"/>
  <c r="J99" i="13"/>
  <c r="K81" i="13"/>
  <c r="J62" i="13"/>
  <c r="J164" i="13"/>
  <c r="K210" i="13"/>
  <c r="K92" i="13"/>
  <c r="J139" i="13"/>
  <c r="K148" i="13"/>
  <c r="J201" i="13"/>
  <c r="J105" i="13"/>
  <c r="K244" i="13"/>
  <c r="J95" i="13"/>
  <c r="K227" i="13"/>
  <c r="J250" i="13"/>
  <c r="J147" i="13"/>
  <c r="J220" i="13"/>
  <c r="J103" i="13"/>
  <c r="K196" i="13"/>
  <c r="K136" i="13"/>
  <c r="J143" i="13"/>
  <c r="K46" i="13"/>
  <c r="J204" i="13"/>
  <c r="K133" i="13"/>
  <c r="K96" i="13"/>
  <c r="K61" i="13"/>
  <c r="J205" i="13"/>
  <c r="K228" i="13"/>
  <c r="J171" i="13"/>
  <c r="K86" i="13"/>
  <c r="J144" i="13"/>
  <c r="K222" i="13"/>
  <c r="K111" i="13"/>
  <c r="K118" i="13"/>
  <c r="J100" i="13"/>
  <c r="J237" i="13"/>
  <c r="K63" i="13"/>
  <c r="J154" i="13"/>
  <c r="K226" i="13"/>
  <c r="J121" i="13"/>
  <c r="J199" i="13"/>
  <c r="J70" i="13"/>
  <c r="J151" i="13"/>
  <c r="J127" i="13"/>
  <c r="J176" i="13"/>
  <c r="K224" i="13"/>
  <c r="K36" i="13"/>
  <c r="K54" i="13"/>
  <c r="K91" i="13"/>
  <c r="K189" i="13"/>
  <c r="K130" i="13"/>
  <c r="J125" i="13"/>
  <c r="K123" i="13"/>
  <c r="K98" i="13"/>
  <c r="K198" i="13"/>
  <c r="J166" i="13"/>
  <c r="K208" i="13"/>
  <c r="K104" i="13"/>
  <c r="J78" i="13"/>
  <c r="J67" i="13"/>
  <c r="K209" i="13"/>
  <c r="K106" i="13"/>
  <c r="K178" i="13"/>
  <c r="J76" i="13"/>
  <c r="J248" i="13"/>
  <c r="K145" i="13"/>
  <c r="K225" i="13"/>
  <c r="K146" i="13"/>
  <c r="J114" i="13"/>
  <c r="K97" i="13"/>
  <c r="K122" i="13"/>
  <c r="K75" i="13"/>
  <c r="J82" i="13"/>
  <c r="J247" i="13"/>
  <c r="K192" i="13"/>
  <c r="J195" i="13"/>
  <c r="J74" i="13"/>
  <c r="J51" i="13"/>
  <c r="K80" i="13"/>
  <c r="J238" i="13"/>
  <c r="J57" i="13"/>
  <c r="K184" i="13"/>
  <c r="J149" i="13"/>
  <c r="K49" i="13"/>
  <c r="K158" i="13"/>
  <c r="J35" i="13"/>
  <c r="K50" i="13"/>
  <c r="J117" i="13"/>
  <c r="J218" i="13"/>
  <c r="J188" i="13"/>
  <c r="J137" i="13"/>
  <c r="K242" i="13"/>
  <c r="L23" i="13"/>
  <c r="O23" i="13" s="1"/>
  <c r="J60" i="13"/>
  <c r="K181" i="13"/>
  <c r="J113" i="13"/>
  <c r="J132" i="13"/>
  <c r="K173" i="13"/>
  <c r="J131" i="13"/>
  <c r="K94" i="13"/>
  <c r="J69" i="13"/>
  <c r="J152" i="13"/>
  <c r="K129" i="13"/>
  <c r="J138" i="13"/>
  <c r="K128" i="13"/>
  <c r="K165" i="13"/>
  <c r="J191" i="13"/>
  <c r="J141" i="13"/>
  <c r="K232" i="13"/>
  <c r="K236" i="13"/>
  <c r="K66" i="13"/>
  <c r="J241" i="13"/>
  <c r="J58" i="13"/>
  <c r="J116" i="13"/>
  <c r="K200" i="13"/>
  <c r="J214" i="13"/>
  <c r="J124" i="13"/>
  <c r="K161" i="13"/>
  <c r="J110" i="13"/>
  <c r="J55" i="13"/>
  <c r="J190" i="13"/>
  <c r="K213" i="13"/>
  <c r="J109" i="13"/>
  <c r="K135" i="13"/>
  <c r="K142" i="13"/>
  <c r="J194" i="13"/>
  <c r="K79" i="13"/>
  <c r="J203" i="13"/>
  <c r="J216" i="13"/>
  <c r="K85" i="13"/>
  <c r="K156" i="13"/>
  <c r="K65" i="13"/>
  <c r="J153" i="13"/>
  <c r="J22" i="13"/>
  <c r="K170" i="13"/>
  <c r="J59" i="13"/>
  <c r="K37" i="13"/>
  <c r="K84" i="13"/>
  <c r="J56" i="13"/>
  <c r="K72" i="13"/>
  <c r="J64" i="13"/>
  <c r="K167" i="13"/>
  <c r="K83" i="13"/>
  <c r="J101" i="13"/>
  <c r="J23" i="13"/>
  <c r="J87" i="13"/>
  <c r="J234" i="13"/>
  <c r="C7" i="11"/>
  <c r="I7" i="11" s="1"/>
  <c r="J108" i="13"/>
  <c r="K6" i="13"/>
  <c r="L6" i="13" s="1"/>
  <c r="O6" i="13" s="1"/>
  <c r="J163" i="13"/>
  <c r="K172" i="13"/>
  <c r="F155" i="13"/>
  <c r="I155" i="13" s="1"/>
  <c r="T155" i="13" s="1"/>
  <c r="J48" i="13"/>
  <c r="K89" i="13"/>
  <c r="T22" i="13"/>
  <c r="L22" i="13"/>
  <c r="O22" i="13" s="1"/>
  <c r="F68" i="13"/>
  <c r="I68" i="13" s="1"/>
  <c r="T68" i="13" s="1"/>
  <c r="J126" i="13"/>
  <c r="K126" i="13"/>
  <c r="H38" i="9"/>
  <c r="H69" i="9"/>
  <c r="H52" i="9"/>
  <c r="L102" i="13" l="1"/>
  <c r="O102" i="13" s="1"/>
  <c r="L138" i="13"/>
  <c r="O138" i="13" s="1"/>
  <c r="L142" i="13"/>
  <c r="O142" i="13" s="1"/>
  <c r="L208" i="13"/>
  <c r="O208" i="13" s="1"/>
  <c r="L224" i="13"/>
  <c r="O224" i="13" s="1"/>
  <c r="L133" i="13"/>
  <c r="O133" i="13" s="1"/>
  <c r="L184" i="13"/>
  <c r="O184" i="13" s="1"/>
  <c r="L152" i="13"/>
  <c r="O152" i="13" s="1"/>
  <c r="L89" i="13"/>
  <c r="O89" i="13" s="1"/>
  <c r="L135" i="13"/>
  <c r="O135" i="13" s="1"/>
  <c r="L81" i="13"/>
  <c r="O81" i="13" s="1"/>
  <c r="L43" i="13"/>
  <c r="O43" i="13" s="1"/>
  <c r="L109" i="13"/>
  <c r="O109" i="13" s="1"/>
  <c r="L129" i="13"/>
  <c r="O129" i="13" s="1"/>
  <c r="L63" i="13"/>
  <c r="O63" i="13" s="1"/>
  <c r="L80" i="13"/>
  <c r="O80" i="13" s="1"/>
  <c r="L225" i="13"/>
  <c r="O225" i="13" s="1"/>
  <c r="L198" i="13"/>
  <c r="O198" i="13" s="1"/>
  <c r="L46" i="13"/>
  <c r="O46" i="13" s="1"/>
  <c r="L242" i="13"/>
  <c r="O242" i="13" s="1"/>
  <c r="L171" i="13"/>
  <c r="O171" i="13" s="1"/>
  <c r="L170" i="13"/>
  <c r="O170" i="13" s="1"/>
  <c r="L70" i="13"/>
  <c r="O70" i="13" s="1"/>
  <c r="L236" i="13"/>
  <c r="O236" i="13" s="1"/>
  <c r="L157" i="13"/>
  <c r="O157" i="13" s="1"/>
  <c r="L172" i="13"/>
  <c r="O172" i="13" s="1"/>
  <c r="L83" i="13"/>
  <c r="O83" i="13" s="1"/>
  <c r="L65" i="13"/>
  <c r="O65" i="13" s="1"/>
  <c r="L50" i="13"/>
  <c r="O50" i="13" s="1"/>
  <c r="L136" i="13"/>
  <c r="O136" i="13" s="1"/>
  <c r="L73" i="13"/>
  <c r="O73" i="13" s="1"/>
  <c r="L216" i="13"/>
  <c r="L98" i="13"/>
  <c r="O98" i="13" s="1"/>
  <c r="L177" i="13"/>
  <c r="O177" i="13" s="1"/>
  <c r="L234" i="13"/>
  <c r="O234" i="13" s="1"/>
  <c r="L48" i="13"/>
  <c r="O48" i="13" s="1"/>
  <c r="L156" i="13"/>
  <c r="O156" i="13" s="1"/>
  <c r="L192" i="13"/>
  <c r="O192" i="13" s="1"/>
  <c r="L178" i="13"/>
  <c r="O178" i="13" s="1"/>
  <c r="L86" i="13"/>
  <c r="O86" i="13" s="1"/>
  <c r="L97" i="13"/>
  <c r="O97" i="13" s="1"/>
  <c r="L85" i="13"/>
  <c r="O85" i="13" s="1"/>
  <c r="L181" i="13"/>
  <c r="O181" i="13" s="1"/>
  <c r="L232" i="13"/>
  <c r="O232" i="13" s="1"/>
  <c r="L165" i="13"/>
  <c r="O165" i="13" s="1"/>
  <c r="L158" i="13"/>
  <c r="O158" i="13" s="1"/>
  <c r="L189" i="13"/>
  <c r="O189" i="13" s="1"/>
  <c r="L228" i="13"/>
  <c r="L92" i="13"/>
  <c r="O92" i="13" s="1"/>
  <c r="L128" i="13"/>
  <c r="O128" i="13" s="1"/>
  <c r="L210" i="13"/>
  <c r="O210" i="13" s="1"/>
  <c r="L79" i="13"/>
  <c r="O79" i="13" s="1"/>
  <c r="L54" i="13"/>
  <c r="O54" i="13" s="1"/>
  <c r="L61" i="13"/>
  <c r="O61" i="13" s="1"/>
  <c r="K251" i="13"/>
  <c r="L115" i="13"/>
  <c r="O115" i="13" s="1"/>
  <c r="J251" i="13"/>
  <c r="L93" i="13"/>
  <c r="O93" i="13" s="1"/>
  <c r="L53" i="13"/>
  <c r="O53" i="13" s="1"/>
  <c r="L148" i="13"/>
  <c r="O148" i="13" s="1"/>
  <c r="L96" i="13"/>
  <c r="O96" i="13" s="1"/>
  <c r="L244" i="13"/>
  <c r="O244" i="13" s="1"/>
  <c r="L226" i="13"/>
  <c r="O226" i="13" s="1"/>
  <c r="L222" i="13"/>
  <c r="L227" i="13"/>
  <c r="O227" i="13" s="1"/>
  <c r="L111" i="13"/>
  <c r="O111" i="13" s="1"/>
  <c r="L145" i="13"/>
  <c r="O145" i="13" s="1"/>
  <c r="L161" i="13"/>
  <c r="O161" i="13" s="1"/>
  <c r="L118" i="13"/>
  <c r="O118" i="13" s="1"/>
  <c r="L196" i="13"/>
  <c r="O196" i="13" s="1"/>
  <c r="L91" i="13"/>
  <c r="O91" i="13" s="1"/>
  <c r="L104" i="13"/>
  <c r="O104" i="13" s="1"/>
  <c r="L106" i="13"/>
  <c r="O106" i="13" s="1"/>
  <c r="L209" i="13"/>
  <c r="O209" i="13" s="1"/>
  <c r="L36" i="13"/>
  <c r="O36" i="13" s="1"/>
  <c r="L213" i="13"/>
  <c r="O213" i="13" s="1"/>
  <c r="L130" i="13"/>
  <c r="O130" i="13" s="1"/>
  <c r="L122" i="13"/>
  <c r="O122" i="13" s="1"/>
  <c r="L123" i="13"/>
  <c r="O123" i="13" s="1"/>
  <c r="L84" i="13"/>
  <c r="O84" i="13" s="1"/>
  <c r="L37" i="13"/>
  <c r="O37" i="13" s="1"/>
  <c r="L167" i="13"/>
  <c r="O167" i="13" s="1"/>
  <c r="L173" i="13"/>
  <c r="O173" i="13" s="1"/>
  <c r="L146" i="13"/>
  <c r="O146" i="13" s="1"/>
  <c r="L66" i="13"/>
  <c r="O66" i="13" s="1"/>
  <c r="L75" i="13"/>
  <c r="O75" i="13" s="1"/>
  <c r="L94" i="13"/>
  <c r="O94" i="13" s="1"/>
  <c r="L49" i="13"/>
  <c r="O49" i="13" s="1"/>
  <c r="L200" i="13"/>
  <c r="O200" i="13" s="1"/>
  <c r="F231" i="13"/>
  <c r="I231" i="13" s="1"/>
  <c r="T231" i="13" s="1"/>
  <c r="L72" i="13"/>
  <c r="O72" i="13" s="1"/>
  <c r="T6" i="13"/>
  <c r="F245" i="13"/>
  <c r="I245" i="13" s="1"/>
  <c r="T245" i="13" s="1"/>
  <c r="K155" i="13"/>
  <c r="J155" i="13"/>
  <c r="F239" i="13"/>
  <c r="I239" i="13" s="1"/>
  <c r="T239" i="13" s="1"/>
  <c r="J68" i="13"/>
  <c r="K68" i="13"/>
  <c r="F71" i="13"/>
  <c r="I71" i="13" s="1"/>
  <c r="T71" i="13" s="1"/>
  <c r="L126" i="13"/>
  <c r="O126" i="13" s="1"/>
  <c r="H107" i="9"/>
  <c r="D32" i="8" s="1"/>
  <c r="E32" i="8" s="1"/>
  <c r="L251" i="13" l="1"/>
  <c r="O251" i="13" s="1"/>
  <c r="K231" i="13"/>
  <c r="F175" i="13"/>
  <c r="I175" i="13" s="1"/>
  <c r="T175" i="13" s="1"/>
  <c r="J231" i="13"/>
  <c r="F252" i="13"/>
  <c r="I252" i="13" s="1"/>
  <c r="T252" i="13" s="1"/>
  <c r="J245" i="13"/>
  <c r="K245" i="13"/>
  <c r="L155" i="13"/>
  <c r="O155" i="13" s="1"/>
  <c r="K239" i="13"/>
  <c r="J239" i="13"/>
  <c r="J71" i="13"/>
  <c r="K71" i="13"/>
  <c r="L68" i="13"/>
  <c r="O68" i="13" s="1"/>
  <c r="E34" i="8"/>
  <c r="L231" i="13" l="1"/>
  <c r="O231" i="13" s="1"/>
  <c r="J175" i="13"/>
  <c r="K175" i="13"/>
  <c r="J252" i="13"/>
  <c r="K252" i="13"/>
  <c r="L245" i="13"/>
  <c r="O245" i="13" s="1"/>
  <c r="L239" i="13"/>
  <c r="O239" i="13" s="1"/>
  <c r="L71" i="13"/>
  <c r="O71" i="13" s="1"/>
  <c r="F169" i="13"/>
  <c r="I169" i="13" s="1"/>
  <c r="T169" i="13" s="1"/>
  <c r="E1" i="8"/>
  <c r="G2" i="8"/>
  <c r="G1" i="8" s="1"/>
  <c r="L175" i="13" l="1"/>
  <c r="O175" i="13" s="1"/>
  <c r="L252" i="13"/>
  <c r="O252" i="13" s="1"/>
  <c r="K169" i="13"/>
  <c r="J169" i="13"/>
  <c r="L169" i="13" l="1"/>
  <c r="O169" i="13" s="1"/>
  <c r="F197" i="13" l="1"/>
  <c r="I197" i="13" s="1"/>
  <c r="T197" i="13" s="1"/>
  <c r="F159" i="13" l="1"/>
  <c r="I159" i="13" s="1"/>
  <c r="T159" i="13" s="1"/>
  <c r="J197" i="13"/>
  <c r="K197" i="13"/>
  <c r="F235" i="13"/>
  <c r="I235" i="13" s="1"/>
  <c r="T235" i="13" s="1"/>
  <c r="F140" i="13"/>
  <c r="I140" i="13" s="1"/>
  <c r="T140" i="13" s="1"/>
  <c r="J159" i="13" l="1"/>
  <c r="K159" i="13"/>
  <c r="F187" i="13"/>
  <c r="I187" i="13" s="1"/>
  <c r="T187" i="13" s="1"/>
  <c r="L197" i="13"/>
  <c r="O197" i="13" s="1"/>
  <c r="J235" i="13"/>
  <c r="K235" i="13"/>
  <c r="K140" i="13"/>
  <c r="J140" i="13"/>
  <c r="L159" i="13" l="1"/>
  <c r="O159" i="13" s="1"/>
  <c r="J187" i="13"/>
  <c r="K187" i="13"/>
  <c r="L235" i="13"/>
  <c r="O235" i="13" s="1"/>
  <c r="L140" i="13"/>
  <c r="O140" i="13" s="1"/>
  <c r="L187" i="13" l="1"/>
  <c r="O187" i="13" s="1"/>
  <c r="F233" i="13"/>
  <c r="I233" i="13" s="1"/>
  <c r="T233" i="13" s="1"/>
  <c r="J233" i="13" l="1"/>
  <c r="K233" i="13"/>
  <c r="L233" i="13" l="1"/>
  <c r="O233" i="13" s="1"/>
  <c r="F246" i="13"/>
  <c r="I246" i="13" s="1"/>
  <c r="T246" i="13" s="1"/>
  <c r="F240" i="13"/>
  <c r="I240" i="13" s="1"/>
  <c r="T240" i="13" s="1"/>
  <c r="K240" i="13" l="1"/>
  <c r="J240" i="13"/>
  <c r="K246" i="13"/>
  <c r="J246" i="13"/>
  <c r="F256" i="13" l="1"/>
  <c r="I256" i="13" s="1"/>
  <c r="T256" i="13" s="1"/>
  <c r="L240" i="13"/>
  <c r="O240" i="13" s="1"/>
  <c r="L246" i="13"/>
  <c r="O246" i="13" s="1"/>
  <c r="F257" i="13"/>
  <c r="I257" i="13" s="1"/>
  <c r="T257" i="13" s="1"/>
  <c r="K256" i="13" l="1"/>
  <c r="J256" i="13"/>
  <c r="K257" i="13"/>
  <c r="J257" i="13"/>
  <c r="L256" i="13" l="1"/>
  <c r="O256" i="13" s="1"/>
  <c r="F183" i="13"/>
  <c r="I183" i="13" s="1"/>
  <c r="T183" i="13" s="1"/>
  <c r="L257" i="13"/>
  <c r="O257" i="13" s="1"/>
  <c r="K183" i="13" l="1"/>
  <c r="L183" i="13" s="1"/>
  <c r="O183" i="13" s="1"/>
  <c r="J183" i="13"/>
  <c r="F255" i="13" l="1"/>
  <c r="I255" i="13" s="1"/>
  <c r="T255" i="13" s="1"/>
  <c r="F253" i="13" l="1"/>
  <c r="I253" i="13" s="1"/>
  <c r="T253" i="13" s="1"/>
  <c r="K255" i="13"/>
  <c r="J255" i="13"/>
  <c r="F186" i="13"/>
  <c r="J253" i="13" l="1"/>
  <c r="K253" i="13"/>
  <c r="L255" i="13"/>
  <c r="O255" i="13" s="1"/>
  <c r="I186" i="13"/>
  <c r="T186" i="13" s="1"/>
  <c r="L253" i="13" l="1"/>
  <c r="O253" i="13" s="1"/>
  <c r="K186" i="13"/>
  <c r="J186" i="13"/>
  <c r="F150" i="13" l="1"/>
  <c r="F174" i="13"/>
  <c r="I174" i="13" s="1"/>
  <c r="T174" i="13" s="1"/>
  <c r="F180" i="13"/>
  <c r="L186" i="13"/>
  <c r="O186" i="13" s="1"/>
  <c r="K174" i="13" l="1"/>
  <c r="J174" i="13"/>
  <c r="F134" i="13"/>
  <c r="L174" i="13" l="1"/>
  <c r="I134" i="13"/>
  <c r="T134" i="13" s="1"/>
  <c r="F182" i="13"/>
  <c r="I182" i="13" s="1"/>
  <c r="T182" i="13" s="1"/>
  <c r="F254" i="13"/>
  <c r="I254" i="13" s="1"/>
  <c r="T254" i="13" s="1"/>
  <c r="K134" i="13" l="1"/>
  <c r="L134" i="13" s="1"/>
  <c r="O134" i="13" s="1"/>
  <c r="J134" i="13"/>
  <c r="K182" i="13"/>
  <c r="J182" i="13"/>
  <c r="K254" i="13"/>
  <c r="J254" i="13"/>
  <c r="F202" i="13" l="1"/>
  <c r="I202" i="13" s="1"/>
  <c r="T202" i="13" s="1"/>
  <c r="L182" i="13"/>
  <c r="O182" i="13" s="1"/>
  <c r="F249" i="13"/>
  <c r="L254" i="13"/>
  <c r="O254" i="13" s="1"/>
  <c r="K202" i="13" l="1"/>
  <c r="J202" i="13"/>
  <c r="I249" i="13"/>
  <c r="T249" i="13" s="1"/>
  <c r="L202" i="13" l="1"/>
  <c r="O202" i="13" s="1"/>
  <c r="J249" i="13"/>
  <c r="K249" i="13"/>
  <c r="L249" i="13" l="1"/>
  <c r="O249" i="13" s="1"/>
  <c r="F212" i="13" l="1"/>
  <c r="I212" i="13" s="1"/>
  <c r="T212" i="13" s="1"/>
  <c r="K212" i="13" l="1"/>
  <c r="J212" i="13"/>
  <c r="L212" i="13" l="1"/>
  <c r="O212" i="13" s="1"/>
  <c r="F207" i="13"/>
  <c r="Q2" i="1"/>
  <c r="F258" i="13" l="1"/>
  <c r="I207" i="13"/>
  <c r="T207" i="13" s="1"/>
  <c r="J207" i="13" l="1"/>
  <c r="K207" i="13"/>
  <c r="I258" i="13"/>
  <c r="K258" i="13" l="1"/>
  <c r="L207" i="13"/>
  <c r="O207" i="13" s="1"/>
  <c r="O258" i="13" s="1"/>
</calcChain>
</file>

<file path=xl/comments1.xml><?xml version="1.0" encoding="utf-8"?>
<comments xmlns="http://schemas.openxmlformats.org/spreadsheetml/2006/main">
  <authors>
    <author>Emyl</author>
  </authors>
  <commentList>
    <comment ref="A131" authorId="0" shapeId="0">
      <text>
        <r>
          <rPr>
            <b/>
            <sz val="9"/>
            <color indexed="81"/>
            <rFont val="Tahoma"/>
            <family val="2"/>
            <charset val="204"/>
          </rPr>
          <t>Emyl:</t>
        </r>
        <r>
          <rPr>
            <sz val="9"/>
            <color indexed="81"/>
            <rFont val="Tahoma"/>
            <family val="2"/>
            <charset val="204"/>
          </rPr>
          <t xml:space="preserve">
19,12</t>
        </r>
      </text>
    </comment>
  </commentList>
</comments>
</file>

<file path=xl/sharedStrings.xml><?xml version="1.0" encoding="utf-8"?>
<sst xmlns="http://schemas.openxmlformats.org/spreadsheetml/2006/main" count="845" uniqueCount="444">
  <si>
    <t>Марка</t>
  </si>
  <si>
    <t>№ дет.</t>
  </si>
  <si>
    <t>Профиль</t>
  </si>
  <si>
    <t>Длина,мм</t>
  </si>
  <si>
    <t>Масса,кг</t>
  </si>
  <si>
    <t>Марка стали</t>
  </si>
  <si>
    <t>шт.</t>
  </si>
  <si>
    <t>общ.</t>
  </si>
  <si>
    <t>элем.</t>
  </si>
  <si>
    <t>х</t>
  </si>
  <si>
    <t>Таблица отправочных марок</t>
  </si>
  <si>
    <t>Отправочная марка</t>
  </si>
  <si>
    <t>Колич.</t>
  </si>
  <si>
    <t>Масса, кг</t>
  </si>
  <si>
    <t>L63x5</t>
  </si>
  <si>
    <t>Вид профиля ГОСТ, ТУ</t>
  </si>
  <si>
    <t xml:space="preserve">Марка стали по </t>
  </si>
  <si>
    <t>Обозначение и размер профиля</t>
  </si>
  <si>
    <t>Профили стальные гнутые замкнутые сварные                     ГОСТ 30245-2003</t>
  </si>
  <si>
    <t>Швеллеры стальные гнутые равнополочные  ГОСТ 8278-83</t>
  </si>
  <si>
    <t>ВСЕГО черного металла</t>
  </si>
  <si>
    <t>Ведомость метизов.</t>
  </si>
  <si>
    <t>№ п/п</t>
  </si>
  <si>
    <t>Наименование</t>
  </si>
  <si>
    <t>ГОСТ</t>
  </si>
  <si>
    <t>1 шт.</t>
  </si>
  <si>
    <t>Всех</t>
  </si>
  <si>
    <t>7798-70</t>
  </si>
  <si>
    <t>5915-70</t>
  </si>
  <si>
    <t>11371-78</t>
  </si>
  <si>
    <t>ИТОГО:</t>
  </si>
  <si>
    <t>□120х6</t>
  </si>
  <si>
    <t>□140х100х5</t>
  </si>
  <si>
    <t>ИТОГО</t>
  </si>
  <si>
    <t>Ведомость расхода металла</t>
  </si>
  <si>
    <t>L50x5</t>
  </si>
  <si>
    <t>∅10 A240</t>
  </si>
  <si>
    <t>Кол-во, шт</t>
  </si>
  <si>
    <t>шв.16П</t>
  </si>
  <si>
    <t>Примечание</t>
  </si>
  <si>
    <t>ПВ506</t>
  </si>
  <si>
    <t>L25x3</t>
  </si>
  <si>
    <t>Кол. шт</t>
  </si>
  <si>
    <t>L75x6</t>
  </si>
  <si>
    <t xml:space="preserve">Шайба 16 </t>
  </si>
  <si>
    <t>Двутавр 25Б1</t>
  </si>
  <si>
    <t xml:space="preserve">шайба 16 пружинная </t>
  </si>
  <si>
    <t>6402-70*</t>
  </si>
  <si>
    <t>□120х7</t>
  </si>
  <si>
    <t xml:space="preserve">шайба 20 пружинная </t>
  </si>
  <si>
    <t>Шайба 20</t>
  </si>
  <si>
    <t>Двутавр 30К1</t>
  </si>
  <si>
    <t>Двутавр 16Б1</t>
  </si>
  <si>
    <t>L80x6</t>
  </si>
  <si>
    <t>□100х6</t>
  </si>
  <si>
    <t>□140х6</t>
  </si>
  <si>
    <t>□80х5</t>
  </si>
  <si>
    <t>□120х8</t>
  </si>
  <si>
    <t>□140х7</t>
  </si>
  <si>
    <t>□140х8</t>
  </si>
  <si>
    <t>□160х8</t>
  </si>
  <si>
    <t>□140х100х6</t>
  </si>
  <si>
    <t>□140х120х7</t>
  </si>
  <si>
    <t>□120х80х5</t>
  </si>
  <si>
    <t>□120х80х6</t>
  </si>
  <si>
    <t>КМД</t>
  </si>
  <si>
    <t>вес</t>
  </si>
  <si>
    <t>кг/м.п.</t>
  </si>
  <si>
    <t>Местоположение</t>
  </si>
  <si>
    <t>Швеллеp с паpаллельными гpанями полок по        ГОСТ 8240-89</t>
  </si>
  <si>
    <r>
      <t xml:space="preserve">□180х140х5 </t>
    </r>
    <r>
      <rPr>
        <b/>
        <sz val="12"/>
        <color rgb="FFFF0000"/>
        <rFont val="ISOCPEUR"/>
        <family val="2"/>
        <charset val="204"/>
      </rPr>
      <t>С345</t>
    </r>
  </si>
  <si>
    <t>□100х4</t>
  </si>
  <si>
    <t>□80х3</t>
  </si>
  <si>
    <t>С345</t>
  </si>
  <si>
    <r>
      <t>□140х4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</si>
  <si>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 xml:space="preserve">□120х4 </t>
    </r>
    <r>
      <rPr>
        <b/>
        <sz val="12"/>
        <color rgb="FFFF0000"/>
        <rFont val="ISOCPEUR"/>
        <family val="2"/>
        <charset val="204"/>
      </rPr>
      <t>С345</t>
    </r>
  </si>
  <si>
    <t>□140х5</t>
  </si>
  <si>
    <t>□140х4</t>
  </si>
  <si>
    <t>□120х4</t>
  </si>
  <si>
    <t>52644-2006</t>
  </si>
  <si>
    <t>52645-2006</t>
  </si>
  <si>
    <t>высокопрочный</t>
  </si>
  <si>
    <t>52646-2006</t>
  </si>
  <si>
    <t>Гайка М20.10</t>
  </si>
  <si>
    <t>□100х3</t>
  </si>
  <si>
    <t>□200х6</t>
  </si>
  <si>
    <t>L100x63x8</t>
  </si>
  <si>
    <t>Прокат листовой из углеродистой стали обычного качества ГОСТ 14637-89</t>
  </si>
  <si>
    <t>Двутавр 30Б1</t>
  </si>
  <si>
    <t>гн.шв.200х80х5</t>
  </si>
  <si>
    <t>гн.шв.160х60х5</t>
  </si>
  <si>
    <t>гн.шв.200х60х4</t>
  </si>
  <si>
    <t>шв.12П</t>
  </si>
  <si>
    <t>Двутавр 25К1</t>
  </si>
  <si>
    <t>Двутавр 20Ш1</t>
  </si>
  <si>
    <t>Двутавр 18Б2</t>
  </si>
  <si>
    <t>□150х7</t>
  </si>
  <si>
    <t>□120х5</t>
  </si>
  <si>
    <t>□100х5</t>
  </si>
  <si>
    <t>□160х7</t>
  </si>
  <si>
    <t>□90х5</t>
  </si>
  <si>
    <t>L80x60x8</t>
  </si>
  <si>
    <t>□160х120х8</t>
  </si>
  <si>
    <t>Двутавр 12Б2</t>
  </si>
  <si>
    <t>Двутавр 25Б2</t>
  </si>
  <si>
    <t>Двутавр 30К2</t>
  </si>
  <si>
    <t>□70х5</t>
  </si>
  <si>
    <r>
      <t xml:space="preserve">□80х5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</si>
  <si>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□90х5 </t>
    </r>
    <r>
      <rPr>
        <b/>
        <sz val="12"/>
        <color rgb="FFFF0000"/>
        <rFont val="ISOCPEUR"/>
        <family val="2"/>
        <charset val="204"/>
      </rPr>
      <t>С345</t>
    </r>
  </si>
  <si>
    <t>□160х6</t>
  </si>
  <si>
    <t>□160х120х5</t>
  </si>
  <si>
    <t>□180х140х8</t>
  </si>
  <si>
    <t>□180х140х6</t>
  </si>
  <si>
    <r>
      <t xml:space="preserve">□120х5 </t>
    </r>
    <r>
      <rPr>
        <b/>
        <sz val="12"/>
        <color rgb="FFFF0000"/>
        <rFont val="ISOCPEUR"/>
        <family val="2"/>
        <charset val="204"/>
      </rPr>
      <t>С345</t>
    </r>
  </si>
  <si>
    <r>
      <t>□120х6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</si>
  <si>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>□140х7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</si>
  <si>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 xml:space="preserve">□160х8 </t>
    </r>
    <r>
      <rPr>
        <b/>
        <sz val="12"/>
        <color rgb="FFFF0000"/>
        <rFont val="ISOCPEUR"/>
        <family val="2"/>
        <charset val="204"/>
      </rPr>
      <t>С345</t>
    </r>
  </si>
  <si>
    <r>
      <t>□180х8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</si>
  <si>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>□200х8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</si>
  <si>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 xml:space="preserve">□200х9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</si>
  <si>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□300х200х10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</si>
  <si>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□240х160х9 </t>
    </r>
    <r>
      <rPr>
        <b/>
        <sz val="12"/>
        <color rgb="FFFF0000"/>
        <rFont val="ISOCPEUR"/>
        <family val="2"/>
        <charset val="204"/>
      </rPr>
      <t>С345</t>
    </r>
  </si>
  <si>
    <t>Болт М24-90.88</t>
  </si>
  <si>
    <t xml:space="preserve">шайба 24 пружинная </t>
  </si>
  <si>
    <t xml:space="preserve">шайба 24 </t>
  </si>
  <si>
    <t>кг</t>
  </si>
  <si>
    <t>м.п/м.кв</t>
  </si>
  <si>
    <t>□160х120х7</t>
  </si>
  <si>
    <t>□140х120х5</t>
  </si>
  <si>
    <t>□140х100х7</t>
  </si>
  <si>
    <t>□120х80х7</t>
  </si>
  <si>
    <t>□100х60х5</t>
  </si>
  <si>
    <t>L75x5</t>
  </si>
  <si>
    <t>L80x5</t>
  </si>
  <si>
    <t>шв.18П</t>
  </si>
  <si>
    <t>□120х60х4</t>
  </si>
  <si>
    <t>□90х4</t>
  </si>
  <si>
    <t>□80х4</t>
  </si>
  <si>
    <t>□60х4</t>
  </si>
  <si>
    <t>L100x63x6</t>
  </si>
  <si>
    <t>L50x3</t>
  </si>
  <si>
    <t>гн.шв.160х80х4</t>
  </si>
  <si>
    <t>гн.шв.180х80х5</t>
  </si>
  <si>
    <t>ПВ408</t>
  </si>
  <si>
    <t>ПВ406</t>
  </si>
  <si>
    <t>ПВ508</t>
  </si>
  <si>
    <t>Лист просечно-вытяжной</t>
  </si>
  <si>
    <t>Листы стальные с ромбическим и чечевичным рифлением ГОСТ 8568-77</t>
  </si>
  <si>
    <t>5 ромб</t>
  </si>
  <si>
    <t>4 ромб</t>
  </si>
  <si>
    <t>5 чечев</t>
  </si>
  <si>
    <t>4 чечев</t>
  </si>
  <si>
    <t>гн.шв.60х32х4</t>
  </si>
  <si>
    <t xml:space="preserve">шайба 12 пружинная </t>
  </si>
  <si>
    <t xml:space="preserve">Шайба 12 </t>
  </si>
  <si>
    <t>∅8 A500С</t>
  </si>
  <si>
    <t>□160х5</t>
  </si>
  <si>
    <t>Двутавр 30Б2</t>
  </si>
  <si>
    <t>L125x80x8</t>
  </si>
  <si>
    <t>L140x90x8</t>
  </si>
  <si>
    <t xml:space="preserve">Гайка М10.5 </t>
  </si>
  <si>
    <t>Шайба 10</t>
  </si>
  <si>
    <t>Ст3сп          ГОСТ 380-2005</t>
  </si>
  <si>
    <t xml:space="preserve"> ∅57х2,5</t>
  </si>
  <si>
    <t xml:space="preserve"> ∅33,7х2,8</t>
  </si>
  <si>
    <t xml:space="preserve"> ∅20х2</t>
  </si>
  <si>
    <t xml:space="preserve"> ∅89х4</t>
  </si>
  <si>
    <t>L70x5</t>
  </si>
  <si>
    <t>□120х60х5</t>
  </si>
  <si>
    <t>L110x7</t>
  </si>
  <si>
    <t>L80x50x5</t>
  </si>
  <si>
    <t>120</t>
  </si>
  <si>
    <t>110</t>
  </si>
  <si>
    <t>Двутавр 20Б1</t>
  </si>
  <si>
    <t>Двутавр 35Б2</t>
  </si>
  <si>
    <t>Двутавр 35Ш2</t>
  </si>
  <si>
    <r>
      <t>□140х5</t>
    </r>
    <r>
      <rPr>
        <b/>
        <sz val="12"/>
        <color rgb="FFFF0000"/>
        <rFont val="ISOCPEUR"/>
        <family val="2"/>
        <charset val="204"/>
      </rPr>
      <t xml:space="preserve"> С345</t>
    </r>
  </si>
  <si>
    <t>шв.20П</t>
  </si>
  <si>
    <t>160</t>
  </si>
  <si>
    <t>280</t>
  </si>
  <si>
    <t>210</t>
  </si>
  <si>
    <t>Шайба 24</t>
  </si>
  <si>
    <t xml:space="preserve"> кл.пр. 10,9ХЛ</t>
  </si>
  <si>
    <t>КМ1</t>
  </si>
  <si>
    <t>стыки</t>
  </si>
  <si>
    <t>дв.35Ш2</t>
  </si>
  <si>
    <t>дв.25Ш1</t>
  </si>
  <si>
    <t>дв.35Б2</t>
  </si>
  <si>
    <t>190</t>
  </si>
  <si>
    <t>дв.25Б1</t>
  </si>
  <si>
    <t>140</t>
  </si>
  <si>
    <t>дв.30К1</t>
  </si>
  <si>
    <t>150</t>
  </si>
  <si>
    <t>320</t>
  </si>
  <si>
    <t>дв.25К1</t>
  </si>
  <si>
    <t>140х5</t>
  </si>
  <si>
    <t>140х4</t>
  </si>
  <si>
    <t>115</t>
  </si>
  <si>
    <t>L40x4</t>
  </si>
  <si>
    <t>□50х4</t>
  </si>
  <si>
    <t>□200х160х5</t>
  </si>
  <si>
    <t>□70х3</t>
  </si>
  <si>
    <t>□60х2</t>
  </si>
  <si>
    <t>Материал С255 кроме оговоренного</t>
  </si>
  <si>
    <r>
      <t>□140х6</t>
    </r>
    <r>
      <rPr>
        <b/>
        <sz val="12"/>
        <color rgb="FFFF0000"/>
        <rFont val="ISOCPEUR"/>
        <family val="2"/>
        <charset val="204"/>
      </rPr>
      <t xml:space="preserve"> С345</t>
    </r>
  </si>
  <si>
    <t>L125x10</t>
  </si>
  <si>
    <r>
      <t xml:space="preserve">□200х160х10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</si>
  <si>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□160х120х6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</si>
  <si>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□100х5 </t>
    </r>
    <r>
      <rPr>
        <b/>
        <sz val="12"/>
        <color rgb="FFFF0000"/>
        <rFont val="ISOCPEUR"/>
        <family val="2"/>
        <charset val="204"/>
      </rPr>
      <t>С345</t>
    </r>
  </si>
  <si>
    <t>□240х120х5</t>
  </si>
  <si>
    <t>Двутавр 40Ш2</t>
  </si>
  <si>
    <r>
      <t xml:space="preserve">□180х5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</si>
  <si>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□160х5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</si>
  <si>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□80х4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</si>
  <si>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□60х3 </t>
    </r>
    <r>
      <rPr>
        <b/>
        <sz val="12"/>
        <color rgb="FFFF0000"/>
        <rFont val="ISOCPEUR"/>
        <family val="2"/>
        <charset val="204"/>
      </rPr>
      <t>С345</t>
    </r>
  </si>
  <si>
    <t>шв.40П</t>
  </si>
  <si>
    <t>Болт М20x110 10.9ХЛ</t>
  </si>
  <si>
    <t>Болт М20x100 10.9ХЛ</t>
  </si>
  <si>
    <t>Двутавр 40Б2</t>
  </si>
  <si>
    <r>
      <t xml:space="preserve">□200х6 </t>
    </r>
    <r>
      <rPr>
        <b/>
        <sz val="12"/>
        <color rgb="FFFF0000"/>
        <rFont val="ISOCPEUR"/>
        <family val="2"/>
        <charset val="204"/>
      </rPr>
      <t>С345</t>
    </r>
  </si>
  <si>
    <t>Болт М20x120 10.9ХЛ</t>
  </si>
  <si>
    <t>Гайка М24.10</t>
  </si>
  <si>
    <t>Болт М20x90 10.9ХЛ</t>
  </si>
  <si>
    <t>*</t>
  </si>
  <si>
    <t>Болт М20х100.88</t>
  </si>
  <si>
    <t>Ведомость деталей</t>
  </si>
  <si>
    <t>Длина, мм</t>
  </si>
  <si>
    <t>Масса кг/м.п.</t>
  </si>
  <si>
    <t>Двутавр 40К2</t>
  </si>
  <si>
    <r>
      <t xml:space="preserve">□200х10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</si>
  <si>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□160х140х8 </t>
    </r>
    <r>
      <rPr>
        <b/>
        <sz val="12"/>
        <color rgb="FFFF0000"/>
        <rFont val="ISOCPEUR"/>
        <family val="2"/>
        <charset val="204"/>
      </rPr>
      <t>С345</t>
    </r>
  </si>
  <si>
    <r>
      <t>□140х100х7</t>
    </r>
    <r>
      <rPr>
        <b/>
        <sz val="12"/>
        <color rgb="FFFF0000"/>
        <rFont val="ISOCPEUR"/>
        <family val="2"/>
        <charset val="204"/>
      </rPr>
      <t xml:space="preserve"> С345</t>
    </r>
  </si>
  <si>
    <t>Детали</t>
  </si>
  <si>
    <t>□200х160х8</t>
  </si>
  <si>
    <t>□100х7</t>
  </si>
  <si>
    <t>Прокат круглый по  ГОСТ 2590-88</t>
  </si>
  <si>
    <t>Болт М27x80 8.8</t>
  </si>
  <si>
    <t>Гайка М27.8</t>
  </si>
  <si>
    <t>Корпус талрепа М24</t>
  </si>
  <si>
    <t>Гайка М24.8</t>
  </si>
  <si>
    <t>Гайка М24.8 левая резьба</t>
  </si>
  <si>
    <t>Шайба 27</t>
  </si>
  <si>
    <t>200х160х8</t>
  </si>
  <si>
    <t>Длина сварных швов м.п.</t>
  </si>
  <si>
    <t>на 1шт</t>
  </si>
  <si>
    <t>□200х8</t>
  </si>
  <si>
    <t>Гайка М12.8</t>
  </si>
  <si>
    <t>Гайка М30.8</t>
  </si>
  <si>
    <t>4х40</t>
  </si>
  <si>
    <t>∅24</t>
  </si>
  <si>
    <t>Рельс по ГОСТ 7173-54*</t>
  </si>
  <si>
    <t>сталь 76, ГОСТР 51045-97</t>
  </si>
  <si>
    <t>ресьс Р-43</t>
  </si>
  <si>
    <t xml:space="preserve">L90x6 </t>
  </si>
  <si>
    <t>шв.30П</t>
  </si>
  <si>
    <t>Болт М20x65 10.9ХЛ</t>
  </si>
  <si>
    <t>Болт М20х60.88</t>
  </si>
  <si>
    <t>Гайка М16.5</t>
  </si>
  <si>
    <t>L90x7</t>
  </si>
  <si>
    <t>L70x8</t>
  </si>
  <si>
    <t>шв.36П</t>
  </si>
  <si>
    <t>L125x8</t>
  </si>
  <si>
    <t>гн.шв.250х125х6</t>
  </si>
  <si>
    <t>Двутавр 40Ш1</t>
  </si>
  <si>
    <t>гн.шв.140х60х4</t>
  </si>
  <si>
    <t>□40х20х3</t>
  </si>
  <si>
    <t>Двутавр 30Ш2</t>
  </si>
  <si>
    <t>L140x10</t>
  </si>
  <si>
    <t>Двутавр 40Б1</t>
  </si>
  <si>
    <t>Двутавр 30М</t>
  </si>
  <si>
    <t>Уголки стальные горячекатаные                        ГОСТ 8509-93</t>
  </si>
  <si>
    <t>Болт М20х150.88</t>
  </si>
  <si>
    <t>метизы</t>
  </si>
  <si>
    <t>□40х2</t>
  </si>
  <si>
    <t>□160х80х4</t>
  </si>
  <si>
    <t>Двутавр 35Б1</t>
  </si>
  <si>
    <t>шв.24П</t>
  </si>
  <si>
    <t>шв.27П</t>
  </si>
  <si>
    <t>шв.10П</t>
  </si>
  <si>
    <t>□60х6</t>
  </si>
  <si>
    <t>□80х6</t>
  </si>
  <si>
    <t>□80х60х6</t>
  </si>
  <si>
    <t>Болт М24-70.88</t>
  </si>
  <si>
    <t xml:space="preserve">Анкерная шпилька М12х150 </t>
  </si>
  <si>
    <t>□200х5</t>
  </si>
  <si>
    <t>□240х120х8</t>
  </si>
  <si>
    <t>6 чечев</t>
  </si>
  <si>
    <t>Балка двутавровая  горячекатаная нормальная               ГОСТ Р 57837-2017</t>
  </si>
  <si>
    <t>С255           ГОСТ 27772–2015</t>
  </si>
  <si>
    <t>С255              ГОСТ 27772–2015</t>
  </si>
  <si>
    <t>С245              ГОСТ 27772–2015</t>
  </si>
  <si>
    <t>по КМ</t>
  </si>
  <si>
    <t>шв.22П</t>
  </si>
  <si>
    <t>С245            ГОСТ 27772–2015</t>
  </si>
  <si>
    <t>Двутавр 30Ш1</t>
  </si>
  <si>
    <r>
      <rPr>
        <b/>
        <sz val="11"/>
        <color rgb="FFFF0000"/>
        <rFont val="ISOCPEUR"/>
        <family val="2"/>
        <charset val="204"/>
      </rPr>
      <t xml:space="preserve">С345-3 </t>
    </r>
    <r>
      <rPr>
        <sz val="11"/>
        <rFont val="ISOCPEUR"/>
        <family val="2"/>
        <charset val="204"/>
      </rPr>
      <t xml:space="preserve">            ГОСТ 27772–88 </t>
    </r>
  </si>
  <si>
    <r>
      <rPr>
        <b/>
        <sz val="11"/>
        <color rgb="FFFF0000"/>
        <rFont val="ISOCPEUR"/>
        <family val="2"/>
        <charset val="204"/>
      </rPr>
      <t xml:space="preserve">С345-3 </t>
    </r>
    <r>
      <rPr>
        <b/>
        <sz val="11"/>
        <rFont val="ISOCPEUR"/>
        <family val="2"/>
        <charset val="204"/>
      </rPr>
      <t xml:space="preserve">  </t>
    </r>
    <r>
      <rPr>
        <sz val="11"/>
        <rFont val="ISOCPEUR"/>
        <family val="2"/>
        <charset val="204"/>
      </rPr>
      <t xml:space="preserve">          ГОСТ 27772–2015</t>
    </r>
  </si>
  <si>
    <t>□300х200х8</t>
  </si>
  <si>
    <t>□250х10</t>
  </si>
  <si>
    <t>□180х140х5</t>
  </si>
  <si>
    <t>м.п.</t>
  </si>
  <si>
    <t>□160х4</t>
  </si>
  <si>
    <t>□200х160х6</t>
  </si>
  <si>
    <t>□250х8</t>
  </si>
  <si>
    <r>
      <t>□140х8</t>
    </r>
    <r>
      <rPr>
        <b/>
        <sz val="12"/>
        <color rgb="FFFF0000"/>
        <rFont val="ISOCPEUR"/>
        <family val="2"/>
        <charset val="204"/>
      </rPr>
      <t xml:space="preserve"> С345</t>
    </r>
  </si>
  <si>
    <t>□240х160х8</t>
  </si>
  <si>
    <r>
      <t>□200х160х8</t>
    </r>
    <r>
      <rPr>
        <b/>
        <sz val="12"/>
        <color rgb="FFFF0000"/>
        <rFont val="ISOCPEUR"/>
        <family val="2"/>
        <charset val="204"/>
      </rPr>
      <t xml:space="preserve"> С345</t>
    </r>
  </si>
  <si>
    <t>□160х120х4</t>
  </si>
  <si>
    <t>Двутавр 45Ш1</t>
  </si>
  <si>
    <r>
      <rPr>
        <b/>
        <sz val="11"/>
        <color rgb="FFFF0000"/>
        <rFont val="ISOCPEUR"/>
        <family val="2"/>
        <charset val="204"/>
      </rPr>
      <t xml:space="preserve">С345-5      </t>
    </r>
    <r>
      <rPr>
        <sz val="11"/>
        <rFont val="ISOCPEUR"/>
        <family val="2"/>
        <charset val="204"/>
      </rPr>
      <t xml:space="preserve">     ГОСТ 27772–2015</t>
    </r>
  </si>
  <si>
    <t>Двутавр 50Ш3 С345</t>
  </si>
  <si>
    <t>гн.шв.100х50х4</t>
  </si>
  <si>
    <t>гн.шв.200х80х6 С345</t>
  </si>
  <si>
    <r>
      <rPr>
        <b/>
        <sz val="11"/>
        <color rgb="FFFF0000"/>
        <rFont val="ISOCPEUR"/>
        <family val="2"/>
        <charset val="204"/>
      </rPr>
      <t xml:space="preserve">С345-5 </t>
    </r>
    <r>
      <rPr>
        <sz val="11"/>
        <color rgb="FFFF0000"/>
        <rFont val="ISOCPEUR"/>
        <family val="2"/>
        <charset val="204"/>
      </rPr>
      <t xml:space="preserve">      </t>
    </r>
    <r>
      <rPr>
        <sz val="11"/>
        <rFont val="ISOCPEUR"/>
        <family val="2"/>
        <charset val="204"/>
      </rPr>
      <t xml:space="preserve">       ГОСТ 27772–2015</t>
    </r>
  </si>
  <si>
    <t>L160x100x10 С345</t>
  </si>
  <si>
    <t>L100x63x10 С345</t>
  </si>
  <si>
    <t>L180x110x10</t>
  </si>
  <si>
    <t>Болт М24x100 10.9 ХЛ</t>
  </si>
  <si>
    <t>Болт М20х110.88</t>
  </si>
  <si>
    <t>L100x7</t>
  </si>
  <si>
    <r>
      <t>□300х8</t>
    </r>
    <r>
      <rPr>
        <b/>
        <sz val="12"/>
        <color rgb="FFFF0000"/>
        <rFont val="ISOCPEUR"/>
        <family val="2"/>
        <charset val="204"/>
      </rPr>
      <t xml:space="preserve"> С345</t>
    </r>
  </si>
  <si>
    <t>□150х100х6</t>
  </si>
  <si>
    <r>
      <rPr>
        <b/>
        <sz val="11"/>
        <color rgb="FFFF0000"/>
        <rFont val="ISOCPEUR"/>
        <family val="2"/>
        <charset val="204"/>
      </rPr>
      <t xml:space="preserve">С345-3 </t>
    </r>
    <r>
      <rPr>
        <sz val="11"/>
        <color rgb="FFFF0000"/>
        <rFont val="ISOCPEUR"/>
        <family val="2"/>
        <charset val="204"/>
      </rPr>
      <t xml:space="preserve">  </t>
    </r>
    <r>
      <rPr>
        <sz val="11"/>
        <rFont val="ISOCPEUR"/>
        <family val="2"/>
        <charset val="204"/>
      </rPr>
      <t xml:space="preserve">           ГОСТ 27772–2015</t>
    </r>
  </si>
  <si>
    <r>
      <t xml:space="preserve">С255 </t>
    </r>
    <r>
      <rPr>
        <b/>
        <sz val="11"/>
        <rFont val="ISOCPEUR"/>
        <family val="2"/>
        <charset val="204"/>
      </rPr>
      <t xml:space="preserve"> </t>
    </r>
    <r>
      <rPr>
        <b/>
        <sz val="11"/>
        <color rgb="FFFF0000"/>
        <rFont val="ISOCPEUR"/>
        <family val="2"/>
        <charset val="204"/>
      </rPr>
      <t xml:space="preserve">    </t>
    </r>
    <r>
      <rPr>
        <sz val="11"/>
        <rFont val="ISOCPEUR"/>
        <family val="2"/>
        <charset val="204"/>
      </rPr>
      <t xml:space="preserve">        ГОСТ 27772–2015</t>
    </r>
  </si>
  <si>
    <t xml:space="preserve"> ∅159х6</t>
  </si>
  <si>
    <t>Трубы стальные электросварные прямошовные           ГОСТ 10704-91</t>
  </si>
  <si>
    <t>L110x70x6</t>
  </si>
  <si>
    <t>□180х100х5</t>
  </si>
  <si>
    <t>Двутавр 50Б1</t>
  </si>
  <si>
    <t>□150х6</t>
  </si>
  <si>
    <t>гн.шв.180х50х4</t>
  </si>
  <si>
    <t>Монтажный элемент</t>
  </si>
  <si>
    <t>Гайка М14.5</t>
  </si>
  <si>
    <t xml:space="preserve">шайба 14 пружинная </t>
  </si>
  <si>
    <t>шайба 14</t>
  </si>
  <si>
    <t>Двутавр 24М</t>
  </si>
  <si>
    <t>□180х6</t>
  </si>
  <si>
    <t>L125x80x10</t>
  </si>
  <si>
    <t>∅18 A240</t>
  </si>
  <si>
    <t>80</t>
  </si>
  <si>
    <t>∅20 A240</t>
  </si>
  <si>
    <t>Двутавр 35Ш1</t>
  </si>
  <si>
    <r>
      <t xml:space="preserve">□180х140х6 </t>
    </r>
    <r>
      <rPr>
        <b/>
        <sz val="12"/>
        <color rgb="FFFF0000"/>
        <rFont val="ISOCPEUR"/>
        <family val="2"/>
        <charset val="204"/>
      </rPr>
      <t>С345</t>
    </r>
  </si>
  <si>
    <t>□180х5</t>
  </si>
  <si>
    <t>Полоса стальная по ГОСТ 103-2006</t>
  </si>
  <si>
    <t>C345</t>
  </si>
  <si>
    <t>Болт М24-100.58</t>
  </si>
  <si>
    <r>
      <t xml:space="preserve">□180х6 </t>
    </r>
    <r>
      <rPr>
        <b/>
        <sz val="12"/>
        <color rgb="FFFF0000"/>
        <rFont val="ISOCPEUR"/>
        <family val="2"/>
        <charset val="204"/>
      </rPr>
      <t>С346</t>
    </r>
  </si>
  <si>
    <r>
      <t>□180х140х5</t>
    </r>
    <r>
      <rPr>
        <b/>
        <sz val="12"/>
        <color rgb="FFFF0000"/>
        <rFont val="ISOCPEUR"/>
        <family val="2"/>
        <charset val="204"/>
      </rPr>
      <t xml:space="preserve"> С345</t>
    </r>
  </si>
  <si>
    <t>200</t>
  </si>
  <si>
    <t>разница</t>
  </si>
  <si>
    <t>с % на раскрой</t>
  </si>
  <si>
    <t>1% на сварные швы и 3% на раскрой</t>
  </si>
  <si>
    <t xml:space="preserve"> на листовой прокат</t>
  </si>
  <si>
    <t xml:space="preserve">для раскроя взят коэф-т: </t>
  </si>
  <si>
    <t xml:space="preserve"> на профильный прокат</t>
  </si>
  <si>
    <t>Класс прочности</t>
  </si>
  <si>
    <t xml:space="preserve">Болт М20х65 </t>
  </si>
  <si>
    <t xml:space="preserve">Болт М20х70 </t>
  </si>
  <si>
    <t xml:space="preserve">Болт М20х75 </t>
  </si>
  <si>
    <t xml:space="preserve">Болт М20х80 </t>
  </si>
  <si>
    <t xml:space="preserve">Болт М20х90 </t>
  </si>
  <si>
    <t xml:space="preserve">Гайка М20 </t>
  </si>
  <si>
    <t>Фахверк (□100х4)</t>
  </si>
  <si>
    <t>м2</t>
  </si>
  <si>
    <t>10,9ХЛ</t>
  </si>
  <si>
    <t>шв.200х80х5</t>
  </si>
  <si>
    <t>180х140х5</t>
  </si>
  <si>
    <t>Шпилька М10х200</t>
  </si>
  <si>
    <t>Шпилька М12х300</t>
  </si>
  <si>
    <t>Болт М12х45</t>
  </si>
  <si>
    <t>Болт М12х50</t>
  </si>
  <si>
    <t>Шпилька М14х220</t>
  </si>
  <si>
    <t>Болт М16х55</t>
  </si>
  <si>
    <t>Болт М16х60</t>
  </si>
  <si>
    <t>Болт М16х70</t>
  </si>
  <si>
    <t>Болт М16х75</t>
  </si>
  <si>
    <t>Болт М16х100</t>
  </si>
  <si>
    <t>Болт М16х80</t>
  </si>
  <si>
    <t>Болт М16х110</t>
  </si>
  <si>
    <t>Болт М16х160</t>
  </si>
  <si>
    <t>Шпилька М20х250</t>
  </si>
  <si>
    <t>Шпилька М16х1100</t>
  </si>
  <si>
    <t>Шпилька М16х900</t>
  </si>
  <si>
    <t>Шпилька М16х700</t>
  </si>
  <si>
    <t>Шпилька М16х350</t>
  </si>
  <si>
    <t>Шпилька М14х280</t>
  </si>
  <si>
    <t>Площадь окраски, м2</t>
  </si>
  <si>
    <t>периметр</t>
  </si>
  <si>
    <t>Двутавр 25Ш1</t>
  </si>
  <si>
    <t>Двутавр 40К1</t>
  </si>
  <si>
    <t>Двутавр 35К2</t>
  </si>
  <si>
    <t>Двутавр 35К1</t>
  </si>
  <si>
    <t>Двутавр 25К2</t>
  </si>
  <si>
    <t xml:space="preserve"> </t>
  </si>
  <si>
    <t>Двутавр 45М</t>
  </si>
  <si>
    <t>Двутавр 36М</t>
  </si>
  <si>
    <t>количество взято с учетом К=</t>
  </si>
  <si>
    <t>L140x9</t>
  </si>
  <si>
    <t>Анкер-шуруп Hilti HUS3-H 10x150</t>
  </si>
  <si>
    <t>Химический анкер HIT-RE 500 V3</t>
  </si>
  <si>
    <t>Распорный анкер HILTI HSL-3 M16x25 арт.371784</t>
  </si>
  <si>
    <t>Фх1.1</t>
  </si>
  <si>
    <t>Фахверк (□200х6)</t>
  </si>
  <si>
    <t>Анкерная шпилька HAS-U 8.8 M16x180*</t>
  </si>
  <si>
    <t>Фх1.2</t>
  </si>
  <si>
    <t>Анкер-распорный Hilti HAS M12x115</t>
  </si>
  <si>
    <t>Фх2.1</t>
  </si>
  <si>
    <t>Фх2.2</t>
  </si>
  <si>
    <t>м1</t>
  </si>
  <si>
    <t>Фх1.3</t>
  </si>
  <si>
    <t>Фх2.3</t>
  </si>
  <si>
    <t>Фх2.4</t>
  </si>
  <si>
    <t>Распорный анкер Hilti HSA M6x50</t>
  </si>
  <si>
    <t>Распорный анкер Hilti HSA M10x83</t>
  </si>
  <si>
    <t>Фх2.5</t>
  </si>
  <si>
    <t>Фх2.6</t>
  </si>
  <si>
    <t>Фх2.7</t>
  </si>
  <si>
    <t>Стойка фахверка (□100х4)</t>
  </si>
  <si>
    <t>Фх2.8</t>
  </si>
  <si>
    <t>м3</t>
  </si>
  <si>
    <t>м4</t>
  </si>
  <si>
    <t>м5</t>
  </si>
  <si>
    <t>м6</t>
  </si>
  <si>
    <t>м7</t>
  </si>
  <si>
    <t>270</t>
  </si>
  <si>
    <t>м8</t>
  </si>
  <si>
    <t>Фх2.9</t>
  </si>
  <si>
    <t>Фх3.1</t>
  </si>
  <si>
    <t>Фахверк (L75x6)</t>
  </si>
  <si>
    <t>Фх3.2</t>
  </si>
  <si>
    <t>Фх3.3</t>
  </si>
  <si>
    <t>Фх3.4</t>
  </si>
  <si>
    <t>И</t>
  </si>
  <si>
    <t>Е</t>
  </si>
  <si>
    <t>Ж</t>
  </si>
  <si>
    <t>расчет</t>
  </si>
  <si>
    <t>Фх2.10</t>
  </si>
  <si>
    <t>изм.1 (+1)</t>
  </si>
  <si>
    <t>изм.1 (укорочена)</t>
  </si>
  <si>
    <t>изм.1 (убрана)</t>
  </si>
  <si>
    <t>изм.1 (+1, увеличена)</t>
  </si>
  <si>
    <t>изм.1 (+4)</t>
  </si>
  <si>
    <t>изм.1 (+2)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</si>
</sst>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9" x14ac:knownFonts="1">
    <font>
      <sz val="11"/>
      <color theme="1"/>
      <name val="Calibri"/>
      <family val="2"/>
      <charset val="204"/>
      <scheme val="minor"/>
    </font>
    <font>
      <sz val="14"/>
      <color theme="1"/>
      <name val="ISOCPEUR"/>
      <family val="2"/>
      <charset val="204"/>
    </font>
    <font>
      <sz val="11"/>
      <color theme="1"/>
      <name val="ISOCPEUR"/>
      <family val="2"/>
      <charset val="204"/>
    </font>
    <font>
      <b/>
      <sz val="14"/>
      <color theme="1"/>
      <name val="ISOCPEUR"/>
      <family val="2"/>
      <charset val="204"/>
    </font>
    <font>
      <sz val="12"/>
      <name val="ISOCPEUR"/>
      <family val="2"/>
      <charset val="204"/>
    </font>
    <font>
      <i/>
      <sz val="12"/>
      <name val="ISOCPEUR"/>
      <family val="2"/>
      <charset val="204"/>
    </font>
    <font>
      <b/>
      <sz val="12"/>
      <name val="ISOCPEUR"/>
      <family val="2"/>
      <charset val="204"/>
    </font>
    <font>
      <sz val="10"/>
      <name val="Arial Cyr"/>
      <charset val="204"/>
    </font>
    <font>
      <sz val="11"/>
      <name val="ISOCPEUR"/>
      <family val="2"/>
      <charset val="204"/>
    </font>
    <font>
      <sz val="10"/>
      <name val="ISOCPEUR"/>
      <family val="2"/>
      <charset val="204"/>
    </font>
    <font>
      <sz val="11"/>
      <color theme="1"/>
      <name val="Arial Black"/>
      <family val="2"/>
      <charset val="204"/>
    </font>
    <font>
      <b/>
      <sz val="14"/>
      <color rgb="FFFF0000"/>
      <name val="ISOCPEUR"/>
      <family val="2"/>
      <charset val="204"/>
    </font>
    <font>
      <b/>
      <sz val="12"/>
      <color theme="0"/>
      <name val="Calibri"/>
      <family val="2"/>
      <charset val="204"/>
      <scheme val="minor"/>
    </font>
    <font>
      <b/>
      <sz val="12"/>
      <color rgb="FFFF0000"/>
      <name val="ISOCPEUR"/>
      <family val="2"/>
      <charset val="204"/>
    </font>
    <font>
      <i/>
      <sz val="11"/>
      <name val="ISOCPEUR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0" tint="-0.14999847407452621"/>
      <name val="ISOCPEUR"/>
      <family val="2"/>
      <charset val="204"/>
    </font>
    <font>
      <i/>
      <sz val="12"/>
      <color theme="0" tint="-0.14999847407452621"/>
      <name val="ISOCPEUR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b/>
      <sz val="12"/>
      <color theme="0" tint="-4.9989318521683403E-2"/>
      <name val="ISOCPEUR"/>
      <family val="2"/>
      <charset val="204"/>
    </font>
    <font>
      <sz val="18"/>
      <color theme="1"/>
      <name val="Calibri"/>
      <family val="2"/>
      <charset val="204"/>
      <scheme val="minor"/>
    </font>
    <font>
      <sz val="12"/>
      <color theme="1"/>
      <name val="ISOCPEUR"/>
      <family val="2"/>
      <charset val="204"/>
    </font>
    <font>
      <b/>
      <sz val="11"/>
      <color theme="1"/>
      <name val="ISOCPEUR"/>
      <family val="2"/>
      <charset val="204"/>
    </font>
    <font>
      <sz val="11"/>
      <color theme="0" tint="-0.14999847407452621"/>
      <name val="ISOCPEU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ISOCPEUR"/>
      <family val="2"/>
      <charset val="204"/>
    </font>
    <font>
      <b/>
      <sz val="11"/>
      <name val="ISOCPEUR"/>
      <family val="2"/>
      <charset val="204"/>
    </font>
    <font>
      <sz val="11"/>
      <color rgb="FFFF0000"/>
      <name val="ISOCPEUR"/>
      <family val="2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2"/>
      <color rgb="FFFF0000"/>
      <name val="ISOCPEUR"/>
      <family val="2"/>
      <charset val="204"/>
    </font>
    <font>
      <sz val="12"/>
      <color theme="0" tint="-4.9989318521683403E-2"/>
      <name val="ISOCPEUR"/>
      <family val="2"/>
      <charset val="204"/>
    </font>
    <font>
      <sz val="16"/>
      <color theme="1"/>
      <name val="ISOCPEUR"/>
      <family val="2"/>
      <charset val="204"/>
    </font>
    <font>
      <b/>
      <sz val="14"/>
      <name val="ISOCPEUR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286">
    <xf numFmtId="0" fontId="0" fillId="0" borderId="0" xfId="0"/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4" xfId="0" applyBorder="1"/>
    <xf numFmtId="0" fontId="5" fillId="0" borderId="0" xfId="1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0" xfId="0" applyFont="1" applyFill="1"/>
    <xf numFmtId="164" fontId="1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2" borderId="4" xfId="0" applyFill="1" applyBorder="1"/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164" fontId="3" fillId="0" borderId="4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4" fillId="0" borderId="0" xfId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6" fillId="0" borderId="4" xfId="1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" fontId="4" fillId="0" borderId="4" xfId="1" applyNumberFormat="1" applyBorder="1" applyAlignment="1">
      <alignment horizontal="right" vertical="center" wrapText="1"/>
    </xf>
    <xf numFmtId="1" fontId="6" fillId="0" borderId="3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6" fillId="0" borderId="4" xfId="1" applyNumberFormat="1" applyFont="1" applyBorder="1" applyAlignment="1">
      <alignment horizontal="right" vertical="center" wrapText="1"/>
    </xf>
    <xf numFmtId="0" fontId="11" fillId="9" borderId="4" xfId="0" applyFont="1" applyFill="1" applyBorder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 wrapText="1"/>
    </xf>
    <xf numFmtId="0" fontId="16" fillId="0" borderId="0" xfId="0" applyFont="1"/>
    <xf numFmtId="0" fontId="1" fillId="2" borderId="4" xfId="0" applyFont="1" applyFill="1" applyBorder="1" applyAlignment="1">
      <alignment horizontal="center" vertical="center" wrapText="1"/>
    </xf>
    <xf numFmtId="1" fontId="1" fillId="3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/>
    <xf numFmtId="0" fontId="1" fillId="0" borderId="0" xfId="0" applyFont="1" applyAlignment="1">
      <alignment horizontal="right" vertical="center" wrapText="1"/>
    </xf>
    <xf numFmtId="49" fontId="1" fillId="0" borderId="0" xfId="0" applyNumberFormat="1" applyFont="1" applyAlignment="1">
      <alignment horizontal="left" vertical="center" wrapText="1"/>
    </xf>
    <xf numFmtId="0" fontId="4" fillId="0" borderId="4" xfId="1" applyBorder="1" applyAlignment="1">
      <alignment vertical="center" wrapText="1"/>
    </xf>
    <xf numFmtId="0" fontId="6" fillId="0" borderId="4" xfId="1" applyFont="1" applyBorder="1" applyAlignment="1">
      <alignment horizontal="right" vertical="center"/>
    </xf>
    <xf numFmtId="1" fontId="17" fillId="0" borderId="4" xfId="1" applyNumberFormat="1" applyFont="1" applyBorder="1" applyAlignment="1">
      <alignment horizontal="right" vertical="center" wrapText="1"/>
    </xf>
    <xf numFmtId="0" fontId="18" fillId="0" borderId="4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0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0" fillId="5" borderId="0" xfId="0" applyFill="1"/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right" vertical="center" wrapText="1"/>
    </xf>
    <xf numFmtId="0" fontId="1" fillId="5" borderId="7" xfId="0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 vertical="center" wrapText="1"/>
    </xf>
    <xf numFmtId="0" fontId="20" fillId="5" borderId="4" xfId="0" applyFont="1" applyFill="1" applyBorder="1"/>
    <xf numFmtId="0" fontId="10" fillId="10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right" vertical="center" wrapText="1"/>
    </xf>
    <xf numFmtId="49" fontId="1" fillId="2" borderId="0" xfId="0" applyNumberFormat="1" applyFont="1" applyFill="1" applyAlignment="1">
      <alignment horizontal="left" vertical="center" wrapText="1"/>
    </xf>
    <xf numFmtId="1" fontId="21" fillId="0" borderId="4" xfId="1" applyNumberFormat="1" applyFont="1" applyBorder="1" applyAlignment="1">
      <alignment horizontal="right" vertical="center" wrapText="1"/>
    </xf>
    <xf numFmtId="164" fontId="21" fillId="0" borderId="4" xfId="1" applyNumberFormat="1" applyFont="1" applyBorder="1" applyAlignment="1">
      <alignment horizontal="right" vertical="center" wrapText="1"/>
    </xf>
    <xf numFmtId="0" fontId="0" fillId="5" borderId="0" xfId="0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1" fontId="6" fillId="0" borderId="0" xfId="1" applyNumberFormat="1" applyFont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4" fillId="0" borderId="3" xfId="1" applyBorder="1" applyAlignment="1">
      <alignment horizontal="center" vertical="center" wrapText="1"/>
    </xf>
    <xf numFmtId="1" fontId="17" fillId="0" borderId="3" xfId="1" applyNumberFormat="1" applyFont="1" applyBorder="1" applyAlignment="1">
      <alignment horizontal="right" vertical="center" wrapText="1"/>
    </xf>
    <xf numFmtId="0" fontId="18" fillId="0" borderId="3" xfId="1" applyFont="1" applyBorder="1" applyAlignment="1">
      <alignment horizontal="center" vertical="center" wrapText="1"/>
    </xf>
    <xf numFmtId="1" fontId="21" fillId="0" borderId="3" xfId="1" applyNumberFormat="1" applyFont="1" applyBorder="1" applyAlignment="1">
      <alignment horizontal="right" vertical="center" wrapText="1"/>
    </xf>
    <xf numFmtId="164" fontId="20" fillId="0" borderId="4" xfId="0" applyNumberFormat="1" applyFont="1" applyBorder="1"/>
    <xf numFmtId="0" fontId="0" fillId="13" borderId="4" xfId="0" applyFill="1" applyBorder="1"/>
    <xf numFmtId="0" fontId="22" fillId="13" borderId="4" xfId="0" applyFont="1" applyFill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/>
    </xf>
    <xf numFmtId="0" fontId="24" fillId="0" borderId="4" xfId="0" applyFont="1" applyBorder="1" applyAlignment="1">
      <alignment horizontal="center"/>
    </xf>
    <xf numFmtId="164" fontId="23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/>
    <xf numFmtId="1" fontId="23" fillId="0" borderId="5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4" xfId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4" xfId="0" applyNumberFormat="1" applyBorder="1"/>
    <xf numFmtId="2" fontId="15" fillId="0" borderId="4" xfId="0" applyNumberFormat="1" applyFont="1" applyBorder="1"/>
    <xf numFmtId="0" fontId="5" fillId="0" borderId="4" xfId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" fontId="0" fillId="0" borderId="0" xfId="0" applyNumberFormat="1"/>
    <xf numFmtId="164" fontId="5" fillId="0" borderId="4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164" fontId="21" fillId="0" borderId="3" xfId="1" applyNumberFormat="1" applyFont="1" applyBorder="1" applyAlignment="1">
      <alignment horizontal="right" vertical="center" wrapText="1"/>
    </xf>
    <xf numFmtId="0" fontId="11" fillId="9" borderId="0" xfId="0" applyFont="1" applyFill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2" fontId="0" fillId="0" borderId="8" xfId="0" applyNumberFormat="1" applyBorder="1"/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11" fillId="2" borderId="0" xfId="0" applyFont="1" applyFill="1" applyAlignment="1">
      <alignment horizontal="center"/>
    </xf>
    <xf numFmtId="0" fontId="20" fillId="2" borderId="4" xfId="0" applyFont="1" applyFill="1" applyBorder="1"/>
    <xf numFmtId="0" fontId="10" fillId="6" borderId="0" xfId="0" applyFont="1" applyFill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horizontal="center" vertical="center"/>
    </xf>
    <xf numFmtId="2" fontId="0" fillId="0" borderId="0" xfId="0" applyNumberFormat="1"/>
    <xf numFmtId="0" fontId="5" fillId="0" borderId="0" xfId="1" applyFont="1" applyAlignment="1">
      <alignment horizontal="left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1" fillId="0" borderId="0" xfId="0" applyFont="1"/>
    <xf numFmtId="164" fontId="1" fillId="0" borderId="0" xfId="0" applyNumberFormat="1" applyFont="1"/>
    <xf numFmtId="164" fontId="0" fillId="0" borderId="4" xfId="0" applyNumberFormat="1" applyBorder="1" applyAlignment="1">
      <alignment horizontal="center" vertical="center"/>
    </xf>
    <xf numFmtId="0" fontId="4" fillId="0" borderId="9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21" fillId="0" borderId="0" xfId="1" applyNumberFormat="1" applyFont="1" applyAlignment="1">
      <alignment horizontal="right" vertical="center" wrapText="1"/>
    </xf>
    <xf numFmtId="164" fontId="21" fillId="0" borderId="0" xfId="1" applyNumberFormat="1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 wrapText="1"/>
    </xf>
    <xf numFmtId="1" fontId="13" fillId="0" borderId="4" xfId="1" applyNumberFormat="1" applyFont="1" applyBorder="1" applyAlignment="1">
      <alignment horizontal="right" vertical="center"/>
    </xf>
    <xf numFmtId="1" fontId="13" fillId="0" borderId="4" xfId="1" applyNumberFormat="1" applyFont="1" applyBorder="1" applyAlignment="1">
      <alignment horizontal="left" vertical="center"/>
    </xf>
    <xf numFmtId="0" fontId="34" fillId="0" borderId="0" xfId="0" applyFont="1"/>
    <xf numFmtId="2" fontId="35" fillId="0" borderId="4" xfId="1" applyNumberFormat="1" applyFont="1" applyBorder="1" applyAlignment="1">
      <alignment horizontal="center" vertical="center"/>
    </xf>
    <xf numFmtId="2" fontId="36" fillId="0" borderId="4" xfId="1" applyNumberFormat="1" applyFont="1" applyBorder="1" applyAlignment="1">
      <alignment horizontal="center" vertical="center" wrapText="1"/>
    </xf>
    <xf numFmtId="0" fontId="37" fillId="0" borderId="1" xfId="0" applyFont="1" applyBorder="1"/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30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right" vertical="center"/>
    </xf>
    <xf numFmtId="0" fontId="24" fillId="0" borderId="4" xfId="0" applyFont="1" applyBorder="1"/>
    <xf numFmtId="0" fontId="1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/>
    <xf numFmtId="1" fontId="2" fillId="0" borderId="4" xfId="0" applyNumberFormat="1" applyFont="1" applyBorder="1"/>
    <xf numFmtId="0" fontId="1" fillId="0" borderId="4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center" vertical="center"/>
    </xf>
    <xf numFmtId="1" fontId="38" fillId="0" borderId="4" xfId="0" applyNumberFormat="1" applyFont="1" applyBorder="1" applyAlignment="1">
      <alignment horizontal="right" vertical="center"/>
    </xf>
    <xf numFmtId="0" fontId="2" fillId="13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2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164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23" fillId="0" borderId="4" xfId="0" applyFont="1" applyBorder="1" applyAlignment="1">
      <alignment horizontal="center" vertical="center" wrapText="1"/>
    </xf>
    <xf numFmtId="0" fontId="0" fillId="5" borderId="4" xfId="0" applyFill="1" applyBorder="1" applyAlignment="1">
      <alignment horizontal="center" textRotation="90" wrapText="1"/>
    </xf>
    <xf numFmtId="0" fontId="0" fillId="2" borderId="4" xfId="0" applyFill="1" applyBorder="1" applyAlignment="1">
      <alignment horizontal="center" textRotation="90" wrapText="1"/>
    </xf>
    <xf numFmtId="0" fontId="0" fillId="6" borderId="4" xfId="0" applyFill="1" applyBorder="1" applyAlignment="1">
      <alignment horizontal="center" textRotation="90" wrapText="1"/>
    </xf>
    <xf numFmtId="0" fontId="33" fillId="5" borderId="4" xfId="0" applyFont="1" applyFill="1" applyBorder="1" applyAlignment="1">
      <alignment horizontal="center" textRotation="90" wrapText="1"/>
    </xf>
    <xf numFmtId="0" fontId="0" fillId="10" borderId="4" xfId="0" applyFill="1" applyBorder="1" applyAlignment="1">
      <alignment horizontal="center" textRotation="90" wrapText="1"/>
    </xf>
    <xf numFmtId="0" fontId="0" fillId="8" borderId="4" xfId="0" applyFill="1" applyBorder="1" applyAlignment="1">
      <alignment horizontal="center" textRotation="90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7" borderId="4" xfId="0" applyFill="1" applyBorder="1" applyAlignment="1">
      <alignment horizontal="center" textRotation="90" wrapText="1"/>
    </xf>
    <xf numFmtId="0" fontId="29" fillId="7" borderId="4" xfId="0" applyFont="1" applyFill="1" applyBorder="1" applyAlignment="1">
      <alignment horizontal="center" textRotation="90" wrapText="1"/>
    </xf>
    <xf numFmtId="0" fontId="0" fillId="7" borderId="2" xfId="0" applyFill="1" applyBorder="1" applyAlignment="1">
      <alignment horizontal="center" textRotation="90" wrapText="1"/>
    </xf>
    <xf numFmtId="0" fontId="0" fillId="7" borderId="8" xfId="0" applyFill="1" applyBorder="1" applyAlignment="1">
      <alignment horizontal="center" textRotation="90" wrapText="1"/>
    </xf>
    <xf numFmtId="0" fontId="0" fillId="7" borderId="3" xfId="0" applyFill="1" applyBorder="1" applyAlignment="1">
      <alignment horizont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textRotation="90" wrapText="1"/>
    </xf>
    <xf numFmtId="0" fontId="15" fillId="8" borderId="4" xfId="0" applyFont="1" applyFill="1" applyBorder="1" applyAlignment="1">
      <alignment horizontal="center" textRotation="90" wrapText="1"/>
    </xf>
    <xf numFmtId="0" fontId="15" fillId="11" borderId="4" xfId="0" applyFont="1" applyFill="1" applyBorder="1" applyAlignment="1">
      <alignment horizontal="center" textRotation="90" wrapText="1"/>
    </xf>
    <xf numFmtId="0" fontId="15" fillId="7" borderId="4" xfId="0" applyFont="1" applyFill="1" applyBorder="1" applyAlignment="1">
      <alignment horizontal="center" textRotation="90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11" borderId="4" xfId="0" applyFill="1" applyBorder="1" applyAlignment="1">
      <alignment horizontal="center" textRotation="90" wrapText="1"/>
    </xf>
    <xf numFmtId="0" fontId="0" fillId="14" borderId="4" xfId="0" applyFill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2" fillId="5" borderId="0" xfId="0" applyFont="1" applyFill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8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top" wrapText="1"/>
    </xf>
    <xf numFmtId="0" fontId="4" fillId="0" borderId="4" xfId="1" applyBorder="1" applyAlignment="1">
      <alignment horizontal="center" vertical="top" wrapText="1"/>
    </xf>
    <xf numFmtId="0" fontId="4" fillId="0" borderId="1" xfId="1" applyBorder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4" xfId="0" applyFont="1" applyFill="1" applyBorder="1"/>
  </cellXfs>
  <cellStyles count="4">
    <cellStyle name="Обычный" xfId="0" builtinId="0"/>
    <cellStyle name="Обычный 2" xfId="3"/>
    <cellStyle name="Обычный_SBOR_N~1" xfId="2"/>
    <cellStyle name="Обычный_спец_из_филе" xfId="1"/>
  </cellStyles>
  <dxfs count="86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I51"/>
  <sheetViews>
    <sheetView tabSelected="1" zoomScale="85" zoomScaleNormal="85" workbookViewId="0">
      <pane xSplit="6" ySplit="5" topLeftCell="G6" activePane="bottomRight" state="frozen"/>
      <selection activeCell="A5" sqref="A5"/>
      <selection pane="topRight" activeCell="F5" sqref="F5"/>
      <selection pane="bottomLeft" activeCell="A8" sqref="A8"/>
      <selection pane="bottomRight" activeCell="I16" sqref="I16"/>
    </sheetView>
  </sheetViews>
  <sheetFormatPr defaultRowHeight="15" outlineLevelCol="1" x14ac:dyDescent="0.25"/>
  <cols>
    <col min="1" max="1" width="30.42578125" customWidth="1"/>
    <col min="2" max="2" width="18" customWidth="1"/>
    <col min="4" max="4" width="9.140625" customWidth="1"/>
    <col min="5" max="5" width="11.42578125" customWidth="1"/>
    <col min="6" max="6" width="1.42578125" customWidth="1"/>
    <col min="7" max="7" width="22" customWidth="1"/>
    <col min="8" max="8" width="6.42578125" hidden="1" customWidth="1"/>
    <col min="9" max="10" width="6.42578125" customWidth="1"/>
    <col min="11" max="20" width="6.42578125" hidden="1" customWidth="1"/>
    <col min="21" max="25" width="6.42578125" customWidth="1"/>
    <col min="26" max="26" width="6.42578125" hidden="1" customWidth="1"/>
    <col min="27" max="27" width="6.42578125" customWidth="1"/>
    <col min="28" max="34" width="6.42578125" customWidth="1" outlineLevel="1"/>
    <col min="35" max="36" width="6.42578125" customWidth="1"/>
    <col min="37" max="45" width="6.42578125" customWidth="1" outlineLevel="1"/>
    <col min="46" max="46" width="6.42578125" customWidth="1"/>
    <col min="47" max="51" width="6.42578125" customWidth="1" outlineLevel="1"/>
    <col min="52" max="52" width="7.7109375" customWidth="1" outlineLevel="1"/>
    <col min="53" max="53" width="9.140625" customWidth="1"/>
    <col min="54" max="56" width="9.140625" hidden="1" customWidth="1"/>
    <col min="57" max="57" width="0.140625" hidden="1" customWidth="1"/>
    <col min="58" max="58" width="9.140625" hidden="1" customWidth="1"/>
    <col min="59" max="62" width="9.140625" customWidth="1"/>
  </cols>
  <sheetData>
    <row r="1" spans="1:61" ht="13.5" customHeight="1" x14ac:dyDescent="0.25">
      <c r="B1" s="153"/>
      <c r="E1" s="8">
        <f ca="1">E34</f>
        <v>15151.500000000002</v>
      </c>
      <c r="G1">
        <f ca="1">G2/1.01</f>
        <v>15001.485148514854</v>
      </c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</row>
    <row r="2" spans="1:61" ht="30.75" customHeight="1" x14ac:dyDescent="0.25">
      <c r="A2" s="53"/>
      <c r="G2" s="8">
        <f ca="1">E34</f>
        <v>15151.500000000002</v>
      </c>
      <c r="H2" s="238" t="s">
        <v>236</v>
      </c>
      <c r="I2" s="239" t="s">
        <v>317</v>
      </c>
      <c r="J2" s="245" t="s">
        <v>346</v>
      </c>
      <c r="K2" s="245" t="s">
        <v>122</v>
      </c>
      <c r="L2" s="245" t="s">
        <v>282</v>
      </c>
      <c r="M2" s="240" t="s">
        <v>255</v>
      </c>
      <c r="N2" s="240" t="s">
        <v>222</v>
      </c>
      <c r="O2" s="240" t="s">
        <v>217</v>
      </c>
      <c r="P2" s="240" t="s">
        <v>216</v>
      </c>
      <c r="Q2" s="240" t="s">
        <v>220</v>
      </c>
      <c r="R2" s="233" t="s">
        <v>271</v>
      </c>
      <c r="S2" s="233" t="s">
        <v>318</v>
      </c>
      <c r="T2" s="233" t="s">
        <v>224</v>
      </c>
      <c r="U2" s="231" t="s">
        <v>361</v>
      </c>
      <c r="V2" s="231" t="s">
        <v>360</v>
      </c>
      <c r="W2" s="232" t="s">
        <v>359</v>
      </c>
      <c r="X2" s="231" t="s">
        <v>358</v>
      </c>
      <c r="Y2" s="232" t="s">
        <v>357</v>
      </c>
      <c r="Z2" s="231" t="s">
        <v>256</v>
      </c>
      <c r="AA2" s="246" t="s">
        <v>373</v>
      </c>
      <c r="AB2" s="219" t="s">
        <v>374</v>
      </c>
      <c r="AC2" s="219" t="s">
        <v>375</v>
      </c>
      <c r="AD2" s="219" t="s">
        <v>376</v>
      </c>
      <c r="AE2" s="219" t="s">
        <v>378</v>
      </c>
      <c r="AF2" s="219" t="s">
        <v>377</v>
      </c>
      <c r="AG2" s="219" t="s">
        <v>379</v>
      </c>
      <c r="AH2" s="219" t="s">
        <v>380</v>
      </c>
      <c r="AI2" s="218" t="s">
        <v>381</v>
      </c>
      <c r="AJ2" s="218" t="s">
        <v>382</v>
      </c>
      <c r="AK2" s="218" t="s">
        <v>383</v>
      </c>
      <c r="AL2" s="218" t="s">
        <v>384</v>
      </c>
      <c r="AM2" s="218" t="s">
        <v>385</v>
      </c>
      <c r="AN2" s="222" t="s">
        <v>386</v>
      </c>
      <c r="AO2" s="222" t="s">
        <v>372</v>
      </c>
      <c r="AP2" s="221" t="s">
        <v>371</v>
      </c>
      <c r="AQ2" s="221" t="s">
        <v>370</v>
      </c>
      <c r="AR2" s="218" t="s">
        <v>369</v>
      </c>
      <c r="AS2" s="219" t="s">
        <v>368</v>
      </c>
      <c r="AT2" s="222" t="s">
        <v>283</v>
      </c>
      <c r="AU2" s="222" t="s">
        <v>401</v>
      </c>
      <c r="AV2" s="217" t="s">
        <v>404</v>
      </c>
      <c r="AW2" s="220" t="s">
        <v>406</v>
      </c>
      <c r="AX2" s="220" t="s">
        <v>414</v>
      </c>
      <c r="AY2" s="220" t="s">
        <v>413</v>
      </c>
      <c r="AZ2" s="237" t="s">
        <v>399</v>
      </c>
    </row>
    <row r="3" spans="1:61" ht="18.75" x14ac:dyDescent="0.3">
      <c r="B3" s="224" t="s">
        <v>10</v>
      </c>
      <c r="C3" s="224"/>
      <c r="D3" s="224"/>
      <c r="E3" s="224"/>
      <c r="H3" s="238"/>
      <c r="I3" s="239"/>
      <c r="J3" s="245"/>
      <c r="K3" s="245"/>
      <c r="L3" s="245"/>
      <c r="M3" s="240"/>
      <c r="N3" s="240"/>
      <c r="O3" s="240"/>
      <c r="P3" s="240"/>
      <c r="Q3" s="240"/>
      <c r="R3" s="234"/>
      <c r="S3" s="234"/>
      <c r="T3" s="234"/>
      <c r="U3" s="231"/>
      <c r="V3" s="231"/>
      <c r="W3" s="232"/>
      <c r="X3" s="231"/>
      <c r="Y3" s="232"/>
      <c r="Z3" s="231"/>
      <c r="AA3" s="246"/>
      <c r="AB3" s="219"/>
      <c r="AC3" s="219"/>
      <c r="AD3" s="219"/>
      <c r="AE3" s="219"/>
      <c r="AF3" s="219"/>
      <c r="AG3" s="219"/>
      <c r="AH3" s="219"/>
      <c r="AI3" s="218"/>
      <c r="AJ3" s="218"/>
      <c r="AK3" s="218"/>
      <c r="AL3" s="218"/>
      <c r="AM3" s="218"/>
      <c r="AN3" s="222"/>
      <c r="AO3" s="222"/>
      <c r="AP3" s="221"/>
      <c r="AQ3" s="221"/>
      <c r="AR3" s="218"/>
      <c r="AS3" s="219"/>
      <c r="AT3" s="222"/>
      <c r="AU3" s="222"/>
      <c r="AV3" s="217"/>
      <c r="AW3" s="220"/>
      <c r="AX3" s="220"/>
      <c r="AY3" s="220"/>
      <c r="AZ3" s="237"/>
      <c r="BF3" s="119"/>
      <c r="BG3" s="119"/>
      <c r="BH3" s="119"/>
      <c r="BI3" s="119"/>
    </row>
    <row r="4" spans="1:61" ht="18.75" customHeight="1" x14ac:dyDescent="0.3">
      <c r="A4" s="236" t="s">
        <v>23</v>
      </c>
      <c r="B4" s="225" t="s">
        <v>11</v>
      </c>
      <c r="C4" s="227" t="s">
        <v>12</v>
      </c>
      <c r="D4" s="229" t="s">
        <v>13</v>
      </c>
      <c r="E4" s="230"/>
      <c r="H4" s="238"/>
      <c r="I4" s="239"/>
      <c r="J4" s="245"/>
      <c r="K4" s="245"/>
      <c r="L4" s="245"/>
      <c r="M4" s="240"/>
      <c r="N4" s="240"/>
      <c r="O4" s="240"/>
      <c r="P4" s="240"/>
      <c r="Q4" s="240"/>
      <c r="R4" s="235"/>
      <c r="S4" s="235"/>
      <c r="T4" s="235"/>
      <c r="U4" s="231"/>
      <c r="V4" s="231"/>
      <c r="W4" s="232"/>
      <c r="X4" s="231"/>
      <c r="Y4" s="232"/>
      <c r="Z4" s="231"/>
      <c r="AA4" s="246"/>
      <c r="AB4" s="219"/>
      <c r="AC4" s="219"/>
      <c r="AD4" s="219"/>
      <c r="AE4" s="219"/>
      <c r="AF4" s="219"/>
      <c r="AG4" s="219"/>
      <c r="AH4" s="219"/>
      <c r="AI4" s="218"/>
      <c r="AJ4" s="218"/>
      <c r="AK4" s="218"/>
      <c r="AL4" s="218"/>
      <c r="AM4" s="218"/>
      <c r="AN4" s="222"/>
      <c r="AO4" s="222"/>
      <c r="AP4" s="221"/>
      <c r="AQ4" s="221"/>
      <c r="AR4" s="218"/>
      <c r="AS4" s="219"/>
      <c r="AT4" s="222"/>
      <c r="AU4" s="222"/>
      <c r="AV4" s="217"/>
      <c r="AW4" s="220"/>
      <c r="AX4" s="220"/>
      <c r="AY4" s="220"/>
      <c r="AZ4" s="237"/>
      <c r="BC4" s="241" t="s">
        <v>243</v>
      </c>
      <c r="BD4" s="242"/>
      <c r="BE4" s="243"/>
    </row>
    <row r="5" spans="1:61" ht="18.75" x14ac:dyDescent="0.3">
      <c r="A5" s="236"/>
      <c r="B5" s="226"/>
      <c r="C5" s="228"/>
      <c r="D5" s="155" t="s">
        <v>6</v>
      </c>
      <c r="E5" s="155" t="s">
        <v>7</v>
      </c>
      <c r="H5" s="17">
        <f t="shared" ref="H5:AZ5" si="0">SUMPRODUCT(H6:H688,$C6:$C688)</f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7">
        <f t="shared" si="0"/>
        <v>0</v>
      </c>
      <c r="W5" s="17">
        <f t="shared" si="0"/>
        <v>0</v>
      </c>
      <c r="X5" s="17">
        <f t="shared" si="0"/>
        <v>0</v>
      </c>
      <c r="Y5" s="17">
        <f t="shared" si="0"/>
        <v>0</v>
      </c>
      <c r="Z5" s="17">
        <f t="shared" si="0"/>
        <v>0</v>
      </c>
      <c r="AA5" s="17">
        <f t="shared" si="0"/>
        <v>0</v>
      </c>
      <c r="AB5" s="17">
        <f t="shared" si="0"/>
        <v>0</v>
      </c>
      <c r="AC5" s="17">
        <f t="shared" si="0"/>
        <v>0</v>
      </c>
      <c r="AD5" s="17">
        <f t="shared" si="0"/>
        <v>0</v>
      </c>
      <c r="AE5" s="17">
        <f t="shared" si="0"/>
        <v>0</v>
      </c>
      <c r="AF5" s="17">
        <f t="shared" si="0"/>
        <v>0</v>
      </c>
      <c r="AG5" s="17">
        <f t="shared" si="0"/>
        <v>0</v>
      </c>
      <c r="AH5" s="17">
        <f t="shared" si="0"/>
        <v>0</v>
      </c>
      <c r="AI5" s="17">
        <f t="shared" si="0"/>
        <v>0</v>
      </c>
      <c r="AJ5" s="17">
        <f t="shared" si="0"/>
        <v>0</v>
      </c>
      <c r="AK5" s="17">
        <f t="shared" si="0"/>
        <v>0</v>
      </c>
      <c r="AL5" s="17">
        <f t="shared" si="0"/>
        <v>0</v>
      </c>
      <c r="AM5" s="17">
        <f t="shared" si="0"/>
        <v>0</v>
      </c>
      <c r="AN5" s="17">
        <f t="shared" si="0"/>
        <v>0</v>
      </c>
      <c r="AO5" s="17">
        <f t="shared" si="0"/>
        <v>0</v>
      </c>
      <c r="AP5" s="17">
        <f t="shared" si="0"/>
        <v>0</v>
      </c>
      <c r="AQ5" s="17">
        <f t="shared" si="0"/>
        <v>0</v>
      </c>
      <c r="AR5" s="17">
        <f t="shared" si="0"/>
        <v>0</v>
      </c>
      <c r="AS5" s="17">
        <f t="shared" si="0"/>
        <v>0</v>
      </c>
      <c r="AT5" s="17">
        <f t="shared" si="0"/>
        <v>0</v>
      </c>
      <c r="AU5" s="17">
        <f t="shared" si="0"/>
        <v>0</v>
      </c>
      <c r="AV5" s="17">
        <f t="shared" si="0"/>
        <v>75</v>
      </c>
      <c r="AW5" s="17">
        <f t="shared" si="0"/>
        <v>308</v>
      </c>
      <c r="AX5" s="17">
        <f t="shared" si="0"/>
        <v>128</v>
      </c>
      <c r="AY5" s="17">
        <f t="shared" si="0"/>
        <v>128</v>
      </c>
      <c r="AZ5" s="17">
        <f t="shared" si="0"/>
        <v>0</v>
      </c>
      <c r="BC5" s="9" t="s">
        <v>244</v>
      </c>
      <c r="BD5" s="9" t="s">
        <v>33</v>
      </c>
    </row>
    <row r="6" spans="1:61" ht="6.75" customHeight="1" x14ac:dyDescent="0.3">
      <c r="A6" s="156"/>
      <c r="B6" s="156"/>
      <c r="C6" s="155"/>
      <c r="D6" s="157"/>
      <c r="E6" s="157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C6" s="120"/>
      <c r="BD6" s="120"/>
      <c r="BE6" s="9"/>
    </row>
    <row r="7" spans="1:61" ht="18.75" x14ac:dyDescent="0.3">
      <c r="A7" s="156" t="s">
        <v>403</v>
      </c>
      <c r="B7" s="156" t="str">
        <f>Здание!E33</f>
        <v>Фх1.1</v>
      </c>
      <c r="C7" s="155">
        <v>12</v>
      </c>
      <c r="D7" s="157">
        <f ca="1">SUMIF(Здание!E$2:E$292,B7,Здание!N$2:N$292)</f>
        <v>394.20000000000005</v>
      </c>
      <c r="E7" s="157">
        <f t="shared" ref="E7" ca="1" si="1">C7*D7</f>
        <v>4730.4000000000005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>
        <v>4</v>
      </c>
      <c r="AW7" s="9"/>
      <c r="AX7" s="9"/>
      <c r="AY7" s="9"/>
      <c r="AZ7" s="9"/>
      <c r="BC7" s="120"/>
      <c r="BD7" s="120"/>
      <c r="BE7" s="9"/>
    </row>
    <row r="8" spans="1:61" ht="18.75" x14ac:dyDescent="0.3">
      <c r="A8" s="156" t="s">
        <v>403</v>
      </c>
      <c r="B8" s="156" t="str">
        <f>Здание!E37</f>
        <v>Фх1.2</v>
      </c>
      <c r="C8" s="285">
        <v>9</v>
      </c>
      <c r="D8" s="157">
        <f ca="1">SUMIF(Здание!E$2:E$292,B8,Здание!N$2:N$292)</f>
        <v>394.8</v>
      </c>
      <c r="E8" s="157">
        <f t="shared" ref="E8" ca="1" si="2">C8*D8</f>
        <v>3553.2000000000003</v>
      </c>
      <c r="G8" t="s">
        <v>438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>
        <v>3</v>
      </c>
      <c r="AW8" s="9"/>
      <c r="AX8" s="9"/>
      <c r="AY8" s="9"/>
      <c r="AZ8" s="9"/>
      <c r="BC8" s="120"/>
      <c r="BD8" s="120"/>
      <c r="BE8" s="9"/>
    </row>
    <row r="9" spans="1:61" ht="18.75" x14ac:dyDescent="0.3">
      <c r="A9" s="156" t="s">
        <v>403</v>
      </c>
      <c r="B9" s="156" t="str">
        <f>Здание!E41</f>
        <v>Фх1.3</v>
      </c>
      <c r="C9" s="155">
        <v>1</v>
      </c>
      <c r="D9" s="157">
        <f ca="1">SUMIF(Здание!E$2:E$292,B9,Здание!N$2:N$292)</f>
        <v>300.10000000000002</v>
      </c>
      <c r="E9" s="157">
        <f t="shared" ref="E9:E12" ca="1" si="3">C9*D9</f>
        <v>300.10000000000002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C9" s="120"/>
      <c r="BD9" s="120"/>
      <c r="BE9" s="9"/>
    </row>
    <row r="10" spans="1:61" ht="18.75" x14ac:dyDescent="0.3">
      <c r="A10" s="156" t="s">
        <v>418</v>
      </c>
      <c r="B10" s="156" t="str">
        <f>Здание!E49</f>
        <v>Фх2.1</v>
      </c>
      <c r="C10" s="155">
        <v>6</v>
      </c>
      <c r="D10" s="157">
        <f ca="1">SUMIF(Здание!E$2:E$292,B10,Здание!N$2:N$292)</f>
        <v>29.700000000000003</v>
      </c>
      <c r="E10" s="157">
        <f t="shared" ca="1" si="3"/>
        <v>178.20000000000002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>
        <v>3</v>
      </c>
      <c r="AX10" s="9"/>
      <c r="AY10" s="9"/>
      <c r="AZ10" s="9"/>
      <c r="BC10" s="120"/>
      <c r="BD10" s="120"/>
      <c r="BE10" s="9"/>
    </row>
    <row r="11" spans="1:61" ht="18.75" x14ac:dyDescent="0.3">
      <c r="A11" s="156" t="s">
        <v>418</v>
      </c>
      <c r="B11" s="156" t="str">
        <f>Здание!E53</f>
        <v>Фх2.6</v>
      </c>
      <c r="C11" s="155">
        <v>8</v>
      </c>
      <c r="D11" s="157">
        <f ca="1">SUMIF(Здание!E$2:E$292,B11,Здание!N$2:N$292)</f>
        <v>77</v>
      </c>
      <c r="E11" s="157">
        <f t="shared" ref="E11" ca="1" si="4">C11*D11</f>
        <v>616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>
        <v>3</v>
      </c>
      <c r="AX11" s="9"/>
      <c r="AY11" s="9"/>
      <c r="AZ11" s="9"/>
      <c r="BC11" s="120"/>
      <c r="BD11" s="120"/>
      <c r="BE11" s="9"/>
    </row>
    <row r="12" spans="1:61" ht="18.75" x14ac:dyDescent="0.3">
      <c r="A12" s="156" t="s">
        <v>363</v>
      </c>
      <c r="B12" s="156" t="str">
        <f>Здание!E57</f>
        <v>Фх2.2</v>
      </c>
      <c r="C12" s="155">
        <v>1</v>
      </c>
      <c r="D12" s="157">
        <f ca="1">SUMIF(Здание!E$2:E$292,B12,Здание!N$2:N$292)</f>
        <v>86.399999999999991</v>
      </c>
      <c r="E12" s="157">
        <f t="shared" ca="1" si="3"/>
        <v>86.399999999999991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>
        <v>4</v>
      </c>
      <c r="AX12" s="9"/>
      <c r="AY12" s="9"/>
      <c r="AZ12" s="9"/>
      <c r="BC12" s="120"/>
      <c r="BD12" s="120"/>
      <c r="BE12" s="9"/>
    </row>
    <row r="13" spans="1:61" ht="18.75" x14ac:dyDescent="0.3">
      <c r="A13" s="156" t="s">
        <v>363</v>
      </c>
      <c r="B13" s="156" t="str">
        <f>Здание!E61</f>
        <v>Фх2.3</v>
      </c>
      <c r="C13" s="155">
        <v>1</v>
      </c>
      <c r="D13" s="157">
        <f ca="1">SUMIF(Здание!E$2:E$292,B13,Здание!N$2:N$292)</f>
        <v>66.099999999999994</v>
      </c>
      <c r="E13" s="157">
        <f t="shared" ref="E13" ca="1" si="5">C13*D13</f>
        <v>66.099999999999994</v>
      </c>
      <c r="G13" t="s">
        <v>439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>
        <v>4</v>
      </c>
      <c r="AX13" s="9"/>
      <c r="AY13" s="9"/>
      <c r="AZ13" s="9"/>
      <c r="BC13" s="120"/>
      <c r="BD13" s="120"/>
      <c r="BE13" s="9"/>
    </row>
    <row r="14" spans="1:61" ht="18.75" x14ac:dyDescent="0.3">
      <c r="A14" s="156" t="s">
        <v>363</v>
      </c>
      <c r="B14" s="156" t="str">
        <f>Здание!E65</f>
        <v>Фх2.4</v>
      </c>
      <c r="C14" s="155">
        <v>32</v>
      </c>
      <c r="D14" s="157">
        <f ca="1">SUMIF(Здание!E$2:E$292,B14,Здание!N$2:N$292)</f>
        <v>27.200000000000003</v>
      </c>
      <c r="E14" s="157">
        <f t="shared" ref="E14" ca="1" si="6">C14*D14</f>
        <v>870.40000000000009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>
        <v>4</v>
      </c>
      <c r="AY14" s="9">
        <v>4</v>
      </c>
      <c r="AZ14" s="9"/>
      <c r="BC14" s="120"/>
      <c r="BD14" s="120"/>
      <c r="BE14" s="9"/>
    </row>
    <row r="15" spans="1:61" ht="18.75" x14ac:dyDescent="0.3">
      <c r="A15" s="156" t="s">
        <v>363</v>
      </c>
      <c r="B15" s="156" t="str">
        <f>Здание!E69</f>
        <v>Фх2.5</v>
      </c>
      <c r="C15" s="155">
        <v>1</v>
      </c>
      <c r="D15" s="157">
        <f ca="1">SUMIF(Здание!E$2:E$292,B15,Здание!N$2:N$292)</f>
        <v>66.899999999999991</v>
      </c>
      <c r="E15" s="157">
        <f t="shared" ref="E15" ca="1" si="7">C15*D15</f>
        <v>66.899999999999991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>
        <v>4</v>
      </c>
      <c r="AX15" s="9"/>
      <c r="AY15" s="9"/>
      <c r="AZ15" s="9"/>
      <c r="BC15" s="120"/>
      <c r="BD15" s="120"/>
      <c r="BE15" s="9"/>
    </row>
    <row r="16" spans="1:61" ht="18.75" x14ac:dyDescent="0.3">
      <c r="A16" s="156" t="s">
        <v>363</v>
      </c>
      <c r="B16" s="156" t="str">
        <f>Здание!E73</f>
        <v>Фх2.7</v>
      </c>
      <c r="C16" s="155">
        <v>8</v>
      </c>
      <c r="D16" s="157">
        <f ca="1">SUMIF(Здание!E$2:E$292,B16,Здание!N$2:N$292)</f>
        <v>56.7</v>
      </c>
      <c r="E16" s="157">
        <f t="shared" ref="E16" ca="1" si="8">C16*D16</f>
        <v>453.6</v>
      </c>
      <c r="G16" t="s">
        <v>441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C16" s="120"/>
      <c r="BD16" s="120"/>
      <c r="BE16" s="9"/>
    </row>
    <row r="17" spans="1:57" ht="18.75" x14ac:dyDescent="0.3">
      <c r="A17" s="156" t="s">
        <v>363</v>
      </c>
      <c r="B17" s="156" t="str">
        <f>Здание!E76</f>
        <v>Фх2.8</v>
      </c>
      <c r="C17" s="155">
        <v>8</v>
      </c>
      <c r="D17" s="157">
        <f ca="1">SUMIF(Здание!E$2:E$292,B17,Здание!N$2:N$292)</f>
        <v>6.6999999999999993</v>
      </c>
      <c r="E17" s="157">
        <f t="shared" ref="E17:E20" ca="1" si="9">C17*D17</f>
        <v>53.599999999999994</v>
      </c>
      <c r="G17" t="s">
        <v>438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C17" s="120"/>
      <c r="BD17" s="120"/>
      <c r="BE17" s="9"/>
    </row>
    <row r="18" spans="1:57" ht="18.75" hidden="1" x14ac:dyDescent="0.3">
      <c r="A18" s="199" t="s">
        <v>363</v>
      </c>
      <c r="B18" s="199" t="str">
        <f>Здание!E79</f>
        <v>Фх2.9</v>
      </c>
      <c r="C18" s="155"/>
      <c r="D18" s="157">
        <f ca="1">SUMIF(Здание!E$2:E$292,B18,Здание!N$2:N$292)</f>
        <v>56.5</v>
      </c>
      <c r="E18" s="157">
        <f t="shared" ref="E18" ca="1" si="10">C18*D18</f>
        <v>0</v>
      </c>
      <c r="G18" t="s">
        <v>440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C18" s="120"/>
      <c r="BD18" s="120"/>
      <c r="BE18" s="9"/>
    </row>
    <row r="19" spans="1:57" ht="18.75" x14ac:dyDescent="0.3">
      <c r="A19" s="199" t="s">
        <v>363</v>
      </c>
      <c r="B19" s="199" t="str">
        <f>Здание!E83</f>
        <v>Фх2.10</v>
      </c>
      <c r="C19" s="155">
        <v>32</v>
      </c>
      <c r="D19" s="157">
        <f ca="1">SUMIF(Здание!E$2:E$292,B19,Здание!N$2:N$292)</f>
        <v>16.600000000000001</v>
      </c>
      <c r="E19" s="157">
        <f t="shared" ref="E19" ca="1" si="11">C19*D19</f>
        <v>531.20000000000005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C19" s="120"/>
      <c r="BD19" s="120"/>
      <c r="BE19" s="9"/>
    </row>
    <row r="20" spans="1:57" ht="18.75" x14ac:dyDescent="0.3">
      <c r="A20" s="156" t="s">
        <v>429</v>
      </c>
      <c r="B20" s="156" t="str">
        <f>Здание!E91</f>
        <v>Фх3.1</v>
      </c>
      <c r="C20" s="155">
        <v>33</v>
      </c>
      <c r="D20" s="157">
        <f>SUMIF(Здание!E$2:E$292,B20,Здание!N$2:N$292)</f>
        <v>42.800000000000004</v>
      </c>
      <c r="E20" s="157">
        <f t="shared" si="9"/>
        <v>1412.4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>
        <v>7</v>
      </c>
      <c r="AX20" s="9"/>
      <c r="AY20" s="9"/>
      <c r="AZ20" s="9"/>
      <c r="BC20" s="120"/>
      <c r="BD20" s="120"/>
      <c r="BE20" s="9"/>
    </row>
    <row r="21" spans="1:57" ht="18.75" x14ac:dyDescent="0.3">
      <c r="A21" s="156" t="s">
        <v>429</v>
      </c>
      <c r="B21" s="156" t="str">
        <f>Здание!E92</f>
        <v>Фх3.2</v>
      </c>
      <c r="C21" s="155">
        <v>2</v>
      </c>
      <c r="D21" s="157">
        <f>SUMIF(Здание!E$2:E$292,B21,Здание!N$2:N$292)</f>
        <v>13.7</v>
      </c>
      <c r="E21" s="157">
        <f t="shared" ref="E21:E22" si="12">C21*D21</f>
        <v>27.4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>
        <v>3</v>
      </c>
      <c r="AX21" s="9"/>
      <c r="AY21" s="9"/>
      <c r="AZ21" s="9"/>
      <c r="BC21" s="120"/>
      <c r="BD21" s="120"/>
      <c r="BE21" s="9"/>
    </row>
    <row r="22" spans="1:57" ht="18.75" x14ac:dyDescent="0.3">
      <c r="A22" s="156" t="s">
        <v>429</v>
      </c>
      <c r="B22" s="156" t="str">
        <f>Здание!E93</f>
        <v>Фх3.3</v>
      </c>
      <c r="C22" s="155">
        <v>2</v>
      </c>
      <c r="D22" s="157">
        <f>SUMIF(Здание!E$2:E$292,B22,Здание!N$2:N$292)</f>
        <v>27.200000000000003</v>
      </c>
      <c r="E22" s="157">
        <f t="shared" si="12"/>
        <v>54.400000000000006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>
        <v>5</v>
      </c>
      <c r="AX22" s="9"/>
      <c r="AY22" s="9"/>
      <c r="AZ22" s="9"/>
      <c r="BC22" s="120"/>
      <c r="BD22" s="120"/>
      <c r="BE22" s="9"/>
    </row>
    <row r="23" spans="1:57" ht="18.75" x14ac:dyDescent="0.3">
      <c r="A23" s="156" t="s">
        <v>429</v>
      </c>
      <c r="B23" s="156" t="str">
        <f>Здание!E94</f>
        <v>Фх3.4</v>
      </c>
      <c r="C23" s="155">
        <v>1</v>
      </c>
      <c r="D23" s="157">
        <f>SUMIF(Здание!E$2:E$292,B23,Здание!N$2:N$292)</f>
        <v>88.899999999999991</v>
      </c>
      <c r="E23" s="157">
        <f t="shared" ref="E23" si="13">C23*D23</f>
        <v>88.899999999999991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>
        <v>7</v>
      </c>
      <c r="AX23" s="9"/>
      <c r="AY23" s="9"/>
      <c r="AZ23" s="9"/>
      <c r="BC23" s="120"/>
      <c r="BD23" s="120"/>
      <c r="BE23" s="9"/>
    </row>
    <row r="24" spans="1:57" ht="18.75" x14ac:dyDescent="0.3">
      <c r="A24" s="156" t="s">
        <v>331</v>
      </c>
      <c r="B24" s="156" t="str">
        <f>Здание!E20</f>
        <v>м1</v>
      </c>
      <c r="C24" s="155">
        <v>3</v>
      </c>
      <c r="D24" s="157">
        <f>SUMIF(Здание!E$2:E$292,B24,Здание!N$2:N$292)</f>
        <v>0.9</v>
      </c>
      <c r="E24" s="157">
        <f>C24*D24</f>
        <v>2.7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C24" s="120"/>
      <c r="BD24" s="120"/>
      <c r="BE24" s="9"/>
    </row>
    <row r="25" spans="1:57" ht="18.75" x14ac:dyDescent="0.3">
      <c r="A25" s="156" t="s">
        <v>331</v>
      </c>
      <c r="B25" s="156" t="str">
        <f>Здание!E21</f>
        <v>м2</v>
      </c>
      <c r="C25" s="155">
        <v>4</v>
      </c>
      <c r="D25" s="157">
        <f>SUMIF(Здание!E$2:E$292,B25,Здание!N$2:N$292)</f>
        <v>3.3000000000000003</v>
      </c>
      <c r="E25" s="157">
        <f>C25*D25</f>
        <v>13.200000000000001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C25" s="120"/>
      <c r="BD25" s="120"/>
      <c r="BE25" s="9"/>
    </row>
    <row r="26" spans="1:57" ht="18.75" x14ac:dyDescent="0.3">
      <c r="A26" s="156" t="s">
        <v>331</v>
      </c>
      <c r="B26" s="156" t="str">
        <f>Здание!E22</f>
        <v>м3</v>
      </c>
      <c r="C26" s="155">
        <f>C49*2+C50*2</f>
        <v>32</v>
      </c>
      <c r="D26" s="157">
        <f>SUMIF(Здание!E$2:E$292,B26,Здание!N$2:N$292)</f>
        <v>6.6</v>
      </c>
      <c r="E26" s="157">
        <f>C26*D26</f>
        <v>211.2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C26" s="120"/>
      <c r="BD26" s="120"/>
      <c r="BE26" s="9"/>
    </row>
    <row r="27" spans="1:57" ht="18.75" x14ac:dyDescent="0.3">
      <c r="A27" s="156" t="s">
        <v>331</v>
      </c>
      <c r="B27" s="156" t="str">
        <f>Здание!E23</f>
        <v>м4</v>
      </c>
      <c r="C27" s="155">
        <v>68</v>
      </c>
      <c r="D27" s="157">
        <f>SUMIF(Здание!E$2:E$292,B27,Здание!N$2:N$292)</f>
        <v>6.6</v>
      </c>
      <c r="E27" s="157">
        <f t="shared" ref="E27:E30" si="14">C27*D27</f>
        <v>448.79999999999995</v>
      </c>
      <c r="G27" t="s">
        <v>442</v>
      </c>
      <c r="H27" s="214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C27" s="215"/>
      <c r="BD27" s="131"/>
      <c r="BE27" s="214"/>
    </row>
    <row r="28" spans="1:57" ht="18.75" x14ac:dyDescent="0.3">
      <c r="A28" s="156" t="s">
        <v>331</v>
      </c>
      <c r="B28" s="156" t="str">
        <f>Здание!E24</f>
        <v>м5</v>
      </c>
      <c r="C28" s="155">
        <f>C49*4+C50*4</f>
        <v>64</v>
      </c>
      <c r="D28" s="157">
        <f>SUMIF(Здание!E$2:E$292,B28,Здание!N$2:N$292)</f>
        <v>7.8</v>
      </c>
      <c r="E28" s="157">
        <f t="shared" si="14"/>
        <v>499.2</v>
      </c>
      <c r="G28" t="s">
        <v>442</v>
      </c>
      <c r="H28" s="214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C28" s="215"/>
      <c r="BD28" s="131"/>
      <c r="BE28" s="214"/>
    </row>
    <row r="29" spans="1:57" ht="18.75" x14ac:dyDescent="0.3">
      <c r="A29" s="156" t="s">
        <v>331</v>
      </c>
      <c r="B29" s="156" t="str">
        <f>Здание!E25</f>
        <v>м6</v>
      </c>
      <c r="C29" s="155">
        <v>58</v>
      </c>
      <c r="D29" s="157">
        <f>SUMIF(Здание!E$2:E$292,B29,Здание!N$2:N$292)</f>
        <v>6.1</v>
      </c>
      <c r="E29" s="157">
        <f t="shared" si="14"/>
        <v>353.79999999999995</v>
      </c>
      <c r="G29" t="s">
        <v>443</v>
      </c>
      <c r="H29" s="214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C29" s="215"/>
      <c r="BD29" s="131"/>
      <c r="BE29" s="214"/>
    </row>
    <row r="30" spans="1:57" ht="18.75" x14ac:dyDescent="0.3">
      <c r="A30" s="156" t="s">
        <v>331</v>
      </c>
      <c r="B30" s="156" t="str">
        <f>Здание!E26</f>
        <v>м7</v>
      </c>
      <c r="C30" s="155">
        <v>42</v>
      </c>
      <c r="D30" s="157">
        <f>SUMIF(Здание!E$2:E$292,B30,Здание!N$2:N$292)</f>
        <v>10.9</v>
      </c>
      <c r="E30" s="157">
        <f t="shared" si="14"/>
        <v>457.8</v>
      </c>
      <c r="G30" t="s">
        <v>443</v>
      </c>
      <c r="H30" s="214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C30" s="215"/>
      <c r="BD30" s="131"/>
      <c r="BE30" s="214"/>
    </row>
    <row r="31" spans="1:57" ht="18.75" x14ac:dyDescent="0.3">
      <c r="A31" s="156" t="s">
        <v>331</v>
      </c>
      <c r="B31" s="156" t="str">
        <f>Здание!E27</f>
        <v>м8</v>
      </c>
      <c r="C31" s="155">
        <v>36</v>
      </c>
      <c r="D31" s="157">
        <f>SUMIF(Здание!E$2:E$292,B31,Здание!N$2:N$292)</f>
        <v>2.1</v>
      </c>
      <c r="E31" s="157">
        <f t="shared" ref="E31" si="15">C31*D31</f>
        <v>75.600000000000009</v>
      </c>
      <c r="G31" t="s">
        <v>442</v>
      </c>
      <c r="H31" s="214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C31" s="215"/>
      <c r="BD31" s="131"/>
      <c r="BE31" s="214"/>
    </row>
    <row r="32" spans="1:57" ht="18.75" hidden="1" x14ac:dyDescent="0.3">
      <c r="A32" s="9"/>
      <c r="B32" s="156" t="s">
        <v>272</v>
      </c>
      <c r="C32" s="155">
        <v>1</v>
      </c>
      <c r="D32" s="157">
        <f>Метизы!H107</f>
        <v>0</v>
      </c>
      <c r="E32" s="157">
        <f>C32*D32</f>
        <v>0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D32" s="131">
        <f>BC32*C32</f>
        <v>0</v>
      </c>
    </row>
    <row r="33" spans="1:56" ht="15" hidden="1" customHeight="1" x14ac:dyDescent="0.25">
      <c r="A33" s="9"/>
    </row>
    <row r="34" spans="1:56" ht="18.75" customHeight="1" x14ac:dyDescent="0.3">
      <c r="A34" s="9"/>
      <c r="B34" s="223" t="s">
        <v>33</v>
      </c>
      <c r="C34" s="223"/>
      <c r="D34" s="223"/>
      <c r="E34" s="157">
        <f ca="1">SUM(E6:E32)</f>
        <v>15151.500000000002</v>
      </c>
      <c r="BD34" s="121">
        <f>SUMPRODUCT(BC6:BC32,$C6:$C32)</f>
        <v>0</v>
      </c>
    </row>
    <row r="35" spans="1:56" ht="18.75" customHeight="1" x14ac:dyDescent="0.3">
      <c r="B35" s="12"/>
      <c r="C35" s="158"/>
      <c r="D35" s="159"/>
      <c r="E35" s="159"/>
    </row>
    <row r="49" spans="1:57" ht="18.75" x14ac:dyDescent="0.3">
      <c r="A49" s="156"/>
      <c r="B49" s="156" t="s">
        <v>435</v>
      </c>
      <c r="C49" s="155">
        <v>12</v>
      </c>
      <c r="D49" s="157"/>
      <c r="E49" s="157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C49" s="120"/>
      <c r="BD49" s="120"/>
      <c r="BE49" s="9"/>
    </row>
    <row r="50" spans="1:57" ht="18.75" x14ac:dyDescent="0.3">
      <c r="A50" s="156"/>
      <c r="B50" s="156" t="s">
        <v>433</v>
      </c>
      <c r="C50" s="155">
        <v>4</v>
      </c>
      <c r="D50" s="157"/>
      <c r="E50" s="157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C50" s="120"/>
      <c r="BD50" s="120"/>
      <c r="BE50" s="9"/>
    </row>
    <row r="51" spans="1:57" ht="18.75" x14ac:dyDescent="0.3">
      <c r="A51" s="156"/>
      <c r="B51" s="156" t="s">
        <v>434</v>
      </c>
      <c r="C51" s="155">
        <v>8</v>
      </c>
      <c r="D51" s="157"/>
      <c r="E51" s="157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C51" s="120"/>
      <c r="BD51" s="120"/>
      <c r="BE51" s="9"/>
    </row>
  </sheetData>
  <autoFilter ref="E6:E34"/>
  <mergeCells count="53">
    <mergeCell ref="BC4:BE4"/>
    <mergeCell ref="J1:AZ1"/>
    <mergeCell ref="J2:J4"/>
    <mergeCell ref="L2:L4"/>
    <mergeCell ref="AC2:AC4"/>
    <mergeCell ref="AE2:AE4"/>
    <mergeCell ref="AF2:AF4"/>
    <mergeCell ref="AI2:AI4"/>
    <mergeCell ref="AT2:AT4"/>
    <mergeCell ref="V2:V4"/>
    <mergeCell ref="S2:S4"/>
    <mergeCell ref="AA2:AA4"/>
    <mergeCell ref="Y2:Y4"/>
    <mergeCell ref="K2:K4"/>
    <mergeCell ref="P2:P4"/>
    <mergeCell ref="AY2:AY4"/>
    <mergeCell ref="A4:A5"/>
    <mergeCell ref="AB2:AB4"/>
    <mergeCell ref="Z2:Z4"/>
    <mergeCell ref="AZ2:AZ4"/>
    <mergeCell ref="R2:R4"/>
    <mergeCell ref="AD2:AD4"/>
    <mergeCell ref="AQ2:AQ4"/>
    <mergeCell ref="AG2:AG4"/>
    <mergeCell ref="H2:H4"/>
    <mergeCell ref="U2:U4"/>
    <mergeCell ref="I2:I4"/>
    <mergeCell ref="M2:M4"/>
    <mergeCell ref="AH2:AH4"/>
    <mergeCell ref="O2:O4"/>
    <mergeCell ref="Q2:Q4"/>
    <mergeCell ref="N2:N4"/>
    <mergeCell ref="AK2:AK4"/>
    <mergeCell ref="AM2:AM4"/>
    <mergeCell ref="AU2:AU4"/>
    <mergeCell ref="B34:D34"/>
    <mergeCell ref="B3:E3"/>
    <mergeCell ref="B4:B5"/>
    <mergeCell ref="C4:C5"/>
    <mergeCell ref="D4:E4"/>
    <mergeCell ref="X2:X4"/>
    <mergeCell ref="W2:W4"/>
    <mergeCell ref="T2:T4"/>
    <mergeCell ref="AJ2:AJ4"/>
    <mergeCell ref="AN2:AN4"/>
    <mergeCell ref="AO2:AO4"/>
    <mergeCell ref="AV2:AV4"/>
    <mergeCell ref="AR2:AR4"/>
    <mergeCell ref="AS2:AS4"/>
    <mergeCell ref="AX2:AX4"/>
    <mergeCell ref="AL2:AL4"/>
    <mergeCell ref="AP2:AP4"/>
    <mergeCell ref="AW2:AW4"/>
  </mergeCells>
  <conditionalFormatting sqref="H5:S6 U5:V6 X5:AI5 X6:AZ6 AK5:AZ5 H8:X8 Z8:AZ8 H15:AZ19 H9:AZ13 H21:AZ22 H23:AV23 AX23:AZ23 H24:AZ33 Y7:Y8 H49:AZ51">
    <cfRule type="cellIs" dxfId="862" priority="36" operator="greaterThan">
      <formula>0</formula>
    </cfRule>
  </conditionalFormatting>
  <conditionalFormatting sqref="W5:W6">
    <cfRule type="cellIs" dxfId="861" priority="17" operator="greaterThan">
      <formula>0</formula>
    </cfRule>
  </conditionalFormatting>
  <conditionalFormatting sqref="T5:T6">
    <cfRule type="cellIs" dxfId="860" priority="15" operator="greaterThan">
      <formula>0</formula>
    </cfRule>
  </conditionalFormatting>
  <conditionalFormatting sqref="AJ5">
    <cfRule type="cellIs" dxfId="859" priority="9" operator="greaterThan">
      <formula>0</formula>
    </cfRule>
  </conditionalFormatting>
  <conditionalFormatting sqref="H7:X7 Z7:AZ7">
    <cfRule type="cellIs" dxfId="858" priority="4" operator="greaterThan">
      <formula>0</formula>
    </cfRule>
  </conditionalFormatting>
  <conditionalFormatting sqref="H14:AZ14">
    <cfRule type="cellIs" dxfId="857" priority="3" operator="greaterThan">
      <formula>0</formula>
    </cfRule>
  </conditionalFormatting>
  <conditionalFormatting sqref="H20:AZ20">
    <cfRule type="cellIs" dxfId="856" priority="2" operator="greaterThan">
      <formula>0</formula>
    </cfRule>
  </conditionalFormatting>
  <conditionalFormatting sqref="AW23">
    <cfRule type="cellIs" dxfId="855" priority="1" operator="greaterThan">
      <formula>0</formula>
    </cfRule>
  </conditionalFormatting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  <pageSetUpPr fitToPage="1"/>
  </sheetPr>
  <dimension ref="A1:AC291"/>
  <sheetViews>
    <sheetView zoomScale="85" zoomScaleNormal="85" workbookViewId="0">
      <pane xSplit="21" ySplit="5" topLeftCell="V60" activePane="bottomRight" state="frozen"/>
      <selection pane="topRight" activeCell="S1" sqref="S1"/>
      <selection pane="bottomLeft" activeCell="A3" sqref="A3"/>
      <selection pane="bottomRight" activeCell="E65" sqref="E65:O85"/>
    </sheetView>
  </sheetViews>
  <sheetFormatPr defaultRowHeight="15" x14ac:dyDescent="0.25"/>
  <cols>
    <col min="1" max="1" width="5.42578125" style="106" customWidth="1"/>
    <col min="2" max="2" width="7.85546875" style="43" customWidth="1"/>
    <col min="3" max="3" width="6.42578125" customWidth="1"/>
    <col min="4" max="4" width="1.140625" customWidth="1"/>
    <col min="5" max="5" width="9.140625" style="3" customWidth="1"/>
    <col min="6" max="6" width="7.85546875" style="3" customWidth="1"/>
    <col min="7" max="7" width="9.140625" style="3" customWidth="1"/>
    <col min="8" max="8" width="2.5703125" style="3" customWidth="1"/>
    <col min="9" max="9" width="9.140625" style="3" customWidth="1"/>
    <col min="10" max="10" width="11.5703125" style="3" customWidth="1"/>
    <col min="11" max="11" width="6.85546875" style="3" customWidth="1"/>
    <col min="12" max="13" width="10" style="3" customWidth="1"/>
    <col min="14" max="14" width="10" style="15" customWidth="1"/>
    <col min="15" max="15" width="8.7109375" style="3" customWidth="1"/>
    <col min="16" max="16" width="2.42578125" style="3" customWidth="1"/>
    <col min="17" max="17" width="10" style="13" customWidth="1"/>
    <col min="18" max="18" width="5.140625" style="13" customWidth="1"/>
    <col min="19" max="19" width="10" style="13" customWidth="1"/>
    <col min="20" max="20" width="10" style="13" hidden="1" customWidth="1"/>
    <col min="21" max="21" width="2.7109375" customWidth="1"/>
    <col min="22" max="22" width="1.42578125" customWidth="1"/>
    <col min="23" max="23" width="9.140625" style="65"/>
    <col min="26" max="26" width="7.140625" customWidth="1"/>
    <col min="27" max="27" width="9" customWidth="1"/>
    <col min="28" max="31" width="7.140625" customWidth="1"/>
  </cols>
  <sheetData>
    <row r="1" spans="1:29" x14ac:dyDescent="0.25">
      <c r="H1"/>
      <c r="I1"/>
      <c r="J1"/>
      <c r="K1"/>
      <c r="L1"/>
      <c r="M1"/>
      <c r="N1"/>
      <c r="O1"/>
      <c r="P1"/>
      <c r="Q1"/>
      <c r="R1"/>
      <c r="S1"/>
      <c r="T1"/>
      <c r="AA1" s="17">
        <v>0.04</v>
      </c>
    </row>
    <row r="2" spans="1:29" ht="16.5" customHeight="1" x14ac:dyDescent="0.25">
      <c r="B2" s="257" t="s">
        <v>232</v>
      </c>
      <c r="C2" s="257"/>
      <c r="I2" s="89">
        <f>MAX(F7:F9)</f>
        <v>0</v>
      </c>
      <c r="J2" s="150">
        <f>MAX(F31:F107)</f>
        <v>122</v>
      </c>
      <c r="K2" s="87">
        <f>MAX(F108:F124)</f>
        <v>0</v>
      </c>
      <c r="L2" s="88">
        <f>MAX(F124:F157)</f>
        <v>226</v>
      </c>
      <c r="M2" s="90">
        <f>MAX(F157:F204)</f>
        <v>315</v>
      </c>
      <c r="N2" s="87">
        <f>MAX(F204:F212)</f>
        <v>0</v>
      </c>
      <c r="O2" s="89">
        <f>MAX($F212:$F244)</f>
        <v>814</v>
      </c>
      <c r="Q2" s="56">
        <f ca="1">SUM(Q3:Q292)+SUM(S3:S292)</f>
        <v>15121.469134800001</v>
      </c>
      <c r="R2" s="56"/>
      <c r="W2"/>
      <c r="AA2" s="21" t="e">
        <f>ROUNDUP(#REF!,1)</f>
        <v>#REF!</v>
      </c>
      <c r="AB2" s="21" t="e">
        <f>ROUNDUP(SUM(#REF!),1)</f>
        <v>#REF!</v>
      </c>
      <c r="AC2" s="105" t="e">
        <f>ROUNDUP(#REF!,1)</f>
        <v>#REF!</v>
      </c>
    </row>
    <row r="3" spans="1:29" ht="18.75" x14ac:dyDescent="0.3">
      <c r="E3" s="224" t="s">
        <v>203</v>
      </c>
      <c r="F3" s="224"/>
      <c r="G3" s="224"/>
      <c r="H3" s="224"/>
      <c r="I3" s="224"/>
      <c r="J3" s="224"/>
      <c r="K3" s="224"/>
      <c r="L3" s="224"/>
      <c r="M3" s="224"/>
      <c r="N3" s="224"/>
      <c r="O3" s="224"/>
      <c r="Q3" s="3"/>
      <c r="R3" s="3"/>
      <c r="S3" s="3"/>
      <c r="T3" s="3"/>
    </row>
    <row r="4" spans="1:29" ht="18.75" customHeight="1" x14ac:dyDescent="0.35">
      <c r="A4" s="107" t="s">
        <v>223</v>
      </c>
      <c r="B4" s="258" t="s">
        <v>1</v>
      </c>
      <c r="C4" s="236" t="s">
        <v>42</v>
      </c>
      <c r="E4" s="236" t="s">
        <v>0</v>
      </c>
      <c r="F4" s="236" t="s">
        <v>1</v>
      </c>
      <c r="G4" s="236" t="s">
        <v>2</v>
      </c>
      <c r="H4" s="236"/>
      <c r="I4" s="236"/>
      <c r="J4" s="236" t="s">
        <v>3</v>
      </c>
      <c r="K4" s="236" t="s">
        <v>42</v>
      </c>
      <c r="L4" s="236" t="s">
        <v>4</v>
      </c>
      <c r="M4" s="236"/>
      <c r="N4" s="236"/>
      <c r="O4" s="236" t="s">
        <v>5</v>
      </c>
      <c r="P4" s="236" t="s">
        <v>39</v>
      </c>
      <c r="Q4" s="7"/>
      <c r="R4" s="7"/>
      <c r="S4" s="47" t="s">
        <v>73</v>
      </c>
      <c r="T4" s="129"/>
    </row>
    <row r="5" spans="1:29" ht="18.75" x14ac:dyDescent="0.25">
      <c r="B5" s="258"/>
      <c r="C5" s="236"/>
      <c r="E5" s="236"/>
      <c r="F5" s="236"/>
      <c r="G5" s="236"/>
      <c r="H5" s="236"/>
      <c r="I5" s="236"/>
      <c r="J5" s="236"/>
      <c r="K5" s="236"/>
      <c r="L5" s="19" t="s">
        <v>6</v>
      </c>
      <c r="M5" s="19" t="s">
        <v>7</v>
      </c>
      <c r="N5" s="1" t="s">
        <v>8</v>
      </c>
      <c r="O5" s="236"/>
      <c r="P5" s="236"/>
      <c r="Q5" s="18"/>
      <c r="R5" s="51"/>
      <c r="S5" s="51"/>
      <c r="T5" s="51"/>
      <c r="W5" s="65" t="s">
        <v>67</v>
      </c>
    </row>
    <row r="6" spans="1:29" ht="18.75" x14ac:dyDescent="0.3">
      <c r="B6" s="49"/>
      <c r="C6" s="7"/>
      <c r="E6" s="7"/>
      <c r="F6" s="7"/>
      <c r="G6" s="7"/>
      <c r="H6" s="7"/>
      <c r="I6" s="7"/>
      <c r="J6" s="7"/>
      <c r="K6" s="7"/>
      <c r="L6" s="7"/>
      <c r="M6" s="7"/>
      <c r="N6" s="50"/>
      <c r="O6" s="7"/>
      <c r="P6" s="7"/>
      <c r="Q6" s="51"/>
      <c r="R6" s="51"/>
      <c r="S6" s="51"/>
      <c r="T6" s="51"/>
    </row>
    <row r="8" spans="1:29" ht="18.75" customHeight="1" x14ac:dyDescent="0.3">
      <c r="B8" s="44">
        <f t="shared" ref="B8:B9" si="0">F8</f>
        <v>0</v>
      </c>
      <c r="C8" s="36">
        <f t="shared" ref="C8:C9" si="1">K8*Q8/M8</f>
        <v>0</v>
      </c>
      <c r="E8" s="19"/>
      <c r="F8" s="19"/>
      <c r="G8" s="4">
        <v>10</v>
      </c>
      <c r="H8" s="63" t="s">
        <v>9</v>
      </c>
      <c r="I8" s="5" t="s">
        <v>339</v>
      </c>
      <c r="J8" s="19">
        <v>80</v>
      </c>
      <c r="K8" s="19">
        <v>1</v>
      </c>
      <c r="L8" s="2">
        <f t="shared" ref="L8:L9" si="2">7.85/1000000*(I8*J8*G8)</f>
        <v>0.50239999999999996</v>
      </c>
      <c r="M8" s="2">
        <f t="shared" ref="M8:M9" si="3">L8*K8</f>
        <v>0.50239999999999996</v>
      </c>
      <c r="N8" s="130">
        <f t="shared" ref="N8:N9" si="4">ROUNDUP(M8,1)</f>
        <v>0.6</v>
      </c>
      <c r="O8" s="39"/>
      <c r="P8" s="12"/>
      <c r="Q8" s="14">
        <f>M8*(SUMIF(Отправочная!B$4:B$34,E8,Отправочная!C$4:C$34)+A8)</f>
        <v>0</v>
      </c>
      <c r="R8" s="34"/>
      <c r="S8"/>
      <c r="T8" s="34"/>
      <c r="W8" s="65">
        <f>SUMIF(Металл!E$3:E$258,G8,Металл!A$3:A$258)</f>
        <v>0</v>
      </c>
    </row>
    <row r="9" spans="1:29" ht="18.75" customHeight="1" x14ac:dyDescent="0.3">
      <c r="B9" s="44">
        <f t="shared" si="0"/>
        <v>0</v>
      </c>
      <c r="C9" s="36">
        <f t="shared" si="1"/>
        <v>0</v>
      </c>
      <c r="E9" s="19"/>
      <c r="F9" s="19"/>
      <c r="G9" s="4">
        <v>20</v>
      </c>
      <c r="H9" s="63" t="s">
        <v>9</v>
      </c>
      <c r="I9" s="5" t="s">
        <v>339</v>
      </c>
      <c r="J9" s="19">
        <v>80</v>
      </c>
      <c r="K9" s="19">
        <v>1</v>
      </c>
      <c r="L9" s="2">
        <f t="shared" si="2"/>
        <v>1.0047999999999999</v>
      </c>
      <c r="M9" s="2">
        <f t="shared" si="3"/>
        <v>1.0047999999999999</v>
      </c>
      <c r="N9" s="130">
        <f t="shared" si="4"/>
        <v>1.1000000000000001</v>
      </c>
      <c r="O9" s="39"/>
      <c r="P9" s="12"/>
      <c r="Q9" s="14">
        <f>M9*(SUMIF(Отправочная!B$4:B$34,E9,Отправочная!C$4:C$34)+A9)</f>
        <v>0</v>
      </c>
      <c r="R9" s="34"/>
      <c r="S9"/>
      <c r="T9" s="34"/>
      <c r="W9" s="65">
        <f>SUMIF(Металл!E$3:E$258,G9,Металл!A$3:A$258)</f>
        <v>0</v>
      </c>
    </row>
    <row r="11" spans="1:29" ht="18.75" customHeight="1" x14ac:dyDescent="0.3">
      <c r="B11" s="44">
        <f t="shared" ref="B11" si="5">F11</f>
        <v>0</v>
      </c>
      <c r="C11" s="36">
        <f t="shared" ref="C11" si="6">K11*Q11/M11</f>
        <v>0</v>
      </c>
      <c r="E11" s="19"/>
      <c r="F11" s="19"/>
      <c r="G11" s="4">
        <v>4</v>
      </c>
      <c r="H11" s="63" t="s">
        <v>9</v>
      </c>
      <c r="I11" s="5" t="s">
        <v>349</v>
      </c>
      <c r="J11" s="19">
        <v>300</v>
      </c>
      <c r="K11" s="19">
        <v>1</v>
      </c>
      <c r="L11" s="2">
        <f>7.85/1000000*(I11*J11*G11)</f>
        <v>1.8839999999999999</v>
      </c>
      <c r="M11" s="2">
        <f t="shared" ref="M11" si="7">L11*K11</f>
        <v>1.8839999999999999</v>
      </c>
      <c r="N11" s="130">
        <f>ROUNDUP(M11,1)</f>
        <v>1.9000000000000001</v>
      </c>
      <c r="O11" s="39"/>
      <c r="P11" s="12"/>
      <c r="Q11" s="14">
        <f>M11*(SUMIF(Отправочная!B$4:B$34,E11,Отправочная!C$4:C$34)+A11)</f>
        <v>0</v>
      </c>
      <c r="R11" s="34"/>
      <c r="S11"/>
      <c r="T11" s="34"/>
      <c r="W11" s="65">
        <f>SUMIF(Металл!E$3:E$258,G11,Металл!A$3:A$258)</f>
        <v>0</v>
      </c>
    </row>
    <row r="12" spans="1:29" ht="18.75" customHeight="1" x14ac:dyDescent="0.3">
      <c r="B12" s="44"/>
      <c r="C12" s="36"/>
      <c r="E12" s="7"/>
      <c r="F12" s="7"/>
      <c r="G12" s="7"/>
      <c r="H12" s="7"/>
      <c r="I12" s="7"/>
      <c r="J12" s="7"/>
      <c r="K12" s="7"/>
      <c r="L12" s="33"/>
      <c r="M12" s="33"/>
      <c r="N12" s="35"/>
      <c r="O12" s="100"/>
      <c r="P12" s="12"/>
      <c r="Q12" s="34"/>
      <c r="R12" s="34"/>
      <c r="S12" s="34"/>
      <c r="T12" s="34"/>
    </row>
    <row r="13" spans="1:29" ht="18.75" customHeight="1" x14ac:dyDescent="0.3">
      <c r="B13" s="44">
        <f>F13</f>
        <v>0</v>
      </c>
      <c r="C13" s="36">
        <f>K13*Q13/M13</f>
        <v>0</v>
      </c>
      <c r="E13" s="19"/>
      <c r="F13" s="19"/>
      <c r="G13" s="247" t="s">
        <v>258</v>
      </c>
      <c r="H13" s="248"/>
      <c r="I13" s="249"/>
      <c r="J13" s="40">
        <v>100</v>
      </c>
      <c r="K13" s="19">
        <v>1</v>
      </c>
      <c r="L13" s="2">
        <f t="shared" ref="L13:L14" si="8">J13/1000*W13</f>
        <v>0.96400000000000008</v>
      </c>
      <c r="M13" s="2">
        <f t="shared" ref="M13:M14" si="9">L13*K13</f>
        <v>0.96400000000000008</v>
      </c>
      <c r="N13" s="21">
        <f>ROUNDUP(SUM(M13:M13),1)</f>
        <v>1</v>
      </c>
      <c r="O13" s="39"/>
      <c r="P13" s="12"/>
      <c r="Q13" s="14">
        <f>M13*(SUMIF(Отправочная!B$4:B$34,E13,Отправочная!C$4:C$34)+A13)</f>
        <v>0</v>
      </c>
      <c r="R13" s="34"/>
      <c r="S13" s="34"/>
      <c r="T13" s="34"/>
      <c r="W13" s="65">
        <f>SUMIF(Металл!E$3:E$258,G13,Металл!A$3:A$258)</f>
        <v>9.64</v>
      </c>
    </row>
    <row r="14" spans="1:29" ht="18.75" customHeight="1" x14ac:dyDescent="0.3">
      <c r="B14" s="44">
        <f>F14</f>
        <v>1</v>
      </c>
      <c r="C14" s="36">
        <f>K14*Q14/M14</f>
        <v>0</v>
      </c>
      <c r="E14" s="250"/>
      <c r="F14" s="19">
        <v>1</v>
      </c>
      <c r="G14" s="247" t="s">
        <v>258</v>
      </c>
      <c r="H14" s="248"/>
      <c r="I14" s="249"/>
      <c r="J14" s="40">
        <v>1910</v>
      </c>
      <c r="K14" s="19">
        <v>2</v>
      </c>
      <c r="L14" s="2">
        <f t="shared" si="8"/>
        <v>18.412400000000002</v>
      </c>
      <c r="M14" s="2">
        <f t="shared" si="9"/>
        <v>36.824800000000003</v>
      </c>
      <c r="N14" s="253">
        <f>ROUNDUP(SUM(M14:M15),1)</f>
        <v>38.300000000000004</v>
      </c>
      <c r="O14" s="39"/>
      <c r="P14" s="12"/>
      <c r="Q14" s="14">
        <f>M14*(SUMIF(Отправочная!B$4:B$34,E14,Отправочная!C$4:C$34)+A14)</f>
        <v>0</v>
      </c>
      <c r="R14" s="34"/>
      <c r="S14" s="34"/>
      <c r="T14" s="34"/>
      <c r="W14" s="65">
        <f>SUMIF(Металл!E$3:E$258,G14,Металл!A$3:A$258)</f>
        <v>9.64</v>
      </c>
    </row>
    <row r="15" spans="1:29" ht="18.75" customHeight="1" x14ac:dyDescent="0.3">
      <c r="B15" s="44"/>
      <c r="C15" s="36"/>
      <c r="E15" s="252"/>
      <c r="F15" s="247" t="s">
        <v>352</v>
      </c>
      <c r="G15" s="248"/>
      <c r="H15" s="248"/>
      <c r="I15" s="248"/>
      <c r="J15" s="248"/>
      <c r="K15" s="248"/>
      <c r="L15" s="249"/>
      <c r="M15" s="2">
        <f>SUM(M14:M14)*$AA$1</f>
        <v>1.4729920000000001</v>
      </c>
      <c r="N15" s="255"/>
      <c r="O15" s="39"/>
      <c r="P15" s="12"/>
      <c r="Q15" s="14">
        <f>M15*C14/K14</f>
        <v>0</v>
      </c>
      <c r="R15" s="34"/>
      <c r="S15" s="34"/>
      <c r="T15" s="34"/>
      <c r="W15" s="65">
        <f>SUMIF(Металл!E$3:E$258,G15,Металл!A$3:A$258)</f>
        <v>0</v>
      </c>
    </row>
    <row r="16" spans="1:29" ht="18.75" customHeight="1" x14ac:dyDescent="0.3">
      <c r="B16" s="44">
        <f>F16</f>
        <v>1</v>
      </c>
      <c r="C16" s="36">
        <f>K16*Q16/M16</f>
        <v>0</v>
      </c>
      <c r="E16" s="250"/>
      <c r="F16" s="19">
        <v>1</v>
      </c>
      <c r="G16" s="247" t="s">
        <v>258</v>
      </c>
      <c r="H16" s="248"/>
      <c r="I16" s="249"/>
      <c r="J16" s="40">
        <v>2470</v>
      </c>
      <c r="K16" s="19">
        <v>2</v>
      </c>
      <c r="L16" s="2">
        <f t="shared" ref="L16" si="10">J16/1000*W16</f>
        <v>23.810800000000004</v>
      </c>
      <c r="M16" s="2">
        <f t="shared" ref="M16" si="11">L16*K16</f>
        <v>47.621600000000008</v>
      </c>
      <c r="N16" s="253">
        <f>ROUNDUP(SUM(M16:M17),1)</f>
        <v>49.6</v>
      </c>
      <c r="O16" s="39"/>
      <c r="P16" s="12"/>
      <c r="Q16" s="14">
        <f>M16*(SUMIF(Отправочная!B$4:B$34,E16,Отправочная!C$4:C$34)+A16)</f>
        <v>0</v>
      </c>
      <c r="R16" s="34"/>
      <c r="S16" s="34"/>
      <c r="T16" s="34"/>
      <c r="W16" s="65">
        <f>SUMIF(Металл!E$3:E$258,G16,Металл!A$3:A$258)</f>
        <v>9.64</v>
      </c>
    </row>
    <row r="17" spans="1:23" ht="18.75" customHeight="1" x14ac:dyDescent="0.3">
      <c r="B17" s="44"/>
      <c r="C17" s="36"/>
      <c r="E17" s="252"/>
      <c r="F17" s="247" t="s">
        <v>352</v>
      </c>
      <c r="G17" s="248"/>
      <c r="H17" s="248"/>
      <c r="I17" s="248"/>
      <c r="J17" s="248"/>
      <c r="K17" s="248"/>
      <c r="L17" s="249"/>
      <c r="M17" s="2">
        <f>SUM(M16:M16)*$AA$1</f>
        <v>1.9048640000000003</v>
      </c>
      <c r="N17" s="255"/>
      <c r="O17" s="39"/>
      <c r="P17" s="12"/>
      <c r="Q17" s="14">
        <f>M17*C16/K16</f>
        <v>0</v>
      </c>
      <c r="R17" s="34"/>
      <c r="S17" s="34"/>
      <c r="T17" s="34"/>
      <c r="W17" s="65">
        <f>SUMIF(Металл!E$3:E$258,G17,Металл!A$3:A$258)</f>
        <v>0</v>
      </c>
    </row>
    <row r="18" spans="1:23" ht="18.75" customHeight="1" x14ac:dyDescent="0.3">
      <c r="B18" s="44">
        <f t="shared" ref="B18:B19" si="12">F18</f>
        <v>0</v>
      </c>
      <c r="C18" s="36">
        <f t="shared" ref="C18:C19" si="13">K18*Q18/M18</f>
        <v>0</v>
      </c>
      <c r="E18" s="19"/>
      <c r="F18" s="19"/>
      <c r="G18" s="247" t="s">
        <v>398</v>
      </c>
      <c r="H18" s="248"/>
      <c r="I18" s="249"/>
      <c r="J18" s="40">
        <v>1200</v>
      </c>
      <c r="K18" s="19">
        <v>1</v>
      </c>
      <c r="L18" s="2">
        <f t="shared" ref="L18:L19" si="14">J18/1000*W18</f>
        <v>23.291999999999998</v>
      </c>
      <c r="M18" s="2">
        <f t="shared" ref="M18:M19" si="15">L18*K18</f>
        <v>23.291999999999998</v>
      </c>
      <c r="N18" s="21">
        <f t="shared" ref="N18:N20" si="16">ROUNDUP(SUM(M18:M18),1)</f>
        <v>23.3</v>
      </c>
      <c r="O18" s="39"/>
      <c r="P18" s="12"/>
      <c r="Q18" s="14">
        <f>M18*(SUMIF(Отправочная!B$4:B$34,E18,Отправочная!C$4:C$34)+A18)</f>
        <v>0</v>
      </c>
      <c r="R18" s="34"/>
      <c r="S18" s="34"/>
      <c r="T18" s="34"/>
      <c r="W18" s="65">
        <f>SUMIF(Металл!E$3:E$258,G18,Металл!A$3:A$258)</f>
        <v>19.41</v>
      </c>
    </row>
    <row r="19" spans="1:23" ht="18.75" customHeight="1" x14ac:dyDescent="0.3">
      <c r="B19" s="44">
        <f t="shared" si="12"/>
        <v>0</v>
      </c>
      <c r="C19" s="36">
        <f t="shared" si="13"/>
        <v>0</v>
      </c>
      <c r="E19" s="19"/>
      <c r="F19" s="19"/>
      <c r="G19" s="247" t="s">
        <v>398</v>
      </c>
      <c r="H19" s="248"/>
      <c r="I19" s="249"/>
      <c r="J19" s="40">
        <v>11880</v>
      </c>
      <c r="K19" s="19">
        <v>1</v>
      </c>
      <c r="L19" s="2">
        <f t="shared" si="14"/>
        <v>230.59080000000003</v>
      </c>
      <c r="M19" s="2">
        <f t="shared" si="15"/>
        <v>230.59080000000003</v>
      </c>
      <c r="N19" s="21">
        <f t="shared" si="16"/>
        <v>230.6</v>
      </c>
      <c r="O19" s="39"/>
      <c r="P19" s="12"/>
      <c r="Q19" s="14">
        <f>M19*(SUMIF(Отправочная!B$4:B$34,E19,Отправочная!C$4:C$34)+A19)</f>
        <v>0</v>
      </c>
      <c r="R19" s="34"/>
      <c r="S19" s="34"/>
      <c r="T19" s="34"/>
      <c r="W19" s="65">
        <f>SUMIF(Металл!E$3:E$258,G19,Металл!A$3:A$258)</f>
        <v>19.41</v>
      </c>
    </row>
    <row r="20" spans="1:23" ht="18.75" customHeight="1" x14ac:dyDescent="0.3">
      <c r="B20" s="44">
        <f t="shared" ref="B20:B21" si="17">F20</f>
        <v>0</v>
      </c>
      <c r="C20" s="36">
        <f t="shared" ref="C20:C21" si="18">K20*Q20/M20</f>
        <v>3</v>
      </c>
      <c r="E20" s="19" t="s">
        <v>409</v>
      </c>
      <c r="F20" s="19"/>
      <c r="G20" s="247" t="s">
        <v>43</v>
      </c>
      <c r="H20" s="248"/>
      <c r="I20" s="249"/>
      <c r="J20" s="40">
        <v>120</v>
      </c>
      <c r="K20" s="19">
        <v>1</v>
      </c>
      <c r="L20" s="2">
        <f t="shared" ref="L20" si="19">J20/1000*W20</f>
        <v>0.82679999999999998</v>
      </c>
      <c r="M20" s="2">
        <f t="shared" ref="M20:M21" si="20">L20*K20</f>
        <v>0.82679999999999998</v>
      </c>
      <c r="N20" s="21">
        <f t="shared" si="16"/>
        <v>0.9</v>
      </c>
      <c r="O20" s="39"/>
      <c r="P20" s="12"/>
      <c r="Q20" s="14">
        <f>M20*(SUMIF(Отправочная!B$4:B$34,E20,Отправочная!C$4:C$34)+A20)</f>
        <v>2.4803999999999999</v>
      </c>
      <c r="R20" s="34"/>
      <c r="S20" s="34"/>
      <c r="T20" s="34"/>
      <c r="W20" s="65">
        <f>SUMIF(Металл!E$3:E$258,G20,Металл!A$3:A$258)</f>
        <v>6.89</v>
      </c>
    </row>
    <row r="21" spans="1:23" ht="18.75" customHeight="1" x14ac:dyDescent="0.3">
      <c r="B21" s="44">
        <f t="shared" si="17"/>
        <v>0</v>
      </c>
      <c r="C21" s="36">
        <f t="shared" si="18"/>
        <v>4</v>
      </c>
      <c r="E21" s="19" t="s">
        <v>364</v>
      </c>
      <c r="F21" s="19"/>
      <c r="G21" s="4">
        <v>10</v>
      </c>
      <c r="H21" s="63" t="s">
        <v>9</v>
      </c>
      <c r="I21" s="5" t="s">
        <v>192</v>
      </c>
      <c r="J21" s="19">
        <v>280</v>
      </c>
      <c r="K21" s="19">
        <v>1</v>
      </c>
      <c r="L21" s="2">
        <f>7.85/1000000*(I21*J21*G21)</f>
        <v>3.2969999999999997</v>
      </c>
      <c r="M21" s="2">
        <f t="shared" si="20"/>
        <v>3.2969999999999997</v>
      </c>
      <c r="N21" s="130">
        <f>ROUNDUP(M21,1)</f>
        <v>3.3000000000000003</v>
      </c>
      <c r="O21" s="39"/>
      <c r="P21" s="12"/>
      <c r="Q21" s="14">
        <f>M21*(SUMIF(Отправочная!B$4:B$34,E21,Отправочная!C$4:C$34)+A21)</f>
        <v>13.187999999999999</v>
      </c>
      <c r="R21" s="34"/>
      <c r="S21"/>
      <c r="T21" s="34"/>
      <c r="W21" s="65">
        <f>SUMIF(Металл!E$3:E$258,G21,Металл!A$3:A$258)</f>
        <v>0</v>
      </c>
    </row>
    <row r="22" spans="1:23" ht="18.75" customHeight="1" x14ac:dyDescent="0.3">
      <c r="B22" s="44">
        <f t="shared" ref="B22:B25" si="21">F22</f>
        <v>0</v>
      </c>
      <c r="C22" s="36">
        <f t="shared" ref="C22:C25" si="22">K22*Q22/M22</f>
        <v>32</v>
      </c>
      <c r="E22" s="19" t="s">
        <v>420</v>
      </c>
      <c r="F22" s="19"/>
      <c r="G22" s="247" t="s">
        <v>43</v>
      </c>
      <c r="H22" s="248"/>
      <c r="I22" s="249"/>
      <c r="J22" s="40">
        <v>950</v>
      </c>
      <c r="K22" s="19">
        <v>1</v>
      </c>
      <c r="L22" s="2">
        <f t="shared" ref="L22:L23" si="23">J22/1000*W22</f>
        <v>6.5454999999999997</v>
      </c>
      <c r="M22" s="2">
        <f t="shared" ref="M22:M25" si="24">L22*K22</f>
        <v>6.5454999999999997</v>
      </c>
      <c r="N22" s="21">
        <f t="shared" ref="N22:N23" si="25">ROUNDUP(SUM(M22:M22),1)</f>
        <v>6.6</v>
      </c>
      <c r="O22" s="39"/>
      <c r="P22" s="12"/>
      <c r="Q22" s="14">
        <f>M22*(SUMIF(Отправочная!B$4:B$34,E22,Отправочная!C$4:C$34)+A22)</f>
        <v>209.45599999999999</v>
      </c>
      <c r="R22" s="34"/>
      <c r="S22" s="34"/>
      <c r="T22" s="34"/>
      <c r="W22" s="65">
        <f>SUMIF(Металл!E$3:E$258,G22,Металл!A$3:A$258)</f>
        <v>6.89</v>
      </c>
    </row>
    <row r="23" spans="1:23" ht="18.75" customHeight="1" x14ac:dyDescent="0.3">
      <c r="B23" s="44">
        <f t="shared" si="21"/>
        <v>0</v>
      </c>
      <c r="C23" s="36">
        <f t="shared" si="22"/>
        <v>68</v>
      </c>
      <c r="E23" s="19" t="s">
        <v>421</v>
      </c>
      <c r="F23" s="19"/>
      <c r="G23" s="247" t="s">
        <v>43</v>
      </c>
      <c r="H23" s="248"/>
      <c r="I23" s="249"/>
      <c r="J23" s="40">
        <v>950</v>
      </c>
      <c r="K23" s="19">
        <v>1</v>
      </c>
      <c r="L23" s="2">
        <f t="shared" si="23"/>
        <v>6.5454999999999997</v>
      </c>
      <c r="M23" s="2">
        <f t="shared" si="24"/>
        <v>6.5454999999999997</v>
      </c>
      <c r="N23" s="21">
        <f t="shared" si="25"/>
        <v>6.6</v>
      </c>
      <c r="O23" s="39"/>
      <c r="P23" s="12"/>
      <c r="Q23" s="14">
        <f>M23*(SUMIF(Отправочная!B$4:B$34,E23,Отправочная!C$4:C$34)+A23)</f>
        <v>445.09399999999999</v>
      </c>
      <c r="R23" s="34"/>
      <c r="S23" s="34"/>
      <c r="T23" s="34"/>
      <c r="W23" s="65">
        <f>SUMIF(Металл!E$3:E$258,G23,Металл!A$3:A$258)</f>
        <v>6.89</v>
      </c>
    </row>
    <row r="24" spans="1:23" ht="18.75" customHeight="1" x14ac:dyDescent="0.3">
      <c r="B24" s="44">
        <f t="shared" si="21"/>
        <v>0</v>
      </c>
      <c r="C24" s="36">
        <f t="shared" si="22"/>
        <v>64</v>
      </c>
      <c r="E24" s="19" t="s">
        <v>422</v>
      </c>
      <c r="F24" s="19"/>
      <c r="G24" s="4">
        <v>10</v>
      </c>
      <c r="H24" s="63" t="s">
        <v>9</v>
      </c>
      <c r="I24" s="5" t="s">
        <v>192</v>
      </c>
      <c r="J24" s="19">
        <v>660</v>
      </c>
      <c r="K24" s="19">
        <v>1</v>
      </c>
      <c r="L24" s="2">
        <f t="shared" ref="L24:L25" si="26">7.85/1000000*(I24*J24*G24)</f>
        <v>7.7714999999999996</v>
      </c>
      <c r="M24" s="2">
        <f t="shared" si="24"/>
        <v>7.7714999999999996</v>
      </c>
      <c r="N24" s="130">
        <f t="shared" ref="N24:N27" si="27">ROUNDUP(M24,1)</f>
        <v>7.8</v>
      </c>
      <c r="O24" s="39"/>
      <c r="P24" s="12"/>
      <c r="Q24" s="14">
        <f>M24*(SUMIF(Отправочная!B$4:B$34,E24,Отправочная!C$4:C$34)+A24)</f>
        <v>497.37599999999998</v>
      </c>
      <c r="R24" s="34"/>
      <c r="S24"/>
      <c r="T24" s="34"/>
      <c r="W24" s="65">
        <f>SUMIF(Металл!E$3:E$258,G24,Металл!A$3:A$258)</f>
        <v>0</v>
      </c>
    </row>
    <row r="25" spans="1:23" ht="18.75" customHeight="1" x14ac:dyDescent="0.3">
      <c r="B25" s="44">
        <f t="shared" si="21"/>
        <v>0</v>
      </c>
      <c r="C25" s="36">
        <f t="shared" si="22"/>
        <v>58</v>
      </c>
      <c r="E25" s="19" t="s">
        <v>423</v>
      </c>
      <c r="F25" s="19"/>
      <c r="G25" s="4">
        <v>10</v>
      </c>
      <c r="H25" s="63" t="s">
        <v>9</v>
      </c>
      <c r="I25" s="5" t="s">
        <v>192</v>
      </c>
      <c r="J25" s="19">
        <v>510</v>
      </c>
      <c r="K25" s="19">
        <v>1</v>
      </c>
      <c r="L25" s="2">
        <f t="shared" si="26"/>
        <v>6.0052499999999993</v>
      </c>
      <c r="M25" s="2">
        <f t="shared" si="24"/>
        <v>6.0052499999999993</v>
      </c>
      <c r="N25" s="130">
        <f t="shared" si="27"/>
        <v>6.1</v>
      </c>
      <c r="O25" s="39"/>
      <c r="P25" s="12"/>
      <c r="Q25" s="14">
        <f>M25*(SUMIF(Отправочная!B$4:B$34,E25,Отправочная!C$4:C$34)+A25)</f>
        <v>348.30449999999996</v>
      </c>
      <c r="R25" s="34"/>
      <c r="S25"/>
      <c r="T25" s="34"/>
      <c r="W25" s="65">
        <f>SUMIF(Металл!E$3:E$258,G25,Металл!A$3:A$258)</f>
        <v>0</v>
      </c>
    </row>
    <row r="26" spans="1:23" ht="18.75" customHeight="1" x14ac:dyDescent="0.3">
      <c r="B26" s="44">
        <f t="shared" ref="B26" si="28">F26</f>
        <v>0</v>
      </c>
      <c r="C26" s="36">
        <f t="shared" ref="C26" si="29">K26*Q26/M26</f>
        <v>42</v>
      </c>
      <c r="E26" s="19" t="s">
        <v>424</v>
      </c>
      <c r="F26" s="19"/>
      <c r="G26" s="4">
        <v>10</v>
      </c>
      <c r="H26" s="63" t="s">
        <v>9</v>
      </c>
      <c r="I26" s="5" t="s">
        <v>425</v>
      </c>
      <c r="J26" s="19">
        <v>510</v>
      </c>
      <c r="K26" s="19">
        <v>1</v>
      </c>
      <c r="L26" s="2">
        <f t="shared" ref="L26" si="30">7.85/1000000*(I26*J26*G26)</f>
        <v>10.80945</v>
      </c>
      <c r="M26" s="2">
        <f t="shared" ref="M26" si="31">L26*K26</f>
        <v>10.80945</v>
      </c>
      <c r="N26" s="130">
        <f t="shared" si="27"/>
        <v>10.9</v>
      </c>
      <c r="O26" s="39"/>
      <c r="P26" s="12"/>
      <c r="Q26" s="14">
        <f>M26*(SUMIF(Отправочная!B$4:B$34,E26,Отправочная!C$4:C$34)+A26)</f>
        <v>453.99689999999998</v>
      </c>
      <c r="R26" s="34"/>
      <c r="S26"/>
      <c r="T26" s="34"/>
      <c r="W26" s="65">
        <f>SUMIF(Металл!E$3:E$258,G26,Металл!A$3:A$258)</f>
        <v>0</v>
      </c>
    </row>
    <row r="27" spans="1:23" ht="18.75" customHeight="1" x14ac:dyDescent="0.3">
      <c r="B27" s="44">
        <f t="shared" ref="B27" si="32">F27</f>
        <v>0</v>
      </c>
      <c r="C27" s="36">
        <f t="shared" ref="C27" si="33">K27*Q27/M27</f>
        <v>36</v>
      </c>
      <c r="E27" s="19" t="s">
        <v>426</v>
      </c>
      <c r="F27" s="19"/>
      <c r="G27" s="4">
        <v>10</v>
      </c>
      <c r="H27" s="63" t="s">
        <v>9</v>
      </c>
      <c r="I27" s="5" t="s">
        <v>192</v>
      </c>
      <c r="J27" s="19">
        <v>170</v>
      </c>
      <c r="K27" s="19">
        <v>1</v>
      </c>
      <c r="L27" s="2">
        <f t="shared" ref="L27" si="34">7.85/1000000*(I27*J27*G27)</f>
        <v>2.0017499999999999</v>
      </c>
      <c r="M27" s="2">
        <f t="shared" ref="M27" si="35">L27*K27</f>
        <v>2.0017499999999999</v>
      </c>
      <c r="N27" s="130">
        <f t="shared" si="27"/>
        <v>2.1</v>
      </c>
      <c r="O27" s="39"/>
      <c r="P27" s="12"/>
      <c r="Q27" s="14">
        <f>M27*(SUMIF(Отправочная!B$4:B$34,E27,Отправочная!C$4:C$34)+A27)</f>
        <v>72.063000000000002</v>
      </c>
      <c r="R27" s="34"/>
      <c r="S27"/>
      <c r="T27" s="34"/>
      <c r="W27" s="65">
        <f>SUMIF(Металл!E$3:E$258,G27,Металл!A$3:A$258)</f>
        <v>0</v>
      </c>
    </row>
    <row r="28" spans="1:23" ht="18.75" customHeight="1" x14ac:dyDescent="0.3">
      <c r="B28" s="44"/>
      <c r="C28" s="36"/>
      <c r="E28" s="207"/>
      <c r="F28" s="207"/>
      <c r="G28" s="208"/>
      <c r="H28" s="207"/>
      <c r="I28" s="209"/>
      <c r="J28" s="207"/>
      <c r="K28" s="207"/>
      <c r="L28" s="210"/>
      <c r="M28" s="210"/>
      <c r="N28" s="211"/>
      <c r="O28" s="212"/>
      <c r="P28" s="12"/>
      <c r="Q28" s="213"/>
      <c r="R28" s="34"/>
      <c r="S28"/>
      <c r="T28" s="34"/>
    </row>
    <row r="29" spans="1:23" ht="18.75" customHeight="1" x14ac:dyDescent="0.3">
      <c r="B29" s="44"/>
      <c r="C29" s="36"/>
      <c r="E29" s="7"/>
      <c r="F29" s="7"/>
      <c r="G29" s="7"/>
      <c r="H29" s="7"/>
      <c r="I29" s="7"/>
      <c r="J29" s="7"/>
      <c r="K29" s="7"/>
      <c r="L29" s="33"/>
      <c r="M29" s="33"/>
      <c r="N29" s="35"/>
      <c r="O29" s="100"/>
      <c r="P29" s="12"/>
      <c r="Q29" s="34"/>
      <c r="R29" s="34"/>
      <c r="S29" s="34"/>
      <c r="T29" s="34"/>
    </row>
    <row r="30" spans="1:23" ht="18" customHeight="1" x14ac:dyDescent="0.3">
      <c r="B30" s="44"/>
      <c r="C30" s="36"/>
      <c r="E30" s="7"/>
      <c r="F30" s="7"/>
      <c r="G30" s="57"/>
      <c r="H30" s="7"/>
      <c r="I30" s="58"/>
      <c r="J30" s="7"/>
      <c r="K30" s="7"/>
      <c r="L30" s="33"/>
      <c r="M30" s="33"/>
      <c r="N30" s="35"/>
      <c r="O30" s="100"/>
      <c r="P30" s="12"/>
      <c r="Q30" s="34"/>
      <c r="R30" s="34"/>
      <c r="S30"/>
      <c r="T30"/>
    </row>
    <row r="31" spans="1:23" s="16" customFormat="1" ht="18" customHeight="1" x14ac:dyDescent="0.3">
      <c r="A31" s="17"/>
      <c r="B31" s="45"/>
      <c r="C31" s="67"/>
      <c r="E31" s="23"/>
      <c r="F31" s="23"/>
      <c r="G31" s="92"/>
      <c r="H31" s="23"/>
      <c r="I31" s="93"/>
      <c r="J31" s="23"/>
      <c r="K31" s="23"/>
      <c r="L31" s="24"/>
      <c r="M31" s="24"/>
      <c r="N31" s="25"/>
      <c r="O31" s="148"/>
      <c r="P31" s="20"/>
      <c r="Q31" s="24"/>
      <c r="R31" s="24"/>
      <c r="W31" s="149"/>
    </row>
    <row r="32" spans="1:23" ht="18" customHeight="1" x14ac:dyDescent="0.3">
      <c r="B32" s="44"/>
      <c r="C32" s="36"/>
      <c r="E32" s="7"/>
      <c r="F32" s="7"/>
      <c r="G32" s="57"/>
      <c r="H32" s="7"/>
      <c r="I32" s="58"/>
      <c r="J32" s="7"/>
      <c r="K32" s="7"/>
      <c r="L32" s="33"/>
      <c r="M32" s="33"/>
      <c r="N32" s="35"/>
      <c r="O32" s="100"/>
      <c r="P32" s="12"/>
      <c r="Q32" s="34"/>
      <c r="R32" s="34"/>
      <c r="S32"/>
      <c r="T32"/>
    </row>
    <row r="33" spans="2:23" ht="18.75" customHeight="1" x14ac:dyDescent="0.3">
      <c r="B33" s="44">
        <f>F33</f>
        <v>101</v>
      </c>
      <c r="C33" s="36">
        <f ca="1">K33*Q33/M33</f>
        <v>12</v>
      </c>
      <c r="E33" s="250" t="s">
        <v>402</v>
      </c>
      <c r="F33" s="19">
        <v>101</v>
      </c>
      <c r="G33" s="247" t="s">
        <v>85</v>
      </c>
      <c r="H33" s="248"/>
      <c r="I33" s="249"/>
      <c r="J33" s="40">
        <f ca="1">SUMIF(Детали!B$3:B$8683,F33,Детали!G$3:G$15)</f>
        <v>9720</v>
      </c>
      <c r="K33" s="19">
        <v>1</v>
      </c>
      <c r="L33" s="2">
        <f t="shared" ref="L33" ca="1" si="36">J33/1000*W33</f>
        <v>348.17040000000003</v>
      </c>
      <c r="M33" s="2">
        <f t="shared" ref="M33:M35" ca="1" si="37">L33*K33</f>
        <v>348.17040000000003</v>
      </c>
      <c r="N33" s="253">
        <f ca="1">ROUNDUP(SUM(M33:M36),1)</f>
        <v>394.20000000000005</v>
      </c>
      <c r="O33" s="39"/>
      <c r="P33" s="12"/>
      <c r="Q33" s="14">
        <f ca="1">M33*(SUMIF(Отправочная!B$4:B$34,E33,Отправочная!C$4:C$34)+A33)</f>
        <v>4178.0448000000006</v>
      </c>
      <c r="R33" s="34"/>
      <c r="S33" s="34"/>
      <c r="T33" s="34"/>
      <c r="W33" s="65">
        <f>SUMIF(Металл!E$3:E$258,G33,Металл!A$3:A$258)</f>
        <v>35.82</v>
      </c>
    </row>
    <row r="34" spans="2:23" ht="18.75" customHeight="1" x14ac:dyDescent="0.3">
      <c r="B34" s="44">
        <f t="shared" ref="B34:B35" si="38">F34</f>
        <v>102</v>
      </c>
      <c r="C34" s="36">
        <f ca="1">K34*Q34/M34</f>
        <v>12</v>
      </c>
      <c r="E34" s="251"/>
      <c r="F34" s="19">
        <v>102</v>
      </c>
      <c r="G34" s="4">
        <f ca="1">SUMIF(Детали!B$3:B$8683,F34,Детали!D$3:D$15)</f>
        <v>20</v>
      </c>
      <c r="H34" s="63" t="s">
        <v>9</v>
      </c>
      <c r="I34" s="116">
        <f ca="1">SUMIF(Детали!B$3:B$8683,F34,Детали!F$3:F$15)</f>
        <v>300</v>
      </c>
      <c r="J34" s="40">
        <f ca="1">SUMIF(Детали!B$3:B$8683,F34,Детали!G$3:G$15)</f>
        <v>420</v>
      </c>
      <c r="K34" s="19">
        <v>1</v>
      </c>
      <c r="L34" s="2">
        <f t="shared" ref="L34:L35" ca="1" si="39">7.85/1000000*(I34*J34*G34)</f>
        <v>19.782</v>
      </c>
      <c r="M34" s="2">
        <f t="shared" ca="1" si="37"/>
        <v>19.782</v>
      </c>
      <c r="N34" s="254"/>
      <c r="O34" s="39"/>
      <c r="P34" s="12"/>
      <c r="Q34" s="14">
        <f ca="1">M34*C33/K33</f>
        <v>237.38400000000001</v>
      </c>
      <c r="R34" s="34"/>
      <c r="T34" s="34"/>
      <c r="W34" s="65">
        <f ca="1">SUMIF(Металл!E$3:E$258,G34,Металл!A$3:A$258)</f>
        <v>0</v>
      </c>
    </row>
    <row r="35" spans="2:23" ht="18.75" customHeight="1" x14ac:dyDescent="0.3">
      <c r="B35" s="44">
        <f t="shared" si="38"/>
        <v>103</v>
      </c>
      <c r="C35" s="36">
        <f t="shared" ref="C35" ca="1" si="40">K35*Q35/M35</f>
        <v>12</v>
      </c>
      <c r="E35" s="251"/>
      <c r="F35" s="19">
        <v>103</v>
      </c>
      <c r="G35" s="4">
        <f ca="1">SUMIF(Детали!B$3:B$8683,F35,Детали!D$3:D$15)</f>
        <v>10</v>
      </c>
      <c r="H35" s="63" t="s">
        <v>9</v>
      </c>
      <c r="I35" s="116">
        <f ca="1">SUMIF(Детали!B$3:B$8683,F35,Детали!F$3:F$15)</f>
        <v>220</v>
      </c>
      <c r="J35" s="40">
        <f ca="1">SUMIF(Детали!B$3:B$8683,F35,Детали!G$3:G$15)</f>
        <v>640</v>
      </c>
      <c r="K35" s="19">
        <v>1</v>
      </c>
      <c r="L35" s="2">
        <f t="shared" ca="1" si="39"/>
        <v>11.0528</v>
      </c>
      <c r="M35" s="2">
        <f t="shared" ca="1" si="37"/>
        <v>11.0528</v>
      </c>
      <c r="N35" s="254"/>
      <c r="O35" s="39"/>
      <c r="P35" s="12"/>
      <c r="Q35" s="14">
        <f ca="1">M35*C34/K34</f>
        <v>132.6336</v>
      </c>
      <c r="R35" s="34"/>
      <c r="T35" s="34"/>
      <c r="W35" s="65">
        <f ca="1">SUMIF(Металл!E$3:E$258,G35,Металл!A$3:A$258)</f>
        <v>0</v>
      </c>
    </row>
    <row r="36" spans="2:23" ht="18.75" customHeight="1" x14ac:dyDescent="0.3">
      <c r="B36" s="44"/>
      <c r="C36" s="36"/>
      <c r="E36" s="252"/>
      <c r="F36" s="247" t="s">
        <v>352</v>
      </c>
      <c r="G36" s="248"/>
      <c r="H36" s="248"/>
      <c r="I36" s="248"/>
      <c r="J36" s="248"/>
      <c r="K36" s="248"/>
      <c r="L36" s="249"/>
      <c r="M36" s="2">
        <f ca="1">SUM(M33:M35)*$AA$1</f>
        <v>15.160208000000001</v>
      </c>
      <c r="N36" s="255"/>
      <c r="O36" s="39"/>
      <c r="P36" s="12"/>
      <c r="Q36" s="14">
        <f ca="1">M36*C35/K35</f>
        <v>181.92249600000002</v>
      </c>
      <c r="R36" s="34"/>
      <c r="S36" s="34"/>
      <c r="T36" s="34"/>
      <c r="W36" s="65">
        <f>SUMIF(Металл!E$3:E$258,G36,Металл!A$3:A$258)</f>
        <v>0</v>
      </c>
    </row>
    <row r="37" spans="2:23" ht="18.75" customHeight="1" x14ac:dyDescent="0.3">
      <c r="B37" s="44">
        <f>F37</f>
        <v>101</v>
      </c>
      <c r="C37" s="36">
        <f ca="1">K37*Q37/M37</f>
        <v>9</v>
      </c>
      <c r="E37" s="250" t="s">
        <v>405</v>
      </c>
      <c r="F37" s="19">
        <v>101</v>
      </c>
      <c r="G37" s="247" t="s">
        <v>85</v>
      </c>
      <c r="H37" s="248"/>
      <c r="I37" s="249"/>
      <c r="J37" s="40">
        <f ca="1">SUMIF(Детали!B$3:B$8683,F37,Детали!G$3:G$15)</f>
        <v>9720</v>
      </c>
      <c r="K37" s="19">
        <v>1</v>
      </c>
      <c r="L37" s="2">
        <f t="shared" ref="L37" ca="1" si="41">J37/1000*W37</f>
        <v>348.17040000000003</v>
      </c>
      <c r="M37" s="2">
        <f t="shared" ref="M37:M39" ca="1" si="42">L37*K37</f>
        <v>348.17040000000003</v>
      </c>
      <c r="N37" s="253">
        <f ca="1">ROUNDUP(SUM(M37:M40),1)</f>
        <v>394.8</v>
      </c>
      <c r="O37" s="39"/>
      <c r="P37" s="12"/>
      <c r="Q37" s="14">
        <f ca="1">M37*(SUMIF(Отправочная!B$4:B$34,E37,Отправочная!C$4:C$34)+A37)</f>
        <v>3133.5336000000002</v>
      </c>
      <c r="R37" s="34"/>
      <c r="S37" s="34"/>
      <c r="T37" s="34"/>
      <c r="W37" s="65">
        <f>SUMIF(Металл!E$3:E$258,G37,Металл!A$3:A$258)</f>
        <v>35.82</v>
      </c>
    </row>
    <row r="38" spans="2:23" ht="18.75" customHeight="1" x14ac:dyDescent="0.3">
      <c r="B38" s="44">
        <f t="shared" ref="B38:B39" si="43">F38</f>
        <v>104</v>
      </c>
      <c r="C38" s="36">
        <f ca="1">K38*Q38/M38</f>
        <v>9</v>
      </c>
      <c r="E38" s="251"/>
      <c r="F38" s="19">
        <v>104</v>
      </c>
      <c r="G38" s="4">
        <f ca="1">SUMIF(Детали!B$3:B$8683,F38,Детали!D$3:D$15)</f>
        <v>20</v>
      </c>
      <c r="H38" s="63" t="s">
        <v>9</v>
      </c>
      <c r="I38" s="116">
        <f ca="1">SUMIF(Детали!B$3:B$8683,F38,Детали!F$3:F$15)</f>
        <v>360</v>
      </c>
      <c r="J38" s="40">
        <f ca="1">SUMIF(Детали!B$3:B$8683,F38,Детали!G$3:G$15)</f>
        <v>360</v>
      </c>
      <c r="K38" s="19">
        <v>1</v>
      </c>
      <c r="L38" s="2">
        <f t="shared" ref="L38:L39" ca="1" si="44">7.85/1000000*(I38*J38*G38)</f>
        <v>20.347199999999997</v>
      </c>
      <c r="M38" s="2">
        <f t="shared" ca="1" si="42"/>
        <v>20.347199999999997</v>
      </c>
      <c r="N38" s="254"/>
      <c r="O38" s="39"/>
      <c r="P38" s="12"/>
      <c r="Q38" s="14">
        <f ca="1">M38*C37/K37</f>
        <v>183.12479999999996</v>
      </c>
      <c r="R38" s="34"/>
      <c r="T38" s="34"/>
      <c r="W38" s="65">
        <f ca="1">SUMIF(Металл!E$3:E$258,G38,Металл!A$3:A$258)</f>
        <v>0</v>
      </c>
    </row>
    <row r="39" spans="2:23" ht="18.75" customHeight="1" x14ac:dyDescent="0.3">
      <c r="B39" s="44">
        <f t="shared" si="43"/>
        <v>103</v>
      </c>
      <c r="C39" s="36">
        <f t="shared" ref="C39" ca="1" si="45">K39*Q39/M39</f>
        <v>9</v>
      </c>
      <c r="E39" s="251"/>
      <c r="F39" s="19">
        <v>103</v>
      </c>
      <c r="G39" s="4">
        <f ca="1">SUMIF(Детали!B$3:B$8683,F39,Детали!D$3:D$15)</f>
        <v>10</v>
      </c>
      <c r="H39" s="63" t="s">
        <v>9</v>
      </c>
      <c r="I39" s="116">
        <f ca="1">SUMIF(Детали!B$3:B$8683,F39,Детали!F$3:F$15)</f>
        <v>220</v>
      </c>
      <c r="J39" s="40">
        <f ca="1">SUMIF(Детали!B$3:B$8683,F39,Детали!G$3:G$15)</f>
        <v>640</v>
      </c>
      <c r="K39" s="19">
        <v>1</v>
      </c>
      <c r="L39" s="2">
        <f t="shared" ca="1" si="44"/>
        <v>11.0528</v>
      </c>
      <c r="M39" s="2">
        <f t="shared" ca="1" si="42"/>
        <v>11.0528</v>
      </c>
      <c r="N39" s="254"/>
      <c r="O39" s="39"/>
      <c r="P39" s="12"/>
      <c r="Q39" s="14">
        <f ca="1">M39*C38/K38</f>
        <v>99.475200000000001</v>
      </c>
      <c r="R39" s="34"/>
      <c r="T39" s="34"/>
      <c r="W39" s="65">
        <f ca="1">SUMIF(Металл!E$3:E$258,G39,Металл!A$3:A$258)</f>
        <v>0</v>
      </c>
    </row>
    <row r="40" spans="2:23" ht="18.75" customHeight="1" x14ac:dyDescent="0.3">
      <c r="B40" s="44"/>
      <c r="C40" s="36"/>
      <c r="E40" s="252"/>
      <c r="F40" s="247" t="s">
        <v>352</v>
      </c>
      <c r="G40" s="248"/>
      <c r="H40" s="248"/>
      <c r="I40" s="248"/>
      <c r="J40" s="248"/>
      <c r="K40" s="248"/>
      <c r="L40" s="249"/>
      <c r="M40" s="2">
        <f ca="1">SUM(M37:M39)*$AA$1</f>
        <v>15.182816000000001</v>
      </c>
      <c r="N40" s="255"/>
      <c r="O40" s="39"/>
      <c r="P40" s="12"/>
      <c r="Q40" s="14">
        <f ca="1">M40*C39/K39</f>
        <v>136.64534399999999</v>
      </c>
      <c r="R40" s="34"/>
      <c r="S40" s="34"/>
      <c r="T40" s="34"/>
      <c r="W40" s="65">
        <f>SUMIF(Металл!E$3:E$258,G40,Металл!A$3:A$258)</f>
        <v>0</v>
      </c>
    </row>
    <row r="41" spans="2:23" ht="18.75" customHeight="1" x14ac:dyDescent="0.3">
      <c r="B41" s="44">
        <f>F41</f>
        <v>110</v>
      </c>
      <c r="C41" s="36">
        <f ca="1">K41*Q41/M41</f>
        <v>1</v>
      </c>
      <c r="E41" s="250" t="s">
        <v>410</v>
      </c>
      <c r="F41" s="19">
        <v>110</v>
      </c>
      <c r="G41" s="247" t="s">
        <v>85</v>
      </c>
      <c r="H41" s="248"/>
      <c r="I41" s="249"/>
      <c r="J41" s="40">
        <f ca="1">SUMIF(Детали!B$3:B$8683,F41,Детали!G$3:G$15)</f>
        <v>7992</v>
      </c>
      <c r="K41" s="19">
        <v>1</v>
      </c>
      <c r="L41" s="2">
        <f t="shared" ref="L41" ca="1" si="46">J41/1000*W41</f>
        <v>286.27343999999999</v>
      </c>
      <c r="M41" s="2">
        <f t="shared" ref="M41:M42" ca="1" si="47">L41*K41</f>
        <v>286.27343999999999</v>
      </c>
      <c r="N41" s="253">
        <f ca="1">ROUNDUP(SUM(M41:M43),1)</f>
        <v>300.10000000000002</v>
      </c>
      <c r="O41" s="39"/>
      <c r="P41" s="12"/>
      <c r="Q41" s="14">
        <f ca="1">M41*(SUMIF(Отправочная!B$4:B$34,E41,Отправочная!C$4:C$34)+A41)</f>
        <v>286.27343999999999</v>
      </c>
      <c r="R41" s="34"/>
      <c r="S41" s="34"/>
      <c r="T41" s="34"/>
      <c r="W41" s="65">
        <f>SUMIF(Металл!E$3:E$258,G41,Металл!A$3:A$258)</f>
        <v>35.82</v>
      </c>
    </row>
    <row r="42" spans="2:23" ht="18.75" customHeight="1" x14ac:dyDescent="0.3">
      <c r="B42" s="44">
        <f t="shared" ref="B42" si="48">F42</f>
        <v>111</v>
      </c>
      <c r="C42" s="36">
        <f ca="1">K42*Q42/M42</f>
        <v>2</v>
      </c>
      <c r="E42" s="251"/>
      <c r="F42" s="19">
        <v>111</v>
      </c>
      <c r="G42" s="4">
        <f ca="1">SUMIF(Детали!B$3:B$8683,F42,Детали!D$3:D$15)</f>
        <v>4</v>
      </c>
      <c r="H42" s="63" t="s">
        <v>9</v>
      </c>
      <c r="I42" s="116">
        <f ca="1">SUMIF(Детали!B$3:B$8683,F42,Детали!F$3:F$15)</f>
        <v>190</v>
      </c>
      <c r="J42" s="40">
        <f ca="1">SUMIF(Детали!B$3:B$8683,F42,Детали!G$3:G$15)</f>
        <v>190</v>
      </c>
      <c r="K42" s="19">
        <v>2</v>
      </c>
      <c r="L42" s="2">
        <f t="shared" ref="L42" ca="1" si="49">7.85/1000000*(I42*J42*G42)</f>
        <v>1.13354</v>
      </c>
      <c r="M42" s="2">
        <f t="shared" ca="1" si="47"/>
        <v>2.26708</v>
      </c>
      <c r="N42" s="254"/>
      <c r="O42" s="39"/>
      <c r="P42" s="12"/>
      <c r="Q42" s="14">
        <f ca="1">M42*C41/K41</f>
        <v>2.26708</v>
      </c>
      <c r="R42" s="34"/>
      <c r="T42" s="34"/>
      <c r="W42" s="65">
        <f ca="1">SUMIF(Металл!E$3:E$258,G42,Металл!A$3:A$258)</f>
        <v>0</v>
      </c>
    </row>
    <row r="43" spans="2:23" ht="18.75" customHeight="1" x14ac:dyDescent="0.3">
      <c r="B43" s="44"/>
      <c r="C43" s="36"/>
      <c r="E43" s="252"/>
      <c r="F43" s="247" t="s">
        <v>352</v>
      </c>
      <c r="G43" s="248"/>
      <c r="H43" s="248"/>
      <c r="I43" s="248"/>
      <c r="J43" s="248"/>
      <c r="K43" s="248"/>
      <c r="L43" s="249"/>
      <c r="M43" s="2">
        <f ca="1">SUM(M41:M42)*$AA$1</f>
        <v>11.5416208</v>
      </c>
      <c r="N43" s="255"/>
      <c r="O43" s="39"/>
      <c r="P43" s="12"/>
      <c r="Q43" s="14">
        <f ca="1">M43*C42/K42</f>
        <v>11.5416208</v>
      </c>
      <c r="R43" s="34"/>
      <c r="S43" s="34"/>
      <c r="T43" s="34"/>
      <c r="W43" s="65">
        <f>SUMIF(Металл!E$3:E$258,G43,Металл!A$3:A$258)</f>
        <v>0</v>
      </c>
    </row>
    <row r="44" spans="2:23" ht="18.75" customHeight="1" x14ac:dyDescent="0.3">
      <c r="B44" s="44"/>
      <c r="C44" s="36"/>
      <c r="E44" s="143"/>
      <c r="F44" s="40"/>
      <c r="G44" s="63"/>
      <c r="H44" s="63"/>
      <c r="I44" s="63"/>
      <c r="J44" s="63"/>
      <c r="K44" s="63"/>
      <c r="L44" s="64"/>
      <c r="M44" s="2"/>
      <c r="N44" s="152"/>
      <c r="O44" s="39"/>
      <c r="P44" s="12"/>
      <c r="Q44" s="14"/>
      <c r="R44" s="34"/>
      <c r="S44" s="34"/>
      <c r="T44" s="34"/>
    </row>
    <row r="45" spans="2:23" ht="18.75" customHeight="1" x14ac:dyDescent="0.3">
      <c r="B45" s="44"/>
      <c r="C45" s="36"/>
      <c r="E45" s="143"/>
      <c r="F45" s="40"/>
      <c r="G45" s="63"/>
      <c r="H45" s="63"/>
      <c r="I45" s="63"/>
      <c r="J45" s="63"/>
      <c r="K45" s="63"/>
      <c r="L45" s="64"/>
      <c r="M45" s="2"/>
      <c r="N45" s="152"/>
      <c r="O45" s="39"/>
      <c r="P45" s="12"/>
      <c r="Q45" s="14"/>
      <c r="R45" s="34"/>
      <c r="S45" s="34"/>
      <c r="T45" s="34"/>
    </row>
    <row r="46" spans="2:23" ht="18.75" customHeight="1" x14ac:dyDescent="0.3">
      <c r="B46" s="44"/>
      <c r="C46" s="36"/>
      <c r="E46" s="143"/>
      <c r="F46" s="40"/>
      <c r="G46" s="63"/>
      <c r="H46" s="63"/>
      <c r="I46" s="63"/>
      <c r="J46" s="63"/>
      <c r="K46" s="63"/>
      <c r="L46" s="64"/>
      <c r="M46" s="2"/>
      <c r="N46" s="152"/>
      <c r="O46" s="39"/>
      <c r="P46" s="12"/>
      <c r="Q46" s="14"/>
      <c r="R46" s="34"/>
      <c r="S46" s="34"/>
      <c r="T46" s="34"/>
    </row>
    <row r="47" spans="2:23" ht="18.75" customHeight="1" x14ac:dyDescent="0.3">
      <c r="B47" s="44"/>
      <c r="C47" s="36"/>
      <c r="E47" s="143"/>
      <c r="F47" s="40"/>
      <c r="G47" s="63"/>
      <c r="H47" s="63"/>
      <c r="I47" s="63"/>
      <c r="J47" s="63"/>
      <c r="K47" s="63"/>
      <c r="L47" s="64"/>
      <c r="M47" s="2"/>
      <c r="N47" s="152"/>
      <c r="O47" s="39"/>
      <c r="P47" s="12"/>
      <c r="Q47" s="14"/>
      <c r="R47" s="34"/>
      <c r="S47" s="34"/>
      <c r="T47" s="34"/>
    </row>
    <row r="48" spans="2:23" ht="18.75" customHeight="1" x14ac:dyDescent="0.3">
      <c r="B48" s="44"/>
      <c r="C48" s="36"/>
      <c r="E48" s="143"/>
      <c r="F48" s="40"/>
      <c r="G48" s="63"/>
      <c r="H48" s="63"/>
      <c r="I48" s="63"/>
      <c r="J48" s="63"/>
      <c r="K48" s="63"/>
      <c r="L48" s="64"/>
      <c r="M48" s="2"/>
      <c r="N48" s="152"/>
      <c r="O48" s="39"/>
      <c r="P48" s="12"/>
      <c r="Q48" s="14"/>
      <c r="R48" s="34"/>
      <c r="S48" s="34"/>
      <c r="T48" s="34"/>
    </row>
    <row r="49" spans="2:23" ht="18.75" customHeight="1" x14ac:dyDescent="0.3">
      <c r="B49" s="44">
        <f>F49</f>
        <v>107</v>
      </c>
      <c r="C49" s="36">
        <f ca="1">K49*Q49/M49</f>
        <v>5.9999999999999991</v>
      </c>
      <c r="E49" s="250" t="s">
        <v>407</v>
      </c>
      <c r="F49" s="19">
        <v>107</v>
      </c>
      <c r="G49" s="247" t="s">
        <v>71</v>
      </c>
      <c r="H49" s="248"/>
      <c r="I49" s="249"/>
      <c r="J49" s="40">
        <f ca="1">SUMIF(Детали!B$3:B$8683,F49,Детали!G$3:G$15)</f>
        <v>2084</v>
      </c>
      <c r="K49" s="19">
        <v>1</v>
      </c>
      <c r="L49" s="2">
        <f t="shared" ref="L49" ca="1" si="50">J49/1000*W49</f>
        <v>24.445320000000002</v>
      </c>
      <c r="M49" s="2">
        <f t="shared" ref="M49:M51" ca="1" si="51">L49*K49</f>
        <v>24.445320000000002</v>
      </c>
      <c r="N49" s="253">
        <f ca="1">ROUNDUP(SUM(M49:M52),1)</f>
        <v>29.700000000000003</v>
      </c>
      <c r="O49" s="39"/>
      <c r="P49" s="12"/>
      <c r="Q49" s="14">
        <f ca="1">M49*(SUMIF(Отправочная!B$4:B$34,E49,Отправочная!C$4:C$34)+A49)</f>
        <v>146.67192</v>
      </c>
      <c r="R49" s="34"/>
      <c r="S49" s="34"/>
      <c r="T49" s="34"/>
      <c r="W49" s="65">
        <f>SUMIF(Металл!E$3:E$258,G49,Металл!A$3:A$258)</f>
        <v>11.73</v>
      </c>
    </row>
    <row r="50" spans="2:23" ht="18.75" customHeight="1" x14ac:dyDescent="0.3">
      <c r="B50" s="44">
        <f t="shared" ref="B50:B51" si="52">F50</f>
        <v>105</v>
      </c>
      <c r="C50" s="36">
        <f ca="1">K50*Q50/M50</f>
        <v>5.9999999999999991</v>
      </c>
      <c r="E50" s="251"/>
      <c r="F50" s="19">
        <v>105</v>
      </c>
      <c r="G50" s="4">
        <f ca="1">SUMIF(Детали!B$3:B$8683,F50,Детали!D$3:D$15)</f>
        <v>12</v>
      </c>
      <c r="H50" s="63" t="s">
        <v>9</v>
      </c>
      <c r="I50" s="116">
        <f ca="1">SUMIF(Детали!B$3:B$8683,F50,Детали!F$3:F$15)</f>
        <v>200</v>
      </c>
      <c r="J50" s="40">
        <f ca="1">SUMIF(Детали!B$3:B$8683,F50,Детали!G$3:G$15)</f>
        <v>200</v>
      </c>
      <c r="K50" s="19">
        <v>1</v>
      </c>
      <c r="L50" s="2">
        <f t="shared" ref="L50:L51" ca="1" si="53">7.85/1000000*(I50*J50*G50)</f>
        <v>3.7679999999999998</v>
      </c>
      <c r="M50" s="2">
        <f t="shared" ca="1" si="51"/>
        <v>3.7679999999999998</v>
      </c>
      <c r="N50" s="254"/>
      <c r="O50" s="39"/>
      <c r="P50" s="12"/>
      <c r="Q50" s="14">
        <f ca="1">M50*C49/K49</f>
        <v>22.607999999999997</v>
      </c>
      <c r="R50" s="34"/>
      <c r="T50" s="34"/>
      <c r="W50" s="65">
        <f ca="1">SUMIF(Металл!E$3:E$258,G50,Металл!A$3:A$258)</f>
        <v>0</v>
      </c>
    </row>
    <row r="51" spans="2:23" ht="18.75" customHeight="1" x14ac:dyDescent="0.3">
      <c r="B51" s="44">
        <f t="shared" si="52"/>
        <v>106</v>
      </c>
      <c r="C51" s="36">
        <f t="shared" ref="C51" ca="1" si="54">K51*Q51/M51</f>
        <v>5.9999999999999991</v>
      </c>
      <c r="E51" s="251"/>
      <c r="F51" s="19">
        <v>106</v>
      </c>
      <c r="G51" s="4">
        <f ca="1">SUMIF(Детали!B$3:B$8683,F51,Детали!D$3:D$15)</f>
        <v>4</v>
      </c>
      <c r="H51" s="63" t="s">
        <v>9</v>
      </c>
      <c r="I51" s="116">
        <f ca="1">SUMIF(Детали!B$3:B$8683,F51,Детали!F$3:F$15)</f>
        <v>95</v>
      </c>
      <c r="J51" s="40">
        <f ca="1">SUMIF(Детали!B$3:B$8683,F51,Детали!G$3:G$15)</f>
        <v>95</v>
      </c>
      <c r="K51" s="19">
        <v>1</v>
      </c>
      <c r="L51" s="2">
        <f t="shared" ca="1" si="53"/>
        <v>0.283385</v>
      </c>
      <c r="M51" s="2">
        <f t="shared" ca="1" si="51"/>
        <v>0.283385</v>
      </c>
      <c r="N51" s="254"/>
      <c r="O51" s="39"/>
      <c r="P51" s="12"/>
      <c r="Q51" s="14">
        <f ca="1">M51*C50/K50</f>
        <v>1.7003099999999998</v>
      </c>
      <c r="R51" s="34"/>
      <c r="T51" s="34"/>
      <c r="W51" s="65">
        <f ca="1">SUMIF(Металл!E$3:E$258,G51,Металл!A$3:A$258)</f>
        <v>0</v>
      </c>
    </row>
    <row r="52" spans="2:23" ht="18.75" customHeight="1" x14ac:dyDescent="0.3">
      <c r="B52" s="44"/>
      <c r="C52" s="36"/>
      <c r="E52" s="252"/>
      <c r="F52" s="247" t="s">
        <v>352</v>
      </c>
      <c r="G52" s="248"/>
      <c r="H52" s="248"/>
      <c r="I52" s="248"/>
      <c r="J52" s="248"/>
      <c r="K52" s="248"/>
      <c r="L52" s="249"/>
      <c r="M52" s="2">
        <f ca="1">SUM(M49:M51)*$AA$1</f>
        <v>1.1398682000000002</v>
      </c>
      <c r="N52" s="255"/>
      <c r="O52" s="39"/>
      <c r="P52" s="12"/>
      <c r="Q52" s="14">
        <f ca="1">M52*C51/K51</f>
        <v>6.8392092</v>
      </c>
      <c r="R52" s="34"/>
      <c r="S52" s="34"/>
      <c r="T52" s="34"/>
      <c r="W52" s="65">
        <f>SUMIF(Металл!E$3:E$258,G52,Металл!A$3:A$258)</f>
        <v>0</v>
      </c>
    </row>
    <row r="53" spans="2:23" ht="18.75" customHeight="1" x14ac:dyDescent="0.3">
      <c r="B53" s="44">
        <f>F53</f>
        <v>117</v>
      </c>
      <c r="C53" s="36">
        <f ca="1">K53*Q53/M53</f>
        <v>8</v>
      </c>
      <c r="E53" s="250" t="s">
        <v>416</v>
      </c>
      <c r="F53" s="19">
        <v>117</v>
      </c>
      <c r="G53" s="247" t="s">
        <v>71</v>
      </c>
      <c r="H53" s="248"/>
      <c r="I53" s="249"/>
      <c r="J53" s="40">
        <f ca="1">SUMIF(Детали!B$3:B$8683,F53,Детали!G$3:G$15)</f>
        <v>5964</v>
      </c>
      <c r="K53" s="19">
        <v>1</v>
      </c>
      <c r="L53" s="2">
        <f t="shared" ref="L53" ca="1" si="55">J53/1000*W53</f>
        <v>69.957720000000009</v>
      </c>
      <c r="M53" s="2">
        <f t="shared" ref="M53:M55" ca="1" si="56">L53*K53</f>
        <v>69.957720000000009</v>
      </c>
      <c r="N53" s="253">
        <f ca="1">ROUNDUP(SUM(M53:M56),1)</f>
        <v>77</v>
      </c>
      <c r="O53" s="39"/>
      <c r="P53" s="12"/>
      <c r="Q53" s="14">
        <f ca="1">M53*(SUMIF(Отправочная!B$4:B$34,E53,Отправочная!C$4:C$34)+A53)</f>
        <v>559.66176000000007</v>
      </c>
      <c r="R53" s="34"/>
      <c r="S53" s="34"/>
      <c r="T53" s="34"/>
      <c r="W53" s="65">
        <f>SUMIF(Металл!E$3:E$258,G53,Металл!A$3:A$258)</f>
        <v>11.73</v>
      </c>
    </row>
    <row r="54" spans="2:23" ht="18.75" customHeight="1" x14ac:dyDescent="0.3">
      <c r="B54" s="44">
        <f t="shared" ref="B54:B55" si="57">F54</f>
        <v>105</v>
      </c>
      <c r="C54" s="36">
        <f ca="1">K54*Q54/M54</f>
        <v>8</v>
      </c>
      <c r="E54" s="251"/>
      <c r="F54" s="19">
        <v>105</v>
      </c>
      <c r="G54" s="4">
        <f ca="1">SUMIF(Детали!B$3:B$8683,F54,Детали!D$3:D$15)</f>
        <v>12</v>
      </c>
      <c r="H54" s="63" t="s">
        <v>9</v>
      </c>
      <c r="I54" s="116">
        <f ca="1">SUMIF(Детали!B$3:B$8683,F54,Детали!F$3:F$15)</f>
        <v>200</v>
      </c>
      <c r="J54" s="40">
        <f ca="1">SUMIF(Детали!B$3:B$8683,F54,Детали!G$3:G$15)</f>
        <v>200</v>
      </c>
      <c r="K54" s="19">
        <v>1</v>
      </c>
      <c r="L54" s="2">
        <f t="shared" ref="L54:L55" ca="1" si="58">7.85/1000000*(I54*J54*G54)</f>
        <v>3.7679999999999998</v>
      </c>
      <c r="M54" s="2">
        <f t="shared" ca="1" si="56"/>
        <v>3.7679999999999998</v>
      </c>
      <c r="N54" s="254"/>
      <c r="O54" s="39"/>
      <c r="P54" s="12"/>
      <c r="Q54" s="14">
        <f ca="1">M54*C53/K53</f>
        <v>30.143999999999998</v>
      </c>
      <c r="R54" s="34"/>
      <c r="T54" s="34"/>
      <c r="W54" s="65">
        <f ca="1">SUMIF(Металл!E$3:E$258,G54,Металл!A$3:A$258)</f>
        <v>0</v>
      </c>
    </row>
    <row r="55" spans="2:23" ht="18.75" customHeight="1" x14ac:dyDescent="0.3">
      <c r="B55" s="44">
        <f t="shared" si="57"/>
        <v>106</v>
      </c>
      <c r="C55" s="36">
        <f t="shared" ref="C55" ca="1" si="59">K55*Q55/M55</f>
        <v>8</v>
      </c>
      <c r="E55" s="251"/>
      <c r="F55" s="19">
        <v>106</v>
      </c>
      <c r="G55" s="4">
        <f ca="1">SUMIF(Детали!B$3:B$8683,F55,Детали!D$3:D$15)</f>
        <v>4</v>
      </c>
      <c r="H55" s="63" t="s">
        <v>9</v>
      </c>
      <c r="I55" s="116">
        <f ca="1">SUMIF(Детали!B$3:B$8683,F55,Детали!F$3:F$15)</f>
        <v>95</v>
      </c>
      <c r="J55" s="40">
        <f ca="1">SUMIF(Детали!B$3:B$8683,F55,Детали!G$3:G$15)</f>
        <v>95</v>
      </c>
      <c r="K55" s="19">
        <v>1</v>
      </c>
      <c r="L55" s="2">
        <f t="shared" ca="1" si="58"/>
        <v>0.283385</v>
      </c>
      <c r="M55" s="2">
        <f t="shared" ca="1" si="56"/>
        <v>0.283385</v>
      </c>
      <c r="N55" s="254"/>
      <c r="O55" s="39"/>
      <c r="P55" s="12"/>
      <c r="Q55" s="14">
        <f ca="1">M55*C54/K54</f>
        <v>2.26708</v>
      </c>
      <c r="R55" s="34"/>
      <c r="T55" s="34"/>
      <c r="W55" s="65">
        <f ca="1">SUMIF(Металл!E$3:E$258,G55,Металл!A$3:A$258)</f>
        <v>0</v>
      </c>
    </row>
    <row r="56" spans="2:23" ht="18.75" customHeight="1" x14ac:dyDescent="0.3">
      <c r="B56" s="44"/>
      <c r="C56" s="36"/>
      <c r="E56" s="252"/>
      <c r="F56" s="247" t="s">
        <v>352</v>
      </c>
      <c r="G56" s="248"/>
      <c r="H56" s="248"/>
      <c r="I56" s="248"/>
      <c r="J56" s="248"/>
      <c r="K56" s="248"/>
      <c r="L56" s="249"/>
      <c r="M56" s="2">
        <f ca="1">SUM(M53:M55)*$AA$1</f>
        <v>2.9603642000000003</v>
      </c>
      <c r="N56" s="255"/>
      <c r="O56" s="39"/>
      <c r="P56" s="12"/>
      <c r="Q56" s="14">
        <f ca="1">M56*C55/K55</f>
        <v>23.682913600000003</v>
      </c>
      <c r="R56" s="34"/>
      <c r="S56" s="34"/>
      <c r="T56" s="34"/>
      <c r="W56" s="65">
        <f>SUMIF(Металл!E$3:E$258,G56,Металл!A$3:A$258)</f>
        <v>0</v>
      </c>
    </row>
    <row r="57" spans="2:23" ht="18.75" customHeight="1" x14ac:dyDescent="0.3">
      <c r="B57" s="44">
        <f>F57</f>
        <v>109</v>
      </c>
      <c r="C57" s="36">
        <f ca="1">K57*Q57/M57</f>
        <v>1</v>
      </c>
      <c r="E57" s="250" t="s">
        <v>408</v>
      </c>
      <c r="F57" s="19">
        <v>109</v>
      </c>
      <c r="G57" s="247" t="s">
        <v>71</v>
      </c>
      <c r="H57" s="248"/>
      <c r="I57" s="249"/>
      <c r="J57" s="40">
        <f ca="1">SUMIF(Детали!B$3:B$8683,F57,Детали!G$3:G$15)</f>
        <v>6720</v>
      </c>
      <c r="K57" s="19">
        <v>1</v>
      </c>
      <c r="L57" s="2">
        <f t="shared" ref="L57" ca="1" si="60">J57/1000*W57</f>
        <v>78.825599999999994</v>
      </c>
      <c r="M57" s="2">
        <f t="shared" ref="M57:M59" ca="1" si="61">L57*K57</f>
        <v>78.825599999999994</v>
      </c>
      <c r="N57" s="253">
        <f ca="1">ROUNDUP(SUM(M57:M60),1)</f>
        <v>86.399999999999991</v>
      </c>
      <c r="O57" s="39"/>
      <c r="P57" s="12"/>
      <c r="Q57" s="14">
        <f ca="1">M57*(SUMIF(Отправочная!B$4:B$34,E57,Отправочная!C$4:C$34)+A57)</f>
        <v>78.825599999999994</v>
      </c>
      <c r="R57" s="34"/>
      <c r="S57" s="34"/>
      <c r="T57" s="34"/>
      <c r="W57" s="65">
        <f>SUMIF(Металл!E$3:E$258,G57,Металл!A$3:A$258)</f>
        <v>11.73</v>
      </c>
    </row>
    <row r="58" spans="2:23" ht="18.75" customHeight="1" x14ac:dyDescent="0.3">
      <c r="B58" s="44">
        <f t="shared" ref="B58:B59" si="62">F58</f>
        <v>108</v>
      </c>
      <c r="C58" s="36">
        <f ca="1">K58*Q58/M58</f>
        <v>1</v>
      </c>
      <c r="E58" s="251"/>
      <c r="F58" s="19">
        <v>108</v>
      </c>
      <c r="G58" s="4">
        <f ca="1">SUMIF(Детали!B$3:B$8683,F58,Детали!D$3:D$15)</f>
        <v>12</v>
      </c>
      <c r="H58" s="63" t="s">
        <v>9</v>
      </c>
      <c r="I58" s="116">
        <f ca="1">SUMIF(Детали!B$3:B$8683,F58,Детали!F$3:F$15)</f>
        <v>150</v>
      </c>
      <c r="J58" s="40">
        <f ca="1">SUMIF(Детали!B$3:B$8683,F58,Детали!G$3:G$15)</f>
        <v>280</v>
      </c>
      <c r="K58" s="19">
        <v>1</v>
      </c>
      <c r="L58" s="2">
        <f t="shared" ref="L58:L59" ca="1" si="63">7.85/1000000*(I58*J58*G58)</f>
        <v>3.9563999999999995</v>
      </c>
      <c r="M58" s="2">
        <f t="shared" ca="1" si="61"/>
        <v>3.9563999999999995</v>
      </c>
      <c r="N58" s="254"/>
      <c r="O58" s="39"/>
      <c r="P58" s="12"/>
      <c r="Q58" s="14">
        <f ca="1">M58*C57/K57</f>
        <v>3.9563999999999995</v>
      </c>
      <c r="R58" s="34"/>
      <c r="T58" s="34"/>
      <c r="W58" s="65">
        <f ca="1">SUMIF(Металл!E$3:E$258,G58,Металл!A$3:A$258)</f>
        <v>0</v>
      </c>
    </row>
    <row r="59" spans="2:23" ht="18.75" customHeight="1" x14ac:dyDescent="0.3">
      <c r="B59" s="44">
        <f t="shared" si="62"/>
        <v>106</v>
      </c>
      <c r="C59" s="36">
        <f t="shared" ref="C59" ca="1" si="64">K59*Q59/M59</f>
        <v>1</v>
      </c>
      <c r="E59" s="251"/>
      <c r="F59" s="19">
        <v>106</v>
      </c>
      <c r="G59" s="4">
        <f ca="1">SUMIF(Детали!B$3:B$8683,F59,Детали!D$3:D$15)</f>
        <v>4</v>
      </c>
      <c r="H59" s="63" t="s">
        <v>9</v>
      </c>
      <c r="I59" s="116">
        <f ca="1">SUMIF(Детали!B$3:B$8683,F59,Детали!F$3:F$15)</f>
        <v>95</v>
      </c>
      <c r="J59" s="40">
        <f ca="1">SUMIF(Детали!B$3:B$8683,F59,Детали!G$3:G$15)</f>
        <v>95</v>
      </c>
      <c r="K59" s="19">
        <v>1</v>
      </c>
      <c r="L59" s="2">
        <f t="shared" ca="1" si="63"/>
        <v>0.283385</v>
      </c>
      <c r="M59" s="2">
        <f t="shared" ca="1" si="61"/>
        <v>0.283385</v>
      </c>
      <c r="N59" s="254"/>
      <c r="O59" s="39"/>
      <c r="P59" s="12"/>
      <c r="Q59" s="14">
        <f ca="1">M59*C58/K58</f>
        <v>0.283385</v>
      </c>
      <c r="R59" s="34"/>
      <c r="T59" s="34"/>
      <c r="W59" s="65">
        <f ca="1">SUMIF(Металл!E$3:E$258,G59,Металл!A$3:A$258)</f>
        <v>0</v>
      </c>
    </row>
    <row r="60" spans="2:23" ht="18.75" customHeight="1" x14ac:dyDescent="0.3">
      <c r="B60" s="44"/>
      <c r="C60" s="36"/>
      <c r="E60" s="252"/>
      <c r="F60" s="247" t="s">
        <v>352</v>
      </c>
      <c r="G60" s="248"/>
      <c r="H60" s="248"/>
      <c r="I60" s="248"/>
      <c r="J60" s="248"/>
      <c r="K60" s="248"/>
      <c r="L60" s="249"/>
      <c r="M60" s="2">
        <f ca="1">SUM(M57:M59)*$AA$1</f>
        <v>3.3226153999999997</v>
      </c>
      <c r="N60" s="255"/>
      <c r="O60" s="39"/>
      <c r="P60" s="12"/>
      <c r="Q60" s="14">
        <f ca="1">M60*C59/K59</f>
        <v>3.3226153999999997</v>
      </c>
      <c r="R60" s="34"/>
      <c r="S60" s="34"/>
      <c r="T60" s="34"/>
      <c r="W60" s="65">
        <f>SUMIF(Металл!E$3:E$258,G60,Металл!A$3:A$258)</f>
        <v>0</v>
      </c>
    </row>
    <row r="61" spans="2:23" ht="18.75" customHeight="1" x14ac:dyDescent="0.3">
      <c r="B61" s="44">
        <f>F61</f>
        <v>112</v>
      </c>
      <c r="C61" s="36">
        <f ca="1">K61*Q61/M61</f>
        <v>1</v>
      </c>
      <c r="E61" s="250" t="s">
        <v>411</v>
      </c>
      <c r="F61" s="19">
        <v>112</v>
      </c>
      <c r="G61" s="247" t="s">
        <v>71</v>
      </c>
      <c r="H61" s="248"/>
      <c r="I61" s="249"/>
      <c r="J61" s="40">
        <f ca="1">SUMIF(Детали!B$3:B$8683,F61,Детали!G$3:G$15)</f>
        <v>5050</v>
      </c>
      <c r="K61" s="19">
        <v>1</v>
      </c>
      <c r="L61" s="2">
        <f t="shared" ref="L61" ca="1" si="65">J61/1000*W61</f>
        <v>59.236499999999999</v>
      </c>
      <c r="M61" s="2">
        <f t="shared" ref="M61:M63" ca="1" si="66">L61*K61</f>
        <v>59.236499999999999</v>
      </c>
      <c r="N61" s="253">
        <f ca="1">ROUNDUP(SUM(M61:M64),1)</f>
        <v>66.099999999999994</v>
      </c>
      <c r="O61" s="39"/>
      <c r="P61" s="12"/>
      <c r="Q61" s="14">
        <f ca="1">M61*(SUMIF(Отправочная!B$4:B$34,E61,Отправочная!C$4:C$34)+A61)</f>
        <v>59.236499999999999</v>
      </c>
      <c r="R61" s="34"/>
      <c r="S61" s="34"/>
      <c r="T61" s="34"/>
      <c r="W61" s="65">
        <f>SUMIF(Металл!E$3:E$258,G61,Металл!A$3:A$258)</f>
        <v>11.73</v>
      </c>
    </row>
    <row r="62" spans="2:23" ht="18.75" customHeight="1" x14ac:dyDescent="0.3">
      <c r="B62" s="44">
        <f t="shared" ref="B62:B63" si="67">F62</f>
        <v>108</v>
      </c>
      <c r="C62" s="36">
        <f ca="1">K62*Q62/M62</f>
        <v>1</v>
      </c>
      <c r="E62" s="251"/>
      <c r="F62" s="19">
        <v>108</v>
      </c>
      <c r="G62" s="4">
        <f ca="1">SUMIF(Детали!B$3:B$8683,F62,Детали!D$3:D$15)</f>
        <v>12</v>
      </c>
      <c r="H62" s="63" t="s">
        <v>9</v>
      </c>
      <c r="I62" s="116">
        <f ca="1">SUMIF(Детали!B$3:B$8683,F62,Детали!F$3:F$15)</f>
        <v>150</v>
      </c>
      <c r="J62" s="40">
        <f ca="1">SUMIF(Детали!B$3:B$8683,F62,Детали!G$3:G$15)</f>
        <v>280</v>
      </c>
      <c r="K62" s="19">
        <v>1</v>
      </c>
      <c r="L62" s="2">
        <f t="shared" ref="L62:L63" ca="1" si="68">7.85/1000000*(I62*J62*G62)</f>
        <v>3.9563999999999995</v>
      </c>
      <c r="M62" s="2">
        <f t="shared" ca="1" si="66"/>
        <v>3.9563999999999995</v>
      </c>
      <c r="N62" s="254"/>
      <c r="O62" s="39"/>
      <c r="P62" s="12"/>
      <c r="Q62" s="14">
        <f ca="1">M62*C61/K61</f>
        <v>3.9563999999999995</v>
      </c>
      <c r="R62" s="34"/>
      <c r="T62" s="34"/>
      <c r="W62" s="65">
        <f ca="1">SUMIF(Металл!E$3:E$258,G62,Металл!A$3:A$258)</f>
        <v>0</v>
      </c>
    </row>
    <row r="63" spans="2:23" ht="18.75" customHeight="1" x14ac:dyDescent="0.3">
      <c r="B63" s="44">
        <f t="shared" si="67"/>
        <v>106</v>
      </c>
      <c r="C63" s="36">
        <f t="shared" ref="C63" ca="1" si="69">K63*Q63/M63</f>
        <v>1</v>
      </c>
      <c r="E63" s="251"/>
      <c r="F63" s="19">
        <v>106</v>
      </c>
      <c r="G63" s="4">
        <f ca="1">SUMIF(Детали!B$3:B$8683,F63,Детали!D$3:D$15)</f>
        <v>4</v>
      </c>
      <c r="H63" s="63" t="s">
        <v>9</v>
      </c>
      <c r="I63" s="116">
        <f ca="1">SUMIF(Детали!B$3:B$8683,F63,Детали!F$3:F$15)</f>
        <v>95</v>
      </c>
      <c r="J63" s="40">
        <f ca="1">SUMIF(Детали!B$3:B$8683,F63,Детали!G$3:G$15)</f>
        <v>95</v>
      </c>
      <c r="K63" s="19">
        <v>1</v>
      </c>
      <c r="L63" s="2">
        <f t="shared" ca="1" si="68"/>
        <v>0.283385</v>
      </c>
      <c r="M63" s="2">
        <f t="shared" ca="1" si="66"/>
        <v>0.283385</v>
      </c>
      <c r="N63" s="254"/>
      <c r="O63" s="39"/>
      <c r="P63" s="12"/>
      <c r="Q63" s="14">
        <f ca="1">M63*C62/K62</f>
        <v>0.283385</v>
      </c>
      <c r="R63" s="34"/>
      <c r="T63" s="34"/>
      <c r="W63" s="65">
        <f ca="1">SUMIF(Металл!E$3:E$258,G63,Металл!A$3:A$258)</f>
        <v>0</v>
      </c>
    </row>
    <row r="64" spans="2:23" ht="18.75" customHeight="1" x14ac:dyDescent="0.3">
      <c r="B64" s="44"/>
      <c r="C64" s="36"/>
      <c r="E64" s="252"/>
      <c r="F64" s="247" t="s">
        <v>352</v>
      </c>
      <c r="G64" s="248"/>
      <c r="H64" s="248"/>
      <c r="I64" s="248"/>
      <c r="J64" s="248"/>
      <c r="K64" s="248"/>
      <c r="L64" s="249"/>
      <c r="M64" s="2">
        <f ca="1">SUM(M61:M63)*$AA$1</f>
        <v>2.5390514000000004</v>
      </c>
      <c r="N64" s="255"/>
      <c r="O64" s="39"/>
      <c r="P64" s="12"/>
      <c r="Q64" s="14">
        <f ca="1">M64*C63/K63</f>
        <v>2.5390514000000004</v>
      </c>
      <c r="R64" s="34"/>
      <c r="S64" s="34"/>
      <c r="T64" s="34"/>
      <c r="W64" s="65">
        <f>SUMIF(Металл!E$3:E$258,G64,Металл!A$3:A$258)</f>
        <v>0</v>
      </c>
    </row>
    <row r="65" spans="2:23" ht="18.75" customHeight="1" x14ac:dyDescent="0.3">
      <c r="B65" s="44">
        <f>F65</f>
        <v>115</v>
      </c>
      <c r="C65" s="36">
        <f ca="1">K65*Q65/M65</f>
        <v>32</v>
      </c>
      <c r="E65" s="250" t="s">
        <v>412</v>
      </c>
      <c r="F65" s="19">
        <v>115</v>
      </c>
      <c r="G65" s="247" t="s">
        <v>71</v>
      </c>
      <c r="H65" s="248"/>
      <c r="I65" s="249"/>
      <c r="J65" s="40">
        <f ca="1">SUMIF(Детали!B$3:B$8683,F65,Детали!G$3:G$15)</f>
        <v>1786</v>
      </c>
      <c r="K65" s="19">
        <v>1</v>
      </c>
      <c r="L65" s="2">
        <f t="shared" ref="L65" ca="1" si="70">J65/1000*W65</f>
        <v>20.949780000000001</v>
      </c>
      <c r="M65" s="2">
        <f t="shared" ref="M65:M67" ca="1" si="71">L65*K65</f>
        <v>20.949780000000001</v>
      </c>
      <c r="N65" s="253">
        <f ca="1">ROUNDUP(SUM(M65:M68),1)</f>
        <v>27.200000000000003</v>
      </c>
      <c r="O65" s="39"/>
      <c r="P65" s="12"/>
      <c r="Q65" s="14">
        <f ca="1">M65*(SUMIF(Отправочная!B$4:B$34,E65,Отправочная!C$4:C$34)+A65)</f>
        <v>670.39296000000002</v>
      </c>
      <c r="R65" s="34"/>
      <c r="S65" s="34"/>
      <c r="T65" s="34"/>
      <c r="W65" s="65">
        <f>SUMIF(Металл!E$3:E$258,G65,Металл!A$3:A$258)</f>
        <v>11.73</v>
      </c>
    </row>
    <row r="66" spans="2:23" ht="18.75" customHeight="1" x14ac:dyDescent="0.3">
      <c r="B66" s="44">
        <f t="shared" ref="B66:B67" si="72">F66</f>
        <v>113</v>
      </c>
      <c r="C66" s="36">
        <f ca="1">K66*Q66/M66</f>
        <v>32</v>
      </c>
      <c r="E66" s="251"/>
      <c r="F66" s="19">
        <v>113</v>
      </c>
      <c r="G66" s="4">
        <f ca="1">SUMIF(Детали!B$3:B$8683,F66,Детали!D$3:D$15)</f>
        <v>10</v>
      </c>
      <c r="H66" s="63" t="s">
        <v>9</v>
      </c>
      <c r="I66" s="116">
        <f ca="1">SUMIF(Детали!B$3:B$8683,F66,Детали!F$3:F$15)</f>
        <v>180</v>
      </c>
      <c r="J66" s="40">
        <f ca="1">SUMIF(Детали!B$3:B$8683,F66,Детали!G$3:G$15)</f>
        <v>280</v>
      </c>
      <c r="K66" s="19">
        <v>1</v>
      </c>
      <c r="L66" s="2">
        <f t="shared" ref="L66:L67" ca="1" si="73">7.85/1000000*(I66*J66*G66)</f>
        <v>3.9563999999999995</v>
      </c>
      <c r="M66" s="2">
        <f t="shared" ca="1" si="71"/>
        <v>3.9563999999999995</v>
      </c>
      <c r="N66" s="254"/>
      <c r="O66" s="39"/>
      <c r="P66" s="12"/>
      <c r="Q66" s="14">
        <f ca="1">M66*C65/K65</f>
        <v>126.60479999999998</v>
      </c>
      <c r="R66" s="34"/>
      <c r="T66" s="34"/>
      <c r="W66" s="65">
        <f ca="1">SUMIF(Металл!E$3:E$258,G66,Металл!A$3:A$258)</f>
        <v>0</v>
      </c>
    </row>
    <row r="67" spans="2:23" ht="18.75" customHeight="1" x14ac:dyDescent="0.3">
      <c r="B67" s="44">
        <f t="shared" si="72"/>
        <v>114</v>
      </c>
      <c r="C67" s="36">
        <f t="shared" ref="C67" ca="1" si="74">K67*Q67/M67</f>
        <v>32</v>
      </c>
      <c r="E67" s="251"/>
      <c r="F67" s="19">
        <v>114</v>
      </c>
      <c r="G67" s="4">
        <f ca="1">SUMIF(Детали!B$3:B$8683,F67,Детали!D$3:D$15)</f>
        <v>4</v>
      </c>
      <c r="H67" s="63" t="s">
        <v>9</v>
      </c>
      <c r="I67" s="116">
        <f ca="1">SUMIF(Детали!B$3:B$8683,F67,Детали!F$3:F$15)</f>
        <v>120</v>
      </c>
      <c r="J67" s="40">
        <f ca="1">SUMIF(Детали!B$3:B$8683,F67,Детали!G$3:G$15)</f>
        <v>310</v>
      </c>
      <c r="K67" s="19">
        <v>1</v>
      </c>
      <c r="L67" s="2">
        <f t="shared" ca="1" si="73"/>
        <v>1.16808</v>
      </c>
      <c r="M67" s="2">
        <f t="shared" ca="1" si="71"/>
        <v>1.16808</v>
      </c>
      <c r="N67" s="254"/>
      <c r="O67" s="39"/>
      <c r="P67" s="12"/>
      <c r="Q67" s="14">
        <f ca="1">M67*C66/K66</f>
        <v>37.37856</v>
      </c>
      <c r="R67" s="34"/>
      <c r="T67" s="34"/>
      <c r="W67" s="65">
        <f ca="1">SUMIF(Металл!E$3:E$258,G67,Металл!A$3:A$258)</f>
        <v>0</v>
      </c>
    </row>
    <row r="68" spans="2:23" ht="18.75" customHeight="1" x14ac:dyDescent="0.3">
      <c r="B68" s="44"/>
      <c r="C68" s="36"/>
      <c r="E68" s="252"/>
      <c r="F68" s="247" t="s">
        <v>352</v>
      </c>
      <c r="G68" s="248"/>
      <c r="H68" s="248"/>
      <c r="I68" s="248"/>
      <c r="J68" s="248"/>
      <c r="K68" s="248"/>
      <c r="L68" s="249"/>
      <c r="M68" s="2">
        <f ca="1">SUM(M65:M67)*$AA$1</f>
        <v>1.0429704</v>
      </c>
      <c r="N68" s="255"/>
      <c r="O68" s="39"/>
      <c r="P68" s="12"/>
      <c r="Q68" s="14">
        <f ca="1">M68*C67/K67</f>
        <v>33.375052799999999</v>
      </c>
      <c r="R68" s="34"/>
      <c r="S68" s="34"/>
      <c r="T68" s="34"/>
      <c r="W68" s="65">
        <f>SUMIF(Металл!E$3:E$258,G68,Металл!A$3:A$258)</f>
        <v>0</v>
      </c>
    </row>
    <row r="69" spans="2:23" ht="18.75" customHeight="1" x14ac:dyDescent="0.3">
      <c r="B69" s="44">
        <f>F69</f>
        <v>116</v>
      </c>
      <c r="C69" s="36">
        <f ca="1">K69*Q69/M69</f>
        <v>1</v>
      </c>
      <c r="E69" s="250" t="s">
        <v>415</v>
      </c>
      <c r="F69" s="19">
        <v>116</v>
      </c>
      <c r="G69" s="247" t="s">
        <v>71</v>
      </c>
      <c r="H69" s="248"/>
      <c r="I69" s="249"/>
      <c r="J69" s="40">
        <f ca="1">SUMIF(Детали!B$3:B$8683,F69,Детали!G$3:G$15)</f>
        <v>5116</v>
      </c>
      <c r="K69" s="19">
        <v>1</v>
      </c>
      <c r="L69" s="2">
        <f t="shared" ref="L69" ca="1" si="75">J69/1000*W69</f>
        <v>60.010680000000001</v>
      </c>
      <c r="M69" s="2">
        <f t="shared" ref="M69:M71" ca="1" si="76">L69*K69</f>
        <v>60.010680000000001</v>
      </c>
      <c r="N69" s="253">
        <f ca="1">ROUNDUP(SUM(M69:M72),1)</f>
        <v>66.899999999999991</v>
      </c>
      <c r="O69" s="39"/>
      <c r="P69" s="12"/>
      <c r="Q69" s="14">
        <f ca="1">M69*(SUMIF(Отправочная!B$4:B$34,E69,Отправочная!C$4:C$34)+A69)</f>
        <v>60.010680000000001</v>
      </c>
      <c r="R69" s="34"/>
      <c r="S69" s="34"/>
      <c r="T69" s="34"/>
      <c r="W69" s="65">
        <f>SUMIF(Металл!E$3:E$258,G69,Металл!A$3:A$258)</f>
        <v>11.73</v>
      </c>
    </row>
    <row r="70" spans="2:23" ht="18.75" customHeight="1" x14ac:dyDescent="0.3">
      <c r="B70" s="44">
        <f t="shared" ref="B70:B71" si="77">F70</f>
        <v>108</v>
      </c>
      <c r="C70" s="36">
        <f ca="1">K70*Q70/M70</f>
        <v>1</v>
      </c>
      <c r="E70" s="251"/>
      <c r="F70" s="19">
        <v>108</v>
      </c>
      <c r="G70" s="4">
        <f ca="1">SUMIF(Детали!B$3:B$8683,F70,Детали!D$3:D$15)</f>
        <v>12</v>
      </c>
      <c r="H70" s="63" t="s">
        <v>9</v>
      </c>
      <c r="I70" s="116">
        <f ca="1">SUMIF(Детали!B$3:B$8683,F70,Детали!F$3:F$15)</f>
        <v>150</v>
      </c>
      <c r="J70" s="40">
        <f ca="1">SUMIF(Детали!B$3:B$8683,F70,Детали!G$3:G$15)</f>
        <v>280</v>
      </c>
      <c r="K70" s="19">
        <v>1</v>
      </c>
      <c r="L70" s="2">
        <f t="shared" ref="L70:L71" ca="1" si="78">7.85/1000000*(I70*J70*G70)</f>
        <v>3.9563999999999995</v>
      </c>
      <c r="M70" s="2">
        <f t="shared" ca="1" si="76"/>
        <v>3.9563999999999995</v>
      </c>
      <c r="N70" s="254"/>
      <c r="O70" s="39"/>
      <c r="P70" s="12"/>
      <c r="Q70" s="14">
        <f ca="1">M70*C69/K69</f>
        <v>3.9563999999999995</v>
      </c>
      <c r="R70" s="34"/>
      <c r="T70" s="34"/>
      <c r="W70" s="65">
        <f ca="1">SUMIF(Металл!E$3:E$258,G70,Металл!A$3:A$258)</f>
        <v>0</v>
      </c>
    </row>
    <row r="71" spans="2:23" ht="18.75" customHeight="1" x14ac:dyDescent="0.3">
      <c r="B71" s="44">
        <f t="shared" si="77"/>
        <v>106</v>
      </c>
      <c r="C71" s="36">
        <f t="shared" ref="C71" ca="1" si="79">K71*Q71/M71</f>
        <v>1</v>
      </c>
      <c r="E71" s="251"/>
      <c r="F71" s="19">
        <v>106</v>
      </c>
      <c r="G71" s="4">
        <f ca="1">SUMIF(Детали!B$3:B$8683,F71,Детали!D$3:D$15)</f>
        <v>4</v>
      </c>
      <c r="H71" s="63" t="s">
        <v>9</v>
      </c>
      <c r="I71" s="116">
        <f ca="1">SUMIF(Детали!B$3:B$8683,F71,Детали!F$3:F$15)</f>
        <v>95</v>
      </c>
      <c r="J71" s="40">
        <f ca="1">SUMIF(Детали!B$3:B$8683,F71,Детали!G$3:G$15)</f>
        <v>95</v>
      </c>
      <c r="K71" s="19">
        <v>1</v>
      </c>
      <c r="L71" s="2">
        <f t="shared" ca="1" si="78"/>
        <v>0.283385</v>
      </c>
      <c r="M71" s="2">
        <f t="shared" ca="1" si="76"/>
        <v>0.283385</v>
      </c>
      <c r="N71" s="254"/>
      <c r="O71" s="39"/>
      <c r="P71" s="12"/>
      <c r="Q71" s="14">
        <f ca="1">M71*C70/K70</f>
        <v>0.283385</v>
      </c>
      <c r="R71" s="34"/>
      <c r="T71" s="34"/>
      <c r="W71" s="65">
        <f ca="1">SUMIF(Металл!E$3:E$258,G71,Металл!A$3:A$258)</f>
        <v>0</v>
      </c>
    </row>
    <row r="72" spans="2:23" ht="18.75" customHeight="1" x14ac:dyDescent="0.3">
      <c r="B72" s="44"/>
      <c r="C72" s="36"/>
      <c r="E72" s="252"/>
      <c r="F72" s="247" t="s">
        <v>352</v>
      </c>
      <c r="G72" s="248"/>
      <c r="H72" s="248"/>
      <c r="I72" s="248"/>
      <c r="J72" s="248"/>
      <c r="K72" s="248"/>
      <c r="L72" s="249"/>
      <c r="M72" s="2">
        <f ca="1">SUM(M69:M71)*$AA$1</f>
        <v>2.5700186000000005</v>
      </c>
      <c r="N72" s="255"/>
      <c r="O72" s="39"/>
      <c r="P72" s="12"/>
      <c r="Q72" s="14">
        <f ca="1">M72*C71/K71</f>
        <v>2.5700186000000005</v>
      </c>
      <c r="R72" s="34"/>
      <c r="S72" s="34"/>
      <c r="T72" s="34"/>
      <c r="W72" s="65">
        <f>SUMIF(Металл!E$3:E$258,G72,Металл!A$3:A$258)</f>
        <v>0</v>
      </c>
    </row>
    <row r="73" spans="2:23" ht="18.75" customHeight="1" x14ac:dyDescent="0.3">
      <c r="B73" s="44">
        <f>F73</f>
        <v>118</v>
      </c>
      <c r="C73" s="36">
        <f ca="1">K73*Q73/M73</f>
        <v>8</v>
      </c>
      <c r="E73" s="250" t="s">
        <v>417</v>
      </c>
      <c r="F73" s="19">
        <v>118</v>
      </c>
      <c r="G73" s="247" t="s">
        <v>71</v>
      </c>
      <c r="H73" s="248"/>
      <c r="I73" s="249"/>
      <c r="J73" s="40">
        <f ca="1">SUMIF(Детали!B$3:B$8683,F73,Детали!G$3:G$15)</f>
        <v>4592</v>
      </c>
      <c r="K73" s="19">
        <v>1</v>
      </c>
      <c r="L73" s="2">
        <f t="shared" ref="L73" ca="1" si="80">J73/1000*W73</f>
        <v>53.864159999999998</v>
      </c>
      <c r="M73" s="2">
        <f t="shared" ref="M73:M74" ca="1" si="81">L73*K73</f>
        <v>53.864159999999998</v>
      </c>
      <c r="N73" s="253">
        <f ca="1">ROUNDUP(SUM(M73:M75),1)</f>
        <v>56.7</v>
      </c>
      <c r="O73" s="39"/>
      <c r="P73" s="12"/>
      <c r="Q73" s="14">
        <f ca="1">M73*(SUMIF(Отправочная!B$4:B$34,E73,Отправочная!C$4:C$34)+A73)</f>
        <v>430.91327999999999</v>
      </c>
      <c r="R73" s="34"/>
      <c r="S73" s="34"/>
      <c r="T73" s="34"/>
      <c r="W73" s="65">
        <f>SUMIF(Металл!E$3:E$258,G73,Металл!A$3:A$258)</f>
        <v>11.73</v>
      </c>
    </row>
    <row r="74" spans="2:23" ht="18.75" customHeight="1" x14ac:dyDescent="0.3">
      <c r="B74" s="44">
        <f t="shared" ref="B74" si="82">F74</f>
        <v>106</v>
      </c>
      <c r="C74" s="36">
        <f ca="1">K74*Q74/M74</f>
        <v>16</v>
      </c>
      <c r="E74" s="251"/>
      <c r="F74" s="19">
        <v>106</v>
      </c>
      <c r="G74" s="4">
        <f ca="1">SUMIF(Детали!B$3:B$8683,F74,Детали!D$3:D$15)</f>
        <v>4</v>
      </c>
      <c r="H74" s="63" t="s">
        <v>9</v>
      </c>
      <c r="I74" s="116">
        <f ca="1">SUMIF(Детали!B$3:B$8683,F74,Детали!F$3:F$15)</f>
        <v>95</v>
      </c>
      <c r="J74" s="40">
        <f ca="1">SUMIF(Детали!B$3:B$8683,F74,Детали!G$3:G$15)</f>
        <v>95</v>
      </c>
      <c r="K74" s="19">
        <v>2</v>
      </c>
      <c r="L74" s="2">
        <f t="shared" ref="L74" ca="1" si="83">7.85/1000000*(I74*J74*G74)</f>
        <v>0.283385</v>
      </c>
      <c r="M74" s="2">
        <f t="shared" ca="1" si="81"/>
        <v>0.56677</v>
      </c>
      <c r="N74" s="254"/>
      <c r="O74" s="39"/>
      <c r="P74" s="12"/>
      <c r="Q74" s="14">
        <f t="shared" ref="Q74:Q75" ca="1" si="84">M74*C73/K73</f>
        <v>4.53416</v>
      </c>
      <c r="R74" s="34"/>
      <c r="T74" s="34"/>
      <c r="W74" s="65">
        <f ca="1">SUMIF(Металл!E$3:E$258,G74,Металл!A$3:A$258)</f>
        <v>0</v>
      </c>
    </row>
    <row r="75" spans="2:23" ht="18.75" customHeight="1" x14ac:dyDescent="0.3">
      <c r="B75" s="44"/>
      <c r="C75" s="36"/>
      <c r="E75" s="252"/>
      <c r="F75" s="247" t="s">
        <v>352</v>
      </c>
      <c r="G75" s="248"/>
      <c r="H75" s="248"/>
      <c r="I75" s="248"/>
      <c r="J75" s="248"/>
      <c r="K75" s="248"/>
      <c r="L75" s="249"/>
      <c r="M75" s="2">
        <f ca="1">SUM(M73:M74)*$AA$1</f>
        <v>2.1772372</v>
      </c>
      <c r="N75" s="255"/>
      <c r="O75" s="39"/>
      <c r="P75" s="12"/>
      <c r="Q75" s="14">
        <f t="shared" ca="1" si="84"/>
        <v>17.4178976</v>
      </c>
      <c r="R75" s="34"/>
      <c r="S75" s="34"/>
      <c r="T75" s="34"/>
      <c r="W75" s="65">
        <f>SUMIF(Металл!E$3:E$258,G75,Металл!A$3:A$258)</f>
        <v>0</v>
      </c>
    </row>
    <row r="76" spans="2:23" ht="18.75" customHeight="1" x14ac:dyDescent="0.3">
      <c r="B76" s="44">
        <f>F76</f>
        <v>119</v>
      </c>
      <c r="C76" s="36">
        <f ca="1">K76*Q76/M76</f>
        <v>8</v>
      </c>
      <c r="E76" s="250" t="s">
        <v>419</v>
      </c>
      <c r="F76" s="19">
        <v>119</v>
      </c>
      <c r="G76" s="247" t="s">
        <v>71</v>
      </c>
      <c r="H76" s="248"/>
      <c r="I76" s="249"/>
      <c r="J76" s="40">
        <f ca="1">SUMIF(Детали!B$3:B$8683,F76,Детали!G$3:G$15)</f>
        <v>500</v>
      </c>
      <c r="K76" s="19">
        <v>1</v>
      </c>
      <c r="L76" s="2">
        <f t="shared" ref="L76" ca="1" si="85">J76/1000*W76</f>
        <v>5.8650000000000002</v>
      </c>
      <c r="M76" s="2">
        <f t="shared" ref="M76:M77" ca="1" si="86">L76*K76</f>
        <v>5.8650000000000002</v>
      </c>
      <c r="N76" s="253">
        <f ca="1">ROUNDUP(SUM(M76:M78),1)</f>
        <v>6.6999999999999993</v>
      </c>
      <c r="O76" s="39"/>
      <c r="P76" s="12"/>
      <c r="Q76" s="14">
        <f ca="1">M76*(SUMIF(Отправочная!B$4:B$34,E76,Отправочная!C$4:C$34)+A76)</f>
        <v>46.92</v>
      </c>
      <c r="R76" s="34"/>
      <c r="S76" s="34"/>
      <c r="T76" s="34"/>
      <c r="W76" s="65">
        <f>SUMIF(Металл!E$3:E$258,G76,Металл!A$3:A$258)</f>
        <v>11.73</v>
      </c>
    </row>
    <row r="77" spans="2:23" ht="18.75" customHeight="1" x14ac:dyDescent="0.3">
      <c r="B77" s="44">
        <f t="shared" ref="B77" si="87">F77</f>
        <v>106</v>
      </c>
      <c r="C77" s="36">
        <f ca="1">K77*Q77/M77</f>
        <v>16</v>
      </c>
      <c r="E77" s="251"/>
      <c r="F77" s="19">
        <v>106</v>
      </c>
      <c r="G77" s="4">
        <f ca="1">SUMIF(Детали!B$3:B$8683,F77,Детали!D$3:D$15)</f>
        <v>4</v>
      </c>
      <c r="H77" s="63" t="s">
        <v>9</v>
      </c>
      <c r="I77" s="116">
        <f ca="1">SUMIF(Детали!B$3:B$8683,F77,Детали!F$3:F$15)</f>
        <v>95</v>
      </c>
      <c r="J77" s="40">
        <f ca="1">SUMIF(Детали!B$3:B$8683,F77,Детали!G$3:G$15)</f>
        <v>95</v>
      </c>
      <c r="K77" s="19">
        <v>2</v>
      </c>
      <c r="L77" s="2">
        <f t="shared" ref="L77" ca="1" si="88">7.85/1000000*(I77*J77*G77)</f>
        <v>0.283385</v>
      </c>
      <c r="M77" s="2">
        <f t="shared" ca="1" si="86"/>
        <v>0.56677</v>
      </c>
      <c r="N77" s="254"/>
      <c r="O77" s="39"/>
      <c r="P77" s="12"/>
      <c r="Q77" s="14">
        <f t="shared" ref="Q77:Q78" ca="1" si="89">M77*C76/K76</f>
        <v>4.53416</v>
      </c>
      <c r="R77" s="34"/>
      <c r="T77" s="34"/>
      <c r="W77" s="65">
        <f ca="1">SUMIF(Металл!E$3:E$258,G77,Металл!A$3:A$258)</f>
        <v>0</v>
      </c>
    </row>
    <row r="78" spans="2:23" ht="18.75" customHeight="1" x14ac:dyDescent="0.3">
      <c r="B78" s="44"/>
      <c r="C78" s="36"/>
      <c r="E78" s="252"/>
      <c r="F78" s="247" t="s">
        <v>352</v>
      </c>
      <c r="G78" s="248"/>
      <c r="H78" s="248"/>
      <c r="I78" s="248"/>
      <c r="J78" s="248"/>
      <c r="K78" s="248"/>
      <c r="L78" s="249"/>
      <c r="M78" s="2">
        <f ca="1">SUM(M76:M77)*$AA$1</f>
        <v>0.25727080000000002</v>
      </c>
      <c r="N78" s="255"/>
      <c r="O78" s="39"/>
      <c r="P78" s="12"/>
      <c r="Q78" s="14">
        <f t="shared" ca="1" si="89"/>
        <v>2.0581664000000002</v>
      </c>
      <c r="R78" s="34"/>
      <c r="S78" s="34"/>
      <c r="T78" s="34"/>
      <c r="W78" s="65">
        <f>SUMIF(Металл!E$3:E$258,G78,Металл!A$3:A$258)</f>
        <v>0</v>
      </c>
    </row>
    <row r="79" spans="2:23" ht="18.75" hidden="1" customHeight="1" x14ac:dyDescent="0.3">
      <c r="B79" s="44">
        <f>F79</f>
        <v>120</v>
      </c>
      <c r="C79" s="36">
        <f ca="1">K79*Q79/M79</f>
        <v>0</v>
      </c>
      <c r="E79" s="250" t="s">
        <v>427</v>
      </c>
      <c r="F79" s="19">
        <v>120</v>
      </c>
      <c r="G79" s="247" t="s">
        <v>71</v>
      </c>
      <c r="H79" s="248"/>
      <c r="I79" s="249"/>
      <c r="J79" s="40">
        <f ca="1">SUMIF(Детали!B$3:B$8683,F79,Детали!G$3:G$15)</f>
        <v>4264</v>
      </c>
      <c r="K79" s="19">
        <v>1</v>
      </c>
      <c r="L79" s="2">
        <f t="shared" ref="L79" ca="1" si="90">J79/1000*W79</f>
        <v>50.016720000000007</v>
      </c>
      <c r="M79" s="2">
        <f t="shared" ref="M79:M81" ca="1" si="91">L79*K79</f>
        <v>50.016720000000007</v>
      </c>
      <c r="N79" s="253">
        <f ca="1">ROUNDUP(SUM(M79:M82),1)</f>
        <v>56.5</v>
      </c>
      <c r="O79" s="39"/>
      <c r="P79" s="12"/>
      <c r="Q79" s="14">
        <f ca="1">M79*(SUMIF(Отправочная!B$4:B$34,E79,Отправочная!C$4:C$34)+A79)</f>
        <v>0</v>
      </c>
      <c r="R79" s="34"/>
      <c r="S79" s="34"/>
      <c r="T79" s="34"/>
      <c r="W79" s="65">
        <f>SUMIF(Металл!E$3:E$258,G79,Металл!A$3:A$258)</f>
        <v>11.73</v>
      </c>
    </row>
    <row r="80" spans="2:23" ht="18.75" hidden="1" customHeight="1" x14ac:dyDescent="0.3">
      <c r="B80" s="44">
        <f t="shared" ref="B80:B81" si="92">F80</f>
        <v>108</v>
      </c>
      <c r="C80" s="36">
        <f ca="1">K80*Q80/M80</f>
        <v>0</v>
      </c>
      <c r="E80" s="251"/>
      <c r="F80" s="19">
        <v>108</v>
      </c>
      <c r="G80" s="4">
        <f ca="1">SUMIF(Детали!B$3:B$8683,F80,Детали!D$3:D$15)</f>
        <v>12</v>
      </c>
      <c r="H80" s="63" t="s">
        <v>9</v>
      </c>
      <c r="I80" s="116">
        <f ca="1">SUMIF(Детали!B$3:B$8683,F80,Детали!F$3:F$15)</f>
        <v>150</v>
      </c>
      <c r="J80" s="40">
        <f ca="1">SUMIF(Детали!B$3:B$8683,F80,Детали!G$3:G$15)</f>
        <v>280</v>
      </c>
      <c r="K80" s="19">
        <v>1</v>
      </c>
      <c r="L80" s="2">
        <f t="shared" ref="L80:L81" ca="1" si="93">7.85/1000000*(I80*J80*G80)</f>
        <v>3.9563999999999995</v>
      </c>
      <c r="M80" s="2">
        <f t="shared" ca="1" si="91"/>
        <v>3.9563999999999995</v>
      </c>
      <c r="N80" s="254"/>
      <c r="O80" s="39"/>
      <c r="P80" s="12"/>
      <c r="Q80" s="14">
        <f ca="1">M80*C79/K79</f>
        <v>0</v>
      </c>
      <c r="R80" s="34"/>
      <c r="T80" s="34"/>
      <c r="W80" s="65">
        <f ca="1">SUMIF(Металл!E$3:E$258,G80,Металл!A$3:A$258)</f>
        <v>0</v>
      </c>
    </row>
    <row r="81" spans="2:23" ht="18.75" hidden="1" customHeight="1" x14ac:dyDescent="0.3">
      <c r="B81" s="44">
        <f t="shared" si="92"/>
        <v>106</v>
      </c>
      <c r="C81" s="36">
        <f t="shared" ref="C81" ca="1" si="94">K81*Q81/M81</f>
        <v>0</v>
      </c>
      <c r="E81" s="251"/>
      <c r="F81" s="19">
        <v>106</v>
      </c>
      <c r="G81" s="4">
        <f ca="1">SUMIF(Детали!B$3:B$8683,F81,Детали!D$3:D$15)</f>
        <v>4</v>
      </c>
      <c r="H81" s="63" t="s">
        <v>9</v>
      </c>
      <c r="I81" s="116">
        <f ca="1">SUMIF(Детали!B$3:B$8683,F81,Детали!F$3:F$15)</f>
        <v>95</v>
      </c>
      <c r="J81" s="40">
        <f ca="1">SUMIF(Детали!B$3:B$8683,F81,Детали!G$3:G$15)</f>
        <v>95</v>
      </c>
      <c r="K81" s="19">
        <v>1</v>
      </c>
      <c r="L81" s="2">
        <f t="shared" ca="1" si="93"/>
        <v>0.283385</v>
      </c>
      <c r="M81" s="2">
        <f t="shared" ca="1" si="91"/>
        <v>0.283385</v>
      </c>
      <c r="N81" s="254"/>
      <c r="O81" s="39"/>
      <c r="P81" s="12"/>
      <c r="Q81" s="14">
        <f ca="1">M81*C80/K80</f>
        <v>0</v>
      </c>
      <c r="R81" s="34"/>
      <c r="T81" s="34"/>
      <c r="W81" s="65">
        <f ca="1">SUMIF(Металл!E$3:E$258,G81,Металл!A$3:A$258)</f>
        <v>0</v>
      </c>
    </row>
    <row r="82" spans="2:23" ht="18.75" hidden="1" customHeight="1" x14ac:dyDescent="0.3">
      <c r="B82" s="44"/>
      <c r="C82" s="36"/>
      <c r="E82" s="252"/>
      <c r="F82" s="247" t="s">
        <v>352</v>
      </c>
      <c r="G82" s="248"/>
      <c r="H82" s="248"/>
      <c r="I82" s="248"/>
      <c r="J82" s="248"/>
      <c r="K82" s="248"/>
      <c r="L82" s="249"/>
      <c r="M82" s="2">
        <f ca="1">SUM(M79:M81)*$AA$1</f>
        <v>2.1702602000000004</v>
      </c>
      <c r="N82" s="255"/>
      <c r="O82" s="39"/>
      <c r="P82" s="12"/>
      <c r="Q82" s="14">
        <f ca="1">M82*C81/K81</f>
        <v>0</v>
      </c>
      <c r="R82" s="34"/>
      <c r="S82" s="34"/>
      <c r="T82" s="34"/>
      <c r="W82" s="65">
        <f>SUMIF(Металл!E$3:E$258,G82,Металл!A$3:A$258)</f>
        <v>0</v>
      </c>
    </row>
    <row r="83" spans="2:23" ht="18.75" customHeight="1" x14ac:dyDescent="0.3">
      <c r="B83" s="44">
        <f>F83</f>
        <v>121</v>
      </c>
      <c r="C83" s="36">
        <f ca="1">K83*Q83/M83</f>
        <v>32</v>
      </c>
      <c r="E83" s="250" t="s">
        <v>437</v>
      </c>
      <c r="F83" s="198">
        <v>121</v>
      </c>
      <c r="G83" s="247" t="s">
        <v>71</v>
      </c>
      <c r="H83" s="248"/>
      <c r="I83" s="249"/>
      <c r="J83" s="201">
        <f ca="1">SUMIF(Детали!B$3:B$8683,F83,Детали!G$3:G$15)</f>
        <v>1180</v>
      </c>
      <c r="K83" s="198">
        <v>1</v>
      </c>
      <c r="L83" s="2">
        <f t="shared" ref="L83" ca="1" si="95">J83/1000*W83</f>
        <v>13.8414</v>
      </c>
      <c r="M83" s="2">
        <f t="shared" ref="M83:M84" ca="1" si="96">L83*K83</f>
        <v>13.8414</v>
      </c>
      <c r="N83" s="253">
        <f ca="1">ROUNDUP(SUM(M83:M85),1)</f>
        <v>16.600000000000001</v>
      </c>
      <c r="O83" s="39"/>
      <c r="P83" s="12"/>
      <c r="Q83" s="14">
        <f ca="1">M83*(SUMIF(Отправочная!B$4:B$34,E83,Отправочная!C$4:C$34)+A83)</f>
        <v>442.9248</v>
      </c>
      <c r="R83" s="34"/>
      <c r="S83" s="34"/>
      <c r="T83" s="34"/>
      <c r="W83" s="65">
        <f>SUMIF(Металл!E$3:E$258,G83,Металл!A$3:A$258)</f>
        <v>11.73</v>
      </c>
    </row>
    <row r="84" spans="2:23" ht="18.75" customHeight="1" x14ac:dyDescent="0.3">
      <c r="B84" s="44">
        <f t="shared" ref="B84" si="97">F84</f>
        <v>122</v>
      </c>
      <c r="C84" s="36">
        <f ca="1">K84*Q84/M84</f>
        <v>64</v>
      </c>
      <c r="E84" s="251"/>
      <c r="F84" s="198">
        <v>122</v>
      </c>
      <c r="G84" s="4">
        <f ca="1">SUMIF(Детали!B$3:B$8683,F84,Детали!D$3:D$15)</f>
        <v>10</v>
      </c>
      <c r="H84" s="202" t="s">
        <v>9</v>
      </c>
      <c r="I84" s="116">
        <f ca="1">SUMIF(Детали!B$3:B$8683,F84,Детали!F$3:F$15)</f>
        <v>110</v>
      </c>
      <c r="J84" s="201">
        <f ca="1">SUMIF(Детали!B$3:B$8683,F84,Детали!G$3:G$15)</f>
        <v>120</v>
      </c>
      <c r="K84" s="198">
        <v>2</v>
      </c>
      <c r="L84" s="2">
        <f t="shared" ref="L84" ca="1" si="98">7.85/1000000*(I84*J84*G84)</f>
        <v>1.0362</v>
      </c>
      <c r="M84" s="2">
        <f t="shared" ca="1" si="96"/>
        <v>2.0724</v>
      </c>
      <c r="N84" s="254"/>
      <c r="O84" s="39"/>
      <c r="P84" s="12"/>
      <c r="Q84" s="14">
        <f t="shared" ref="Q84:Q85" ca="1" si="99">M84*C83/K83</f>
        <v>66.316800000000001</v>
      </c>
      <c r="R84" s="34"/>
      <c r="T84" s="34"/>
      <c r="W84" s="65">
        <f ca="1">SUMIF(Металл!E$3:E$258,G84,Металл!A$3:A$258)</f>
        <v>0</v>
      </c>
    </row>
    <row r="85" spans="2:23" ht="18.75" customHeight="1" x14ac:dyDescent="0.3">
      <c r="B85" s="44"/>
      <c r="C85" s="36"/>
      <c r="E85" s="252"/>
      <c r="F85" s="247" t="s">
        <v>352</v>
      </c>
      <c r="G85" s="248"/>
      <c r="H85" s="248"/>
      <c r="I85" s="248"/>
      <c r="J85" s="248"/>
      <c r="K85" s="248"/>
      <c r="L85" s="249"/>
      <c r="M85" s="2">
        <f ca="1">SUM(M83:M84)*$AA$1</f>
        <v>0.63655200000000001</v>
      </c>
      <c r="N85" s="255"/>
      <c r="O85" s="39"/>
      <c r="P85" s="12"/>
      <c r="Q85" s="14">
        <f t="shared" ca="1" si="99"/>
        <v>20.369664</v>
      </c>
      <c r="R85" s="34"/>
      <c r="S85" s="34"/>
      <c r="T85" s="34"/>
      <c r="W85" s="65">
        <f>SUMIF(Металл!E$3:E$258,G85,Металл!A$3:A$258)</f>
        <v>0</v>
      </c>
    </row>
    <row r="86" spans="2:23" ht="18.75" customHeight="1" x14ac:dyDescent="0.3">
      <c r="B86" s="44"/>
      <c r="C86" s="36"/>
      <c r="E86" s="204"/>
      <c r="F86" s="201"/>
      <c r="G86" s="202"/>
      <c r="H86" s="202"/>
      <c r="I86" s="202"/>
      <c r="J86" s="202"/>
      <c r="K86" s="202"/>
      <c r="L86" s="203"/>
      <c r="M86" s="2"/>
      <c r="N86" s="200"/>
      <c r="O86" s="39"/>
      <c r="P86" s="12"/>
      <c r="Q86" s="14"/>
      <c r="R86" s="34"/>
      <c r="S86" s="34"/>
      <c r="T86" s="34"/>
    </row>
    <row r="87" spans="2:23" ht="18.75" customHeight="1" x14ac:dyDescent="0.3">
      <c r="B87" s="44"/>
      <c r="C87" s="36"/>
      <c r="E87" s="204"/>
      <c r="F87" s="201"/>
      <c r="G87" s="202"/>
      <c r="H87" s="202"/>
      <c r="I87" s="202"/>
      <c r="J87" s="202"/>
      <c r="K87" s="202"/>
      <c r="L87" s="203"/>
      <c r="M87" s="2"/>
      <c r="N87" s="200"/>
      <c r="O87" s="39"/>
      <c r="P87" s="12"/>
      <c r="Q87" s="14"/>
      <c r="R87" s="34"/>
      <c r="S87" s="34"/>
      <c r="T87" s="34"/>
    </row>
    <row r="88" spans="2:23" ht="18.75" customHeight="1" x14ac:dyDescent="0.3">
      <c r="B88" s="44"/>
      <c r="C88" s="36"/>
      <c r="E88" s="204"/>
      <c r="F88" s="201"/>
      <c r="G88" s="202"/>
      <c r="H88" s="202"/>
      <c r="I88" s="202"/>
      <c r="J88" s="202"/>
      <c r="K88" s="202"/>
      <c r="L88" s="203"/>
      <c r="M88" s="2"/>
      <c r="N88" s="200"/>
      <c r="O88" s="39"/>
      <c r="P88" s="12"/>
      <c r="Q88" s="14"/>
      <c r="R88" s="34"/>
      <c r="S88" s="34"/>
      <c r="T88" s="34"/>
    </row>
    <row r="89" spans="2:23" ht="18.75" customHeight="1" x14ac:dyDescent="0.3">
      <c r="B89" s="44"/>
      <c r="C89" s="36"/>
      <c r="E89" s="143"/>
      <c r="F89" s="40"/>
      <c r="G89" s="63"/>
      <c r="H89" s="63"/>
      <c r="I89" s="63"/>
      <c r="J89" s="63"/>
      <c r="K89" s="63"/>
      <c r="L89" s="64"/>
      <c r="M89" s="2"/>
      <c r="N89" s="152"/>
      <c r="O89" s="39"/>
      <c r="P89" s="12"/>
      <c r="Q89" s="14"/>
      <c r="R89" s="34"/>
      <c r="S89" s="34"/>
      <c r="T89" s="34"/>
    </row>
    <row r="90" spans="2:23" ht="18.75" customHeight="1" x14ac:dyDescent="0.3">
      <c r="B90" s="44"/>
      <c r="C90" s="36"/>
      <c r="E90" s="143"/>
      <c r="F90" s="40"/>
      <c r="G90" s="63"/>
      <c r="H90" s="63"/>
      <c r="I90" s="63"/>
      <c r="J90" s="63"/>
      <c r="K90" s="63"/>
      <c r="L90" s="64"/>
      <c r="M90" s="2"/>
      <c r="N90" s="152"/>
      <c r="O90" s="39"/>
      <c r="P90" s="12"/>
      <c r="Q90" s="14"/>
      <c r="R90" s="34"/>
      <c r="S90" s="34"/>
      <c r="T90" s="34"/>
    </row>
    <row r="91" spans="2:23" ht="18.75" customHeight="1" x14ac:dyDescent="0.3">
      <c r="B91" s="44">
        <f t="shared" ref="B91" si="100">F91</f>
        <v>0</v>
      </c>
      <c r="C91" s="36">
        <f t="shared" ref="C91" si="101">K91*Q91/M91</f>
        <v>33</v>
      </c>
      <c r="E91" s="19" t="s">
        <v>428</v>
      </c>
      <c r="F91" s="19"/>
      <c r="G91" s="247" t="s">
        <v>43</v>
      </c>
      <c r="H91" s="248"/>
      <c r="I91" s="249"/>
      <c r="J91" s="40">
        <v>6200</v>
      </c>
      <c r="K91" s="19">
        <v>1</v>
      </c>
      <c r="L91" s="2">
        <f t="shared" ref="L91" si="102">J91/1000*W91</f>
        <v>42.717999999999996</v>
      </c>
      <c r="M91" s="2">
        <f t="shared" ref="M91" si="103">L91*K91</f>
        <v>42.717999999999996</v>
      </c>
      <c r="N91" s="21">
        <f t="shared" ref="N91" si="104">ROUNDUP(SUM(M91:M91),1)</f>
        <v>42.800000000000004</v>
      </c>
      <c r="O91" s="39"/>
      <c r="P91" s="12"/>
      <c r="Q91" s="14">
        <f>M91*(SUMIF(Отправочная!B$4:B$34,E91,Отправочная!C$4:C$34)+A91)</f>
        <v>1409.694</v>
      </c>
      <c r="R91" s="34"/>
      <c r="S91" s="34"/>
      <c r="T91" s="34"/>
      <c r="W91" s="65">
        <f>SUMIF(Металл!E$3:E$258,G91,Металл!A$3:A$258)</f>
        <v>6.89</v>
      </c>
    </row>
    <row r="92" spans="2:23" ht="18.75" customHeight="1" x14ac:dyDescent="0.3">
      <c r="B92" s="44">
        <f t="shared" ref="B92:B93" si="105">F92</f>
        <v>0</v>
      </c>
      <c r="C92" s="36">
        <f t="shared" ref="C92:C93" si="106">K92*Q92/M92</f>
        <v>2</v>
      </c>
      <c r="E92" s="19" t="s">
        <v>430</v>
      </c>
      <c r="F92" s="19"/>
      <c r="G92" s="247" t="s">
        <v>43</v>
      </c>
      <c r="H92" s="248"/>
      <c r="I92" s="249"/>
      <c r="J92" s="40">
        <v>1980</v>
      </c>
      <c r="K92" s="19">
        <v>1</v>
      </c>
      <c r="L92" s="2">
        <f t="shared" ref="L92:L94" si="107">J92/1000*W92</f>
        <v>13.642199999999999</v>
      </c>
      <c r="M92" s="2">
        <f t="shared" ref="M92:M94" si="108">L92*K92</f>
        <v>13.642199999999999</v>
      </c>
      <c r="N92" s="21">
        <f t="shared" ref="N92:N93" si="109">ROUNDUP(SUM(M92:M92),1)</f>
        <v>13.7</v>
      </c>
      <c r="O92" s="39"/>
      <c r="P92" s="12"/>
      <c r="Q92" s="14">
        <f>M92*(SUMIF(Отправочная!B$4:B$34,E92,Отправочная!C$4:C$34)+A92)</f>
        <v>27.284399999999998</v>
      </c>
      <c r="R92" s="34"/>
      <c r="S92" s="34"/>
      <c r="T92" s="34"/>
      <c r="W92" s="65">
        <f>SUMIF(Металл!E$3:E$258,G92,Металл!A$3:A$258)</f>
        <v>6.89</v>
      </c>
    </row>
    <row r="93" spans="2:23" ht="18.75" customHeight="1" x14ac:dyDescent="0.3">
      <c r="B93" s="44">
        <f t="shared" si="105"/>
        <v>0</v>
      </c>
      <c r="C93" s="36">
        <f t="shared" si="106"/>
        <v>2</v>
      </c>
      <c r="E93" s="19" t="s">
        <v>431</v>
      </c>
      <c r="F93" s="19"/>
      <c r="G93" s="247" t="s">
        <v>43</v>
      </c>
      <c r="H93" s="248"/>
      <c r="I93" s="249"/>
      <c r="J93" s="40">
        <v>3940</v>
      </c>
      <c r="K93" s="19">
        <v>1</v>
      </c>
      <c r="L93" s="2">
        <f t="shared" si="107"/>
        <v>27.146599999999999</v>
      </c>
      <c r="M93" s="2">
        <f t="shared" si="108"/>
        <v>27.146599999999999</v>
      </c>
      <c r="N93" s="21">
        <f t="shared" si="109"/>
        <v>27.200000000000003</v>
      </c>
      <c r="O93" s="39"/>
      <c r="P93" s="12"/>
      <c r="Q93" s="14">
        <f>M93*(SUMIF(Отправочная!B$4:B$34,E93,Отправочная!C$4:C$34)+A93)</f>
        <v>54.293199999999999</v>
      </c>
      <c r="R93" s="34"/>
      <c r="S93" s="34"/>
      <c r="T93" s="34"/>
      <c r="W93" s="65">
        <f>SUMIF(Металл!E$3:E$258,G93,Металл!A$3:A$258)</f>
        <v>6.89</v>
      </c>
    </row>
    <row r="94" spans="2:23" ht="18.75" customHeight="1" x14ac:dyDescent="0.3">
      <c r="B94" s="44">
        <f>F94</f>
        <v>1</v>
      </c>
      <c r="C94" s="36">
        <f>K94*Q94/M94</f>
        <v>1</v>
      </c>
      <c r="E94" s="250" t="s">
        <v>432</v>
      </c>
      <c r="F94" s="19">
        <v>1</v>
      </c>
      <c r="G94" s="247" t="s">
        <v>43</v>
      </c>
      <c r="H94" s="248"/>
      <c r="I94" s="249"/>
      <c r="J94" s="40">
        <v>6200</v>
      </c>
      <c r="K94" s="19">
        <v>1</v>
      </c>
      <c r="L94" s="2">
        <f t="shared" si="107"/>
        <v>42.717999999999996</v>
      </c>
      <c r="M94" s="2">
        <f t="shared" si="108"/>
        <v>42.717999999999996</v>
      </c>
      <c r="N94" s="253">
        <f>ROUNDUP(SUM(M94:M96),1)</f>
        <v>88.899999999999991</v>
      </c>
      <c r="O94" s="39"/>
      <c r="P94" s="12"/>
      <c r="Q94" s="14">
        <f>M94*(SUMIF(Отправочная!B$4:B$34,E94,Отправочная!C$4:C$34)+A94)</f>
        <v>42.717999999999996</v>
      </c>
      <c r="R94" s="34"/>
      <c r="S94" s="34"/>
      <c r="T94" s="34"/>
      <c r="W94" s="65">
        <f>SUMIF(Металл!E$3:E$258,G94,Металл!A$3:A$258)</f>
        <v>6.89</v>
      </c>
    </row>
    <row r="95" spans="2:23" ht="18.75" customHeight="1" x14ac:dyDescent="0.3">
      <c r="B95" s="44">
        <f t="shared" ref="B95" si="110">F95</f>
        <v>2</v>
      </c>
      <c r="C95" s="36">
        <f>K95*Q95/M95</f>
        <v>1</v>
      </c>
      <c r="E95" s="251"/>
      <c r="F95" s="19">
        <v>2</v>
      </c>
      <c r="G95" s="247" t="s">
        <v>43</v>
      </c>
      <c r="H95" s="248"/>
      <c r="I95" s="249"/>
      <c r="J95" s="40">
        <v>6200</v>
      </c>
      <c r="K95" s="19">
        <v>1</v>
      </c>
      <c r="L95" s="2">
        <f t="shared" ref="L95" si="111">J95/1000*W95</f>
        <v>42.717999999999996</v>
      </c>
      <c r="M95" s="2">
        <f t="shared" ref="M95" si="112">L95*K95</f>
        <v>42.717999999999996</v>
      </c>
      <c r="N95" s="254"/>
      <c r="O95" s="39"/>
      <c r="P95" s="12"/>
      <c r="Q95" s="14">
        <f>M95*C94/K94</f>
        <v>42.717999999999996</v>
      </c>
      <c r="R95" s="34"/>
      <c r="T95" s="34"/>
      <c r="W95" s="65">
        <f>SUMIF(Металл!E$3:E$258,G95,Металл!A$3:A$258)</f>
        <v>6.89</v>
      </c>
    </row>
    <row r="96" spans="2:23" ht="18.75" customHeight="1" x14ac:dyDescent="0.3">
      <c r="B96" s="44"/>
      <c r="C96" s="36"/>
      <c r="E96" s="252"/>
      <c r="F96" s="247" t="s">
        <v>352</v>
      </c>
      <c r="G96" s="248"/>
      <c r="H96" s="248"/>
      <c r="I96" s="248"/>
      <c r="J96" s="248"/>
      <c r="K96" s="248"/>
      <c r="L96" s="249"/>
      <c r="M96" s="2">
        <f>SUM(M94:M95)*$AA$1</f>
        <v>3.4174399999999996</v>
      </c>
      <c r="N96" s="255"/>
      <c r="O96" s="39"/>
      <c r="P96" s="12"/>
      <c r="Q96" s="14">
        <f>M96*C95/K95</f>
        <v>3.4174399999999996</v>
      </c>
      <c r="R96" s="34"/>
      <c r="S96" s="34"/>
      <c r="T96" s="34"/>
      <c r="W96" s="65">
        <f>SUMIF(Металл!E$3:E$258,G96,Металл!A$3:A$258)</f>
        <v>0</v>
      </c>
    </row>
    <row r="97" spans="1:23" ht="18.75" customHeight="1" x14ac:dyDescent="0.3">
      <c r="B97" s="44"/>
      <c r="C97" s="36"/>
      <c r="E97" s="143"/>
      <c r="F97" s="40"/>
      <c r="G97" s="63"/>
      <c r="H97" s="63"/>
      <c r="I97" s="63"/>
      <c r="J97" s="63"/>
      <c r="K97" s="63"/>
      <c r="L97" s="64"/>
      <c r="M97" s="2"/>
      <c r="N97" s="152"/>
      <c r="O97" s="39"/>
      <c r="P97" s="12"/>
      <c r="Q97" s="14"/>
      <c r="R97" s="34"/>
      <c r="S97" s="34"/>
      <c r="T97" s="34"/>
    </row>
    <row r="98" spans="1:23" ht="18.75" customHeight="1" x14ac:dyDescent="0.3">
      <c r="B98" s="44"/>
      <c r="C98" s="36"/>
      <c r="E98" s="143"/>
      <c r="F98" s="40"/>
      <c r="G98" s="63"/>
      <c r="H98" s="63"/>
      <c r="I98" s="63"/>
      <c r="J98" s="63"/>
      <c r="K98" s="63"/>
      <c r="L98" s="64"/>
      <c r="M98" s="2"/>
      <c r="N98" s="152"/>
      <c r="O98" s="39"/>
      <c r="P98" s="12"/>
      <c r="Q98" s="14"/>
      <c r="R98" s="34"/>
      <c r="S98" s="34"/>
      <c r="T98" s="34"/>
    </row>
    <row r="99" spans="1:23" ht="18" customHeight="1" x14ac:dyDescent="0.3">
      <c r="B99" s="44"/>
      <c r="C99" s="36"/>
      <c r="E99" s="7"/>
      <c r="F99" s="7"/>
      <c r="G99" s="57"/>
      <c r="H99" s="7"/>
      <c r="I99" s="58"/>
      <c r="J99" s="7"/>
      <c r="K99" s="7"/>
      <c r="L99" s="33"/>
      <c r="M99" s="33"/>
      <c r="N99" s="35"/>
      <c r="O99" s="100"/>
      <c r="P99" s="12"/>
      <c r="Q99" s="34"/>
      <c r="R99" s="34"/>
      <c r="S99"/>
      <c r="T99"/>
    </row>
    <row r="100" spans="1:23" ht="18" customHeight="1" x14ac:dyDescent="0.3">
      <c r="B100" s="44"/>
      <c r="C100" s="36"/>
      <c r="E100" s="7"/>
      <c r="F100" s="7"/>
      <c r="G100" s="57"/>
      <c r="H100" s="7"/>
      <c r="I100" s="58"/>
      <c r="J100" s="7"/>
      <c r="K100" s="7"/>
      <c r="L100" s="33"/>
      <c r="M100" s="33"/>
      <c r="N100" s="35"/>
      <c r="O100" s="100"/>
      <c r="P100" s="12"/>
      <c r="Q100" s="34"/>
      <c r="R100" s="34"/>
      <c r="S100"/>
      <c r="T100"/>
    </row>
    <row r="101" spans="1:23" ht="18" customHeight="1" x14ac:dyDescent="0.3">
      <c r="B101" s="44"/>
      <c r="C101" s="36"/>
      <c r="E101" s="7"/>
      <c r="F101" s="7"/>
      <c r="G101" s="57"/>
      <c r="H101" s="7"/>
      <c r="I101" s="58"/>
      <c r="J101" s="7"/>
      <c r="K101" s="7"/>
      <c r="L101" s="33"/>
      <c r="M101" s="33"/>
      <c r="N101" s="35"/>
      <c r="O101" s="100"/>
      <c r="P101" s="12"/>
      <c r="Q101" s="34"/>
      <c r="R101" s="34"/>
      <c r="S101"/>
      <c r="T101"/>
    </row>
    <row r="102" spans="1:23" ht="18" customHeight="1" x14ac:dyDescent="0.3">
      <c r="B102" s="44"/>
      <c r="C102" s="36"/>
      <c r="E102" s="7"/>
      <c r="F102" s="7"/>
      <c r="G102" s="57"/>
      <c r="H102" s="7"/>
      <c r="I102" s="58"/>
      <c r="J102" s="7"/>
      <c r="K102" s="7"/>
      <c r="L102" s="33"/>
      <c r="M102" s="33"/>
      <c r="N102" s="35"/>
      <c r="O102" s="100"/>
      <c r="P102" s="12"/>
      <c r="Q102" s="34"/>
      <c r="R102" s="34"/>
      <c r="S102"/>
      <c r="T102"/>
    </row>
    <row r="103" spans="1:23" ht="18" customHeight="1" x14ac:dyDescent="0.3">
      <c r="B103" s="44"/>
      <c r="C103" s="36"/>
      <c r="E103" s="7"/>
      <c r="F103" s="7"/>
      <c r="G103" s="57"/>
      <c r="H103" s="7"/>
      <c r="I103" s="58"/>
      <c r="J103" s="7"/>
      <c r="K103" s="7"/>
      <c r="L103" s="33"/>
      <c r="M103" s="33"/>
      <c r="N103" s="35"/>
      <c r="O103" s="100"/>
      <c r="P103" s="12"/>
      <c r="Q103" s="34"/>
      <c r="R103" s="34"/>
      <c r="S103"/>
      <c r="T103"/>
    </row>
    <row r="104" spans="1:23" ht="18" customHeight="1" x14ac:dyDescent="0.3">
      <c r="B104" s="44"/>
      <c r="C104" s="36"/>
      <c r="E104" s="7"/>
      <c r="F104" s="7"/>
      <c r="G104" s="57"/>
      <c r="H104" s="7"/>
      <c r="I104" s="58"/>
      <c r="J104" s="7"/>
      <c r="K104" s="7"/>
      <c r="L104" s="33"/>
      <c r="M104" s="33"/>
      <c r="N104" s="35"/>
      <c r="O104" s="100"/>
      <c r="P104" s="12"/>
      <c r="Q104" s="34"/>
      <c r="R104" s="34"/>
      <c r="S104"/>
      <c r="T104"/>
    </row>
    <row r="105" spans="1:23" ht="18" customHeight="1" x14ac:dyDescent="0.3">
      <c r="B105" s="44"/>
      <c r="C105" s="36"/>
      <c r="E105" s="7"/>
      <c r="F105" s="7"/>
      <c r="G105" s="57"/>
      <c r="H105" s="7"/>
      <c r="I105" s="58"/>
      <c r="J105" s="7"/>
      <c r="K105" s="7"/>
      <c r="L105" s="33"/>
      <c r="M105" s="33"/>
      <c r="N105" s="35"/>
      <c r="O105" s="100"/>
      <c r="P105" s="12"/>
      <c r="Q105" s="34"/>
      <c r="R105" s="34"/>
      <c r="S105"/>
      <c r="T105"/>
    </row>
    <row r="106" spans="1:23" ht="18.75" customHeight="1" x14ac:dyDescent="0.3">
      <c r="B106" s="44"/>
      <c r="C106" s="9"/>
      <c r="E106" s="7"/>
      <c r="F106" s="7"/>
      <c r="G106" s="7"/>
      <c r="H106" s="7"/>
      <c r="I106" s="7"/>
      <c r="J106" s="7"/>
      <c r="K106" s="7"/>
      <c r="L106" s="7"/>
      <c r="M106" s="33"/>
      <c r="N106" s="35"/>
      <c r="O106" s="12"/>
      <c r="P106" s="12"/>
      <c r="Q106" s="34"/>
      <c r="R106" s="34"/>
      <c r="S106" s="34"/>
      <c r="T106" s="34"/>
      <c r="W106" s="65">
        <f>SUMIF(Металл!E$3:E$258,G106,Металл!A$3:A$258)</f>
        <v>0</v>
      </c>
    </row>
    <row r="107" spans="1:23" s="16" customFormat="1" ht="18.75" x14ac:dyDescent="0.3">
      <c r="A107" s="106"/>
      <c r="B107" s="45"/>
      <c r="C107" s="9"/>
      <c r="E107" s="7"/>
      <c r="F107" s="23"/>
      <c r="G107" s="23"/>
      <c r="H107" s="23"/>
      <c r="I107" s="23"/>
      <c r="J107" s="23"/>
      <c r="K107" s="23"/>
      <c r="L107" s="23"/>
      <c r="M107" s="24"/>
      <c r="N107" s="25"/>
      <c r="O107" s="20"/>
      <c r="P107" s="20"/>
      <c r="Q107" s="24"/>
      <c r="R107" s="24"/>
      <c r="S107" s="24"/>
      <c r="T107" s="24"/>
      <c r="W107" s="65">
        <f>SUMIF(Металл!E$3:E$258,G107,Металл!A$3:A$258)</f>
        <v>0</v>
      </c>
    </row>
    <row r="108" spans="1:23" ht="18.75" x14ac:dyDescent="0.3">
      <c r="B108" s="44"/>
      <c r="C108" s="36"/>
      <c r="E108" s="19"/>
      <c r="F108" s="19"/>
      <c r="G108" s="247"/>
      <c r="H108" s="248"/>
      <c r="I108" s="249"/>
      <c r="J108" s="40"/>
      <c r="K108" s="19"/>
      <c r="L108" s="2"/>
      <c r="M108" s="2"/>
      <c r="N108" s="21"/>
      <c r="O108" s="39"/>
      <c r="P108" s="12"/>
      <c r="Q108" s="14"/>
      <c r="R108" s="34"/>
      <c r="S108" s="34"/>
      <c r="T108" s="34"/>
      <c r="W108" s="65">
        <f>SUMIF(Металл!E$3:E$258,G108,Металл!A$3:A$258)</f>
        <v>0</v>
      </c>
    </row>
    <row r="109" spans="1:23" ht="18.75" customHeight="1" x14ac:dyDescent="0.3">
      <c r="B109" s="44"/>
      <c r="C109" s="36"/>
      <c r="E109" s="66"/>
      <c r="F109" s="19"/>
      <c r="G109" s="40"/>
      <c r="H109" s="63"/>
      <c r="I109" s="64"/>
      <c r="J109" s="40"/>
      <c r="K109" s="19"/>
      <c r="L109" s="2"/>
      <c r="M109" s="2"/>
      <c r="N109" s="21"/>
      <c r="O109" s="39"/>
      <c r="P109" s="12"/>
      <c r="Q109" s="14"/>
      <c r="R109" s="34"/>
      <c r="S109" s="34"/>
      <c r="T109" s="34"/>
      <c r="W109" s="65">
        <f>SUMIF(Металл!E$3:E$258,G109,Металл!A$3:A$258)</f>
        <v>0</v>
      </c>
    </row>
    <row r="117" spans="1:23" ht="18.75" customHeight="1" x14ac:dyDescent="0.3">
      <c r="B117" s="44"/>
      <c r="C117" s="36"/>
      <c r="E117" s="143"/>
      <c r="F117" s="40"/>
      <c r="G117" s="63"/>
      <c r="H117" s="63"/>
      <c r="I117" s="63"/>
      <c r="J117" s="63"/>
      <c r="K117" s="63"/>
      <c r="L117" s="64"/>
      <c r="M117" s="2"/>
      <c r="N117" s="152"/>
      <c r="O117" s="39"/>
      <c r="P117" s="12"/>
      <c r="Q117" s="14"/>
      <c r="R117" s="34"/>
      <c r="S117" s="34"/>
      <c r="T117" s="34"/>
    </row>
    <row r="118" spans="1:23" ht="18.75" customHeight="1" x14ac:dyDescent="0.3">
      <c r="B118" s="44"/>
      <c r="C118" s="36"/>
      <c r="E118" s="143"/>
      <c r="F118" s="40"/>
      <c r="G118" s="63"/>
      <c r="H118" s="63"/>
      <c r="I118" s="63"/>
      <c r="J118" s="63"/>
      <c r="K118" s="63"/>
      <c r="L118" s="64"/>
      <c r="M118" s="2"/>
      <c r="N118" s="152"/>
      <c r="O118" s="39"/>
      <c r="P118" s="12"/>
      <c r="Q118" s="14"/>
      <c r="R118" s="34"/>
      <c r="S118" s="34"/>
      <c r="T118" s="34"/>
    </row>
    <row r="119" spans="1:23" ht="18.75" customHeight="1" x14ac:dyDescent="0.3">
      <c r="B119" s="44"/>
      <c r="C119" s="36"/>
      <c r="E119" s="143"/>
      <c r="F119" s="40"/>
      <c r="G119" s="63"/>
      <c r="H119" s="63"/>
      <c r="I119" s="63"/>
      <c r="J119" s="63"/>
      <c r="K119" s="63"/>
      <c r="L119" s="64"/>
      <c r="M119" s="2"/>
      <c r="N119" s="152"/>
      <c r="O119" s="39"/>
      <c r="P119" s="12"/>
      <c r="Q119" s="14"/>
      <c r="R119" s="34"/>
      <c r="S119" s="34"/>
      <c r="T119" s="34"/>
    </row>
    <row r="120" spans="1:23" ht="18.75" customHeight="1" x14ac:dyDescent="0.3">
      <c r="B120" s="44"/>
      <c r="C120" s="36"/>
      <c r="E120" s="143"/>
      <c r="F120" s="40"/>
      <c r="G120" s="63"/>
      <c r="H120" s="63"/>
      <c r="I120" s="63"/>
      <c r="J120" s="63"/>
      <c r="K120" s="63"/>
      <c r="L120" s="64"/>
      <c r="M120" s="2"/>
      <c r="N120" s="152"/>
      <c r="O120" s="39"/>
      <c r="P120" s="12"/>
      <c r="Q120" s="14"/>
      <c r="R120" s="34"/>
      <c r="S120" s="34"/>
      <c r="T120" s="34"/>
    </row>
    <row r="121" spans="1:23" ht="18.75" customHeight="1" x14ac:dyDescent="0.3">
      <c r="B121" s="44"/>
      <c r="C121" s="36"/>
      <c r="E121" s="143"/>
      <c r="F121" s="40"/>
      <c r="G121" s="63"/>
      <c r="H121" s="63"/>
      <c r="I121" s="63"/>
      <c r="J121" s="63"/>
      <c r="K121" s="63"/>
      <c r="L121" s="64"/>
      <c r="M121" s="2"/>
      <c r="N121" s="144"/>
      <c r="O121" s="39"/>
      <c r="P121" s="12"/>
      <c r="Q121" s="14"/>
      <c r="R121" s="34"/>
      <c r="S121" s="34"/>
      <c r="T121" s="34"/>
    </row>
    <row r="122" spans="1:23" ht="18.75" customHeight="1" x14ac:dyDescent="0.3">
      <c r="B122" s="44"/>
      <c r="C122" s="36"/>
      <c r="E122" s="66"/>
      <c r="F122" s="19"/>
      <c r="G122" s="40"/>
      <c r="H122" s="63"/>
      <c r="I122" s="64"/>
      <c r="J122" s="40"/>
      <c r="K122" s="19"/>
      <c r="L122" s="2"/>
      <c r="M122" s="2"/>
      <c r="N122" s="21"/>
      <c r="O122" s="39"/>
      <c r="P122" s="12"/>
      <c r="Q122" s="14"/>
      <c r="R122" s="34"/>
      <c r="S122" s="34"/>
      <c r="T122" s="34"/>
    </row>
    <row r="123" spans="1:23" ht="18.75" customHeight="1" x14ac:dyDescent="0.3">
      <c r="B123" s="44"/>
      <c r="C123" s="36"/>
      <c r="E123" s="66"/>
      <c r="F123" s="19"/>
      <c r="G123" s="40"/>
      <c r="H123" s="63"/>
      <c r="I123" s="64"/>
      <c r="J123" s="40"/>
      <c r="K123" s="19"/>
      <c r="L123" s="2"/>
      <c r="M123" s="2"/>
      <c r="N123" s="21"/>
      <c r="O123" s="39"/>
      <c r="P123" s="12"/>
      <c r="Q123" s="14">
        <f>M123*SUMIF(Отправочная!B$4:B$34,E123,Отправочная!C$4:C$34)</f>
        <v>0</v>
      </c>
      <c r="R123" s="34"/>
      <c r="S123" s="34"/>
      <c r="T123" s="34"/>
      <c r="W123" s="65">
        <f>SUMIF(Металл!E$3:E$258,G123,Металл!A$3:A$258)</f>
        <v>0</v>
      </c>
    </row>
    <row r="124" spans="1:23" s="16" customFormat="1" ht="18.75" customHeight="1" x14ac:dyDescent="0.3">
      <c r="A124" s="106"/>
      <c r="B124" s="44"/>
      <c r="C124" s="36"/>
      <c r="E124" s="68"/>
      <c r="F124" s="54"/>
      <c r="G124" s="69"/>
      <c r="H124" s="27"/>
      <c r="I124" s="70"/>
      <c r="J124" s="69"/>
      <c r="K124" s="54"/>
      <c r="L124" s="26"/>
      <c r="M124" s="26"/>
      <c r="N124" s="71"/>
      <c r="O124" s="72"/>
      <c r="P124" s="20"/>
      <c r="Q124" s="26">
        <f>M124*SUMIF(Отправочная!B$4:B$34,E124,Отправочная!C$4:C$34)</f>
        <v>0</v>
      </c>
      <c r="R124" s="24"/>
      <c r="S124" s="24"/>
      <c r="T124" s="24"/>
      <c r="W124" s="65">
        <f>SUMIF(Металл!E$3:E$258,G124,Металл!A$3:A$258)</f>
        <v>0</v>
      </c>
    </row>
    <row r="125" spans="1:23" ht="18.75" customHeight="1" x14ac:dyDescent="0.3">
      <c r="B125" s="44"/>
      <c r="C125" s="36"/>
      <c r="E125" s="66"/>
      <c r="F125" s="19"/>
      <c r="G125" s="40"/>
      <c r="H125" s="63"/>
      <c r="I125" s="64"/>
      <c r="J125" s="40"/>
      <c r="K125" s="19"/>
      <c r="L125" s="2"/>
      <c r="M125" s="2"/>
      <c r="N125" s="21"/>
      <c r="O125" s="39"/>
      <c r="P125" s="12"/>
      <c r="Q125" s="14">
        <f>M125*SUMIF(Отправочная!B$4:B$34,E125,Отправочная!C$4:C$34)</f>
        <v>0</v>
      </c>
      <c r="R125" s="34"/>
      <c r="S125" s="34"/>
      <c r="T125" s="34"/>
      <c r="W125" s="65">
        <f>SUMIF(Металл!E$3:E$258,G125,Металл!A$3:A$258)</f>
        <v>0</v>
      </c>
    </row>
    <row r="126" spans="1:23" ht="18.75" customHeight="1" x14ac:dyDescent="0.3">
      <c r="B126" s="44"/>
      <c r="C126" s="36"/>
      <c r="E126" s="143"/>
      <c r="F126" s="40"/>
      <c r="G126" s="63"/>
      <c r="H126" s="63"/>
      <c r="I126" s="63"/>
      <c r="J126" s="63"/>
      <c r="K126" s="63"/>
      <c r="L126" s="64"/>
      <c r="M126" s="2"/>
      <c r="N126" s="144"/>
      <c r="O126" s="39"/>
      <c r="P126" s="12"/>
      <c r="Q126" s="14"/>
      <c r="R126" s="34"/>
      <c r="S126" s="34"/>
      <c r="T126" s="34"/>
    </row>
    <row r="127" spans="1:23" ht="18.75" customHeight="1" x14ac:dyDescent="0.3">
      <c r="B127" s="44"/>
      <c r="C127" s="36"/>
      <c r="E127" s="143"/>
      <c r="F127" s="40"/>
      <c r="G127" s="63"/>
      <c r="H127" s="63"/>
      <c r="I127" s="63"/>
      <c r="J127" s="63"/>
      <c r="K127" s="63"/>
      <c r="L127" s="64"/>
      <c r="M127" s="2"/>
      <c r="N127" s="144"/>
      <c r="O127" s="39"/>
      <c r="P127" s="12"/>
      <c r="Q127" s="14"/>
      <c r="R127" s="34"/>
      <c r="S127" s="34"/>
      <c r="T127" s="34"/>
    </row>
    <row r="128" spans="1:23" ht="18.75" customHeight="1" x14ac:dyDescent="0.3">
      <c r="B128" s="44"/>
      <c r="C128" s="36"/>
      <c r="E128" s="143"/>
      <c r="F128" s="40"/>
      <c r="G128" s="63"/>
      <c r="H128" s="63"/>
      <c r="I128" s="63"/>
      <c r="J128" s="63"/>
      <c r="K128" s="63"/>
      <c r="L128" s="64"/>
      <c r="M128" s="2"/>
      <c r="N128" s="144"/>
      <c r="O128" s="39"/>
      <c r="P128" s="12"/>
      <c r="Q128" s="14"/>
      <c r="R128" s="34"/>
      <c r="S128" s="34"/>
      <c r="T128" s="34"/>
    </row>
    <row r="129" spans="2:23" ht="18.75" customHeight="1" x14ac:dyDescent="0.3">
      <c r="B129" s="44">
        <f>F129</f>
        <v>223</v>
      </c>
      <c r="C129" s="36">
        <f ca="1">K129*Q129/M129</f>
        <v>0</v>
      </c>
      <c r="E129" s="250"/>
      <c r="F129" s="19">
        <v>223</v>
      </c>
      <c r="G129" s="247" t="s">
        <v>45</v>
      </c>
      <c r="H129" s="248"/>
      <c r="I129" s="249"/>
      <c r="J129" s="40">
        <f ca="1">SUMIF(Детали!B$3:B$8683,F129,Детали!G$3:G$15)</f>
        <v>1</v>
      </c>
      <c r="K129" s="19">
        <v>1</v>
      </c>
      <c r="L129" s="2">
        <f t="shared" ref="L129" ca="1" si="113">J129/1000*W129</f>
        <v>2.5700000000000001E-2</v>
      </c>
      <c r="M129" s="2">
        <f t="shared" ref="M129:M131" ca="1" si="114">L129*K129</f>
        <v>2.5700000000000001E-2</v>
      </c>
      <c r="N129" s="253">
        <f ca="1">ROUNDUP(SUM(M129:M132),1)</f>
        <v>0.1</v>
      </c>
      <c r="O129" s="39"/>
      <c r="P129" s="12"/>
      <c r="Q129" s="14">
        <f ca="1">M129*(SUMIF(Отправочная!B$4:B$34,E129,Отправочная!C$4:C$34)+A129)</f>
        <v>0</v>
      </c>
      <c r="R129" s="34"/>
      <c r="S129" s="34"/>
      <c r="T129" s="34"/>
      <c r="W129" s="65">
        <f>SUMIF(Металл!E$3:E$258,G129,Металл!A$3:A$258)</f>
        <v>25.7</v>
      </c>
    </row>
    <row r="130" spans="2:23" ht="18.75" customHeight="1" x14ac:dyDescent="0.3">
      <c r="B130" s="44">
        <f>F130</f>
        <v>224</v>
      </c>
      <c r="C130" s="36">
        <f t="shared" ref="C130:C131" ca="1" si="115">K130*Q130/M130</f>
        <v>0</v>
      </c>
      <c r="E130" s="251"/>
      <c r="F130" s="19">
        <v>224</v>
      </c>
      <c r="G130" s="4">
        <f ca="1">SUMIF(Детали!B$3:B$8683,F130,Детали!D$3:D$15)</f>
        <v>10</v>
      </c>
      <c r="H130" s="63" t="s">
        <v>9</v>
      </c>
      <c r="I130" s="116">
        <f ca="1">SUMIF(Детали!B$3:B$8683,F130,Детали!F$3:F$15)</f>
        <v>197</v>
      </c>
      <c r="J130" s="40">
        <f ca="1">SUMIF(Детали!B$3:B$8683,F130,Детали!G$3:G$15)</f>
        <v>1</v>
      </c>
      <c r="K130" s="19">
        <v>2</v>
      </c>
      <c r="L130" s="2">
        <f t="shared" ref="L130" ca="1" si="116">7.85/1000000*(I130*J130*G130)</f>
        <v>1.5464499999999999E-2</v>
      </c>
      <c r="M130" s="2">
        <f t="shared" ca="1" si="114"/>
        <v>3.0928999999999998E-2</v>
      </c>
      <c r="N130" s="254"/>
      <c r="O130" s="39"/>
      <c r="P130" s="12"/>
      <c r="Q130" s="14">
        <f t="shared" ref="Q130:Q132" ca="1" si="117">M130*C129/K129</f>
        <v>0</v>
      </c>
      <c r="R130" s="34"/>
      <c r="S130"/>
      <c r="T130" s="34"/>
      <c r="W130" s="65">
        <f ca="1">SUMIF(Металл!E$3:E$258,G130,Металл!A$3:A$258)</f>
        <v>0</v>
      </c>
    </row>
    <row r="131" spans="2:23" ht="18.75" customHeight="1" x14ac:dyDescent="0.3">
      <c r="B131" s="44">
        <f t="shared" ref="B131" si="118">F131</f>
        <v>211</v>
      </c>
      <c r="C131" s="36">
        <f t="shared" ca="1" si="115"/>
        <v>0</v>
      </c>
      <c r="E131" s="251"/>
      <c r="F131" s="19">
        <v>211</v>
      </c>
      <c r="G131" s="247" t="s">
        <v>86</v>
      </c>
      <c r="H131" s="248"/>
      <c r="I131" s="249"/>
      <c r="J131" s="40">
        <f ca="1">SUMIF(Детали!B$3:B$8683,F131,Детали!G$3:G$15)</f>
        <v>1</v>
      </c>
      <c r="K131" s="19">
        <v>4</v>
      </c>
      <c r="L131" s="2">
        <f t="shared" ref="L131" ca="1" si="119">J131/1000*W131</f>
        <v>9.8699999999999986E-3</v>
      </c>
      <c r="M131" s="2">
        <f t="shared" ca="1" si="114"/>
        <v>3.9479999999999994E-2</v>
      </c>
      <c r="N131" s="254"/>
      <c r="O131" s="39"/>
      <c r="P131" s="12"/>
      <c r="Q131" s="14">
        <f t="shared" ca="1" si="117"/>
        <v>0</v>
      </c>
      <c r="R131" s="34"/>
      <c r="S131"/>
      <c r="T131" s="34"/>
      <c r="W131" s="65">
        <f>SUMIF(Металл!E$3:E$258,G131,Металл!A$3:A$258)</f>
        <v>9.8699999999999992</v>
      </c>
    </row>
    <row r="132" spans="2:23" ht="18.75" customHeight="1" x14ac:dyDescent="0.3">
      <c r="B132" s="44"/>
      <c r="C132" s="36"/>
      <c r="E132" s="252"/>
      <c r="F132" s="247" t="s">
        <v>352</v>
      </c>
      <c r="G132" s="248"/>
      <c r="H132" s="248"/>
      <c r="I132" s="248"/>
      <c r="J132" s="248"/>
      <c r="K132" s="248"/>
      <c r="L132" s="249"/>
      <c r="M132" s="2">
        <f ca="1">SUM(M129:M131)*$AA$1</f>
        <v>3.8443600000000002E-3</v>
      </c>
      <c r="N132" s="255"/>
      <c r="O132" s="39"/>
      <c r="P132" s="12"/>
      <c r="Q132" s="14">
        <f t="shared" ca="1" si="117"/>
        <v>0</v>
      </c>
      <c r="R132" s="34"/>
      <c r="S132" s="34"/>
      <c r="T132" s="34"/>
      <c r="W132" s="65">
        <f>SUMIF(Металл!E$3:E$258,G132,Металл!A$3:A$258)</f>
        <v>0</v>
      </c>
    </row>
    <row r="133" spans="2:23" ht="18.75" customHeight="1" x14ac:dyDescent="0.3">
      <c r="B133" s="44">
        <f>F133</f>
        <v>223</v>
      </c>
      <c r="C133" s="36">
        <f ca="1">K133*Q133/M133</f>
        <v>0</v>
      </c>
      <c r="E133" s="250"/>
      <c r="F133" s="19">
        <v>223</v>
      </c>
      <c r="G133" s="247" t="s">
        <v>45</v>
      </c>
      <c r="H133" s="248"/>
      <c r="I133" s="249"/>
      <c r="J133" s="40">
        <f ca="1">SUMIF(Детали!B$3:B$8683,F133,Детали!G$3:G$15)</f>
        <v>1</v>
      </c>
      <c r="K133" s="19">
        <v>1</v>
      </c>
      <c r="L133" s="2">
        <f t="shared" ref="L133" ca="1" si="120">J133/1000*W133</f>
        <v>2.5700000000000001E-2</v>
      </c>
      <c r="M133" s="2">
        <f t="shared" ref="M133:M137" ca="1" si="121">L133*K133</f>
        <v>2.5700000000000001E-2</v>
      </c>
      <c r="N133" s="253">
        <f ca="1">ROUNDUP(SUM(M133:M138),1)</f>
        <v>0.2</v>
      </c>
      <c r="O133" s="39"/>
      <c r="P133" s="12"/>
      <c r="Q133" s="14">
        <f ca="1">M133*(SUMIF(Отправочная!B$4:B$34,E133,Отправочная!C$4:C$34)+A133)</f>
        <v>0</v>
      </c>
      <c r="R133" s="34"/>
      <c r="S133" s="34"/>
      <c r="T133" s="34"/>
      <c r="W133" s="65">
        <f>SUMIF(Металл!E$3:E$258,G133,Металл!A$3:A$258)</f>
        <v>25.7</v>
      </c>
    </row>
    <row r="134" spans="2:23" ht="18.75" customHeight="1" x14ac:dyDescent="0.3">
      <c r="B134" s="44">
        <f>F134</f>
        <v>224</v>
      </c>
      <c r="C134" s="36">
        <f t="shared" ref="C134:C137" ca="1" si="122">K134*Q134/M134</f>
        <v>0</v>
      </c>
      <c r="E134" s="251"/>
      <c r="F134" s="19">
        <v>224</v>
      </c>
      <c r="G134" s="4">
        <f ca="1">SUMIF(Детали!B$3:B$8683,F134,Детали!D$3:D$15)</f>
        <v>10</v>
      </c>
      <c r="H134" s="63" t="s">
        <v>9</v>
      </c>
      <c r="I134" s="116">
        <f ca="1">SUMIF(Детали!B$3:B$8683,F134,Детали!F$3:F$15)</f>
        <v>197</v>
      </c>
      <c r="J134" s="40">
        <f ca="1">SUMIF(Детали!B$3:B$8683,F134,Детали!G$3:G$15)</f>
        <v>1</v>
      </c>
      <c r="K134" s="19">
        <v>1</v>
      </c>
      <c r="L134" s="2">
        <f t="shared" ref="L134" ca="1" si="123">7.85/1000000*(I134*J134*G134)</f>
        <v>1.5464499999999999E-2</v>
      </c>
      <c r="M134" s="2">
        <f t="shared" ca="1" si="121"/>
        <v>1.5464499999999999E-2</v>
      </c>
      <c r="N134" s="254"/>
      <c r="O134" s="39"/>
      <c r="P134" s="12"/>
      <c r="Q134" s="14">
        <f t="shared" ref="Q134:Q142" ca="1" si="124">M134*C133/K133</f>
        <v>0</v>
      </c>
      <c r="R134" s="34"/>
      <c r="S134"/>
      <c r="T134" s="34"/>
      <c r="W134" s="65">
        <f ca="1">SUMIF(Металл!E$3:E$258,G134,Металл!A$3:A$258)</f>
        <v>0</v>
      </c>
    </row>
    <row r="135" spans="2:23" ht="18.75" customHeight="1" x14ac:dyDescent="0.3">
      <c r="B135" s="44">
        <f>F135</f>
        <v>226</v>
      </c>
      <c r="C135" s="36">
        <f t="shared" ref="C135" ca="1" si="125">K135*Q135/M135</f>
        <v>0</v>
      </c>
      <c r="E135" s="251"/>
      <c r="F135" s="19">
        <v>226</v>
      </c>
      <c r="G135" s="4">
        <f ca="1">SUMIF(Детали!B$3:B$8683,F135,Детали!D$3:D$15)</f>
        <v>10</v>
      </c>
      <c r="H135" s="63" t="s">
        <v>9</v>
      </c>
      <c r="I135" s="116">
        <f ca="1">SUMIF(Детали!B$3:B$8683,F135,Детали!F$3:F$15)</f>
        <v>59</v>
      </c>
      <c r="J135" s="40">
        <f ca="1">SUMIF(Детали!B$3:B$8683,F135,Детали!G$3:G$15)</f>
        <v>1</v>
      </c>
      <c r="K135" s="19">
        <v>1</v>
      </c>
      <c r="L135" s="2">
        <f t="shared" ref="L135" ca="1" si="126">7.85/1000000*(I135*J135*G135)</f>
        <v>4.6314999999999993E-3</v>
      </c>
      <c r="M135" s="2">
        <f t="shared" ref="M135" ca="1" si="127">L135*K135</f>
        <v>4.6314999999999993E-3</v>
      </c>
      <c r="N135" s="254"/>
      <c r="O135" s="39"/>
      <c r="P135" s="12"/>
      <c r="Q135" s="14">
        <f t="shared" ca="1" si="124"/>
        <v>0</v>
      </c>
      <c r="R135" s="34"/>
      <c r="S135"/>
      <c r="T135" s="34"/>
      <c r="W135" s="65">
        <f ca="1">SUMIF(Металл!E$3:E$258,G135,Металл!A$3:A$258)</f>
        <v>0</v>
      </c>
    </row>
    <row r="136" spans="2:23" ht="18.75" customHeight="1" x14ac:dyDescent="0.3">
      <c r="B136" s="44">
        <f>F136</f>
        <v>210</v>
      </c>
      <c r="C136" s="36">
        <f t="shared" ref="C136" ca="1" si="128">K136*Q136/M136</f>
        <v>0</v>
      </c>
      <c r="E136" s="251"/>
      <c r="F136" s="19">
        <v>210</v>
      </c>
      <c r="G136" s="4">
        <f ca="1">SUMIF(Детали!B$3:B$8683,F136,Детали!D$3:D$15)</f>
        <v>10</v>
      </c>
      <c r="H136" s="63" t="s">
        <v>9</v>
      </c>
      <c r="I136" s="116">
        <f ca="1">SUMIF(Детали!B$3:B$8683,F136,Детали!F$3:F$15)</f>
        <v>208</v>
      </c>
      <c r="J136" s="40">
        <f ca="1">SUMIF(Детали!B$3:B$8683,F136,Детали!G$3:G$15)</f>
        <v>1</v>
      </c>
      <c r="K136" s="19">
        <v>4</v>
      </c>
      <c r="L136" s="2">
        <f t="shared" ref="L136" ca="1" si="129">7.85/1000000*(I136*J136*G136)</f>
        <v>1.6327999999999999E-2</v>
      </c>
      <c r="M136" s="2">
        <f t="shared" ref="M136" ca="1" si="130">L136*K136</f>
        <v>6.5311999999999995E-2</v>
      </c>
      <c r="N136" s="254"/>
      <c r="O136" s="39"/>
      <c r="P136" s="12"/>
      <c r="Q136" s="14">
        <f t="shared" ca="1" si="124"/>
        <v>0</v>
      </c>
      <c r="R136" s="34"/>
      <c r="S136"/>
      <c r="T136" s="34"/>
      <c r="W136" s="65">
        <f ca="1">SUMIF(Металл!E$3:E$258,G136,Металл!A$3:A$258)</f>
        <v>0</v>
      </c>
    </row>
    <row r="137" spans="2:23" ht="18.75" customHeight="1" x14ac:dyDescent="0.3">
      <c r="B137" s="44">
        <f t="shared" ref="B137" si="131">F137</f>
        <v>211</v>
      </c>
      <c r="C137" s="36">
        <f t="shared" ca="1" si="122"/>
        <v>0</v>
      </c>
      <c r="E137" s="251"/>
      <c r="F137" s="19">
        <v>211</v>
      </c>
      <c r="G137" s="247" t="s">
        <v>86</v>
      </c>
      <c r="H137" s="248"/>
      <c r="I137" s="249"/>
      <c r="J137" s="40">
        <f ca="1">SUMIF(Детали!B$3:B$8683,F137,Детали!G$3:G$15)</f>
        <v>1</v>
      </c>
      <c r="K137" s="19">
        <v>4</v>
      </c>
      <c r="L137" s="2">
        <f t="shared" ref="L137" ca="1" si="132">J137/1000*W137</f>
        <v>9.8699999999999986E-3</v>
      </c>
      <c r="M137" s="2">
        <f t="shared" ca="1" si="121"/>
        <v>3.9479999999999994E-2</v>
      </c>
      <c r="N137" s="254"/>
      <c r="O137" s="39"/>
      <c r="P137" s="12"/>
      <c r="Q137" s="14">
        <f t="shared" ca="1" si="124"/>
        <v>0</v>
      </c>
      <c r="R137" s="34"/>
      <c r="S137"/>
      <c r="T137" s="34"/>
      <c r="W137" s="65">
        <f>SUMIF(Металл!E$3:E$258,G137,Металл!A$3:A$258)</f>
        <v>9.8699999999999992</v>
      </c>
    </row>
    <row r="138" spans="2:23" ht="18.75" customHeight="1" x14ac:dyDescent="0.3">
      <c r="B138" s="44"/>
      <c r="C138" s="36"/>
      <c r="E138" s="252"/>
      <c r="F138" s="247" t="s">
        <v>352</v>
      </c>
      <c r="G138" s="248"/>
      <c r="H138" s="248"/>
      <c r="I138" s="248"/>
      <c r="J138" s="248"/>
      <c r="K138" s="248"/>
      <c r="L138" s="249"/>
      <c r="M138" s="2">
        <f ca="1">SUM(M133:M137)*$AA$1</f>
        <v>6.0235199999999992E-3</v>
      </c>
      <c r="N138" s="255"/>
      <c r="O138" s="39"/>
      <c r="P138" s="12"/>
      <c r="Q138" s="14">
        <f t="shared" ca="1" si="124"/>
        <v>0</v>
      </c>
      <c r="R138" s="34"/>
      <c r="S138" s="34"/>
      <c r="T138" s="34"/>
      <c r="W138" s="65">
        <f>SUMIF(Металл!E$3:E$258,G138,Металл!A$3:A$258)</f>
        <v>0</v>
      </c>
    </row>
    <row r="139" spans="2:23" ht="18.75" customHeight="1" x14ac:dyDescent="0.3">
      <c r="B139" s="44">
        <f>F139</f>
        <v>223</v>
      </c>
      <c r="C139" s="36">
        <f ca="1">K139*Q139/M139</f>
        <v>0</v>
      </c>
      <c r="E139" s="250"/>
      <c r="F139" s="19">
        <v>223</v>
      </c>
      <c r="G139" s="247" t="s">
        <v>45</v>
      </c>
      <c r="H139" s="248"/>
      <c r="I139" s="249"/>
      <c r="J139" s="40">
        <f ca="1">SUMIF(Детали!B$3:B$8683,F139,Детали!G$3:G$15)</f>
        <v>1</v>
      </c>
      <c r="K139" s="19">
        <v>1</v>
      </c>
      <c r="L139" s="2">
        <f t="shared" ref="L139:L141" ca="1" si="133">J139/1000*W139</f>
        <v>2.5700000000000001E-2</v>
      </c>
      <c r="M139" s="2">
        <f t="shared" ref="M139:M140" ca="1" si="134">L139*K139</f>
        <v>2.5700000000000001E-2</v>
      </c>
      <c r="N139" s="253">
        <f ca="1">ROUNDUP(SUM(M139:M142),1)</f>
        <v>0.1</v>
      </c>
      <c r="O139" s="39"/>
      <c r="P139" s="12"/>
      <c r="Q139" s="14">
        <f ca="1">M139*(SUMIF(Отправочная!B$4:B$34,E139,Отправочная!C$4:C$34)+A139)</f>
        <v>0</v>
      </c>
      <c r="R139" s="34"/>
      <c r="S139" s="34"/>
      <c r="T139" s="34"/>
      <c r="W139" s="65">
        <f>SUMIF(Металл!E$3:E$258,G139,Металл!A$3:A$258)</f>
        <v>25.7</v>
      </c>
    </row>
    <row r="140" spans="2:23" ht="18.75" customHeight="1" x14ac:dyDescent="0.3">
      <c r="B140" s="44">
        <f>F140</f>
        <v>226</v>
      </c>
      <c r="C140" s="36">
        <f t="shared" ref="C140" ca="1" si="135">K140*Q140/M140</f>
        <v>0</v>
      </c>
      <c r="E140" s="251"/>
      <c r="F140" s="19">
        <v>226</v>
      </c>
      <c r="G140" s="4">
        <f ca="1">SUMIF(Детали!B$3:B$8683,F140,Детали!D$3:D$15)</f>
        <v>10</v>
      </c>
      <c r="H140" s="63" t="s">
        <v>9</v>
      </c>
      <c r="I140" s="116">
        <f ca="1">SUMIF(Детали!B$3:B$8683,F140,Детали!F$3:F$15)</f>
        <v>59</v>
      </c>
      <c r="J140" s="40">
        <f ca="1">SUMIF(Детали!B$3:B$8683,F140,Детали!G$3:G$15)</f>
        <v>1</v>
      </c>
      <c r="K140" s="19">
        <v>2</v>
      </c>
      <c r="L140" s="2">
        <f t="shared" ref="L140" ca="1" si="136">7.85/1000000*(I140*J140*G140)</f>
        <v>4.6314999999999993E-3</v>
      </c>
      <c r="M140" s="2">
        <f t="shared" ca="1" si="134"/>
        <v>9.2629999999999987E-3</v>
      </c>
      <c r="N140" s="254"/>
      <c r="O140" s="39"/>
      <c r="P140" s="12"/>
      <c r="Q140" s="14">
        <f t="shared" ca="1" si="124"/>
        <v>0</v>
      </c>
      <c r="R140" s="34"/>
      <c r="S140"/>
      <c r="T140" s="34"/>
      <c r="W140" s="65">
        <f ca="1">SUMIF(Металл!E$3:E$258,G140,Металл!A$3:A$258)</f>
        <v>0</v>
      </c>
    </row>
    <row r="141" spans="2:23" ht="18.75" customHeight="1" x14ac:dyDescent="0.3">
      <c r="B141" s="44">
        <f t="shared" ref="B141" si="137">F141</f>
        <v>211</v>
      </c>
      <c r="C141" s="36">
        <f t="shared" ref="C141" ca="1" si="138">K141*Q141/M141</f>
        <v>0</v>
      </c>
      <c r="E141" s="251"/>
      <c r="F141" s="19">
        <v>211</v>
      </c>
      <c r="G141" s="247" t="s">
        <v>86</v>
      </c>
      <c r="H141" s="248"/>
      <c r="I141" s="249"/>
      <c r="J141" s="40">
        <f ca="1">SUMIF(Детали!B$3:B$8683,F141,Детали!G$3:G$15)</f>
        <v>1</v>
      </c>
      <c r="K141" s="19">
        <v>3</v>
      </c>
      <c r="L141" s="2">
        <f t="shared" ca="1" si="133"/>
        <v>9.8699999999999986E-3</v>
      </c>
      <c r="M141" s="2">
        <f t="shared" ref="M141" ca="1" si="139">L141*K141</f>
        <v>2.9609999999999997E-2</v>
      </c>
      <c r="N141" s="254"/>
      <c r="O141" s="39"/>
      <c r="P141" s="12"/>
      <c r="Q141" s="14">
        <f t="shared" ca="1" si="124"/>
        <v>0</v>
      </c>
      <c r="R141" s="34"/>
      <c r="S141"/>
      <c r="T141" s="34"/>
      <c r="W141" s="65">
        <f>SUMIF(Металл!E$3:E$258,G141,Металл!A$3:A$258)</f>
        <v>9.8699999999999992</v>
      </c>
    </row>
    <row r="142" spans="2:23" ht="18.75" customHeight="1" x14ac:dyDescent="0.3">
      <c r="B142" s="44"/>
      <c r="C142" s="36"/>
      <c r="E142" s="252"/>
      <c r="F142" s="247" t="s">
        <v>352</v>
      </c>
      <c r="G142" s="248"/>
      <c r="H142" s="248"/>
      <c r="I142" s="248"/>
      <c r="J142" s="248"/>
      <c r="K142" s="248"/>
      <c r="L142" s="249"/>
      <c r="M142" s="2">
        <f ca="1">SUM(M139:M141)*$AA$1</f>
        <v>2.5829199999999998E-3</v>
      </c>
      <c r="N142" s="255"/>
      <c r="O142" s="39"/>
      <c r="P142" s="12"/>
      <c r="Q142" s="14">
        <f t="shared" ca="1" si="124"/>
        <v>0</v>
      </c>
      <c r="R142" s="34"/>
      <c r="S142" s="34"/>
      <c r="T142" s="34"/>
      <c r="W142" s="65">
        <f>SUMIF(Металл!E$3:E$258,G142,Металл!A$3:A$258)</f>
        <v>0</v>
      </c>
    </row>
    <row r="143" spans="2:23" ht="18.75" customHeight="1" x14ac:dyDescent="0.3">
      <c r="B143" s="44">
        <f>F143</f>
        <v>225</v>
      </c>
      <c r="C143" s="36">
        <f ca="1">K143*Q143/M143</f>
        <v>0</v>
      </c>
      <c r="E143" s="250"/>
      <c r="F143" s="19">
        <v>225</v>
      </c>
      <c r="G143" s="247" t="s">
        <v>268</v>
      </c>
      <c r="H143" s="248"/>
      <c r="I143" s="249"/>
      <c r="J143" s="40">
        <f ca="1">SUMIF(Детали!B$3:B$8683,F143,Детали!G$3:G$15)</f>
        <v>1</v>
      </c>
      <c r="K143" s="19">
        <v>1</v>
      </c>
      <c r="L143" s="2">
        <f t="shared" ref="L143:L144" ca="1" si="140">J143/1000*W143</f>
        <v>5.6600000000000004E-2</v>
      </c>
      <c r="M143" s="2">
        <f t="shared" ref="M143:M144" ca="1" si="141">L143*K143</f>
        <v>5.6600000000000004E-2</v>
      </c>
      <c r="N143" s="253">
        <f ca="1">ROUNDUP(SUM(M143:M145),1)</f>
        <v>0.1</v>
      </c>
      <c r="O143" s="39"/>
      <c r="P143" s="12"/>
      <c r="Q143" s="14">
        <f ca="1">M143*(SUMIF(Отправочная!B$4:B$34,E143,Отправочная!C$4:C$34)+A143)</f>
        <v>0</v>
      </c>
      <c r="R143" s="34"/>
      <c r="S143" s="34"/>
      <c r="T143" s="34"/>
      <c r="W143" s="65">
        <f>SUMIF(Металл!E$3:E$258,G143,Металл!A$3:A$258)</f>
        <v>56.6</v>
      </c>
    </row>
    <row r="144" spans="2:23" ht="18.75" customHeight="1" x14ac:dyDescent="0.3">
      <c r="B144" s="44">
        <f t="shared" ref="B144" si="142">F144</f>
        <v>211</v>
      </c>
      <c r="C144" s="36">
        <f t="shared" ref="C144" ca="1" si="143">K144*Q144/M144</f>
        <v>0</v>
      </c>
      <c r="E144" s="251"/>
      <c r="F144" s="19">
        <v>211</v>
      </c>
      <c r="G144" s="247" t="s">
        <v>86</v>
      </c>
      <c r="H144" s="248"/>
      <c r="I144" s="249"/>
      <c r="J144" s="40">
        <f ca="1">SUMIF(Детали!B$3:B$8683,F144,Детали!G$3:G$15)</f>
        <v>1</v>
      </c>
      <c r="K144" s="19">
        <v>3</v>
      </c>
      <c r="L144" s="2">
        <f t="shared" ca="1" si="140"/>
        <v>9.8699999999999986E-3</v>
      </c>
      <c r="M144" s="2">
        <f t="shared" ca="1" si="141"/>
        <v>2.9609999999999997E-2</v>
      </c>
      <c r="N144" s="254"/>
      <c r="O144" s="39"/>
      <c r="P144" s="12"/>
      <c r="Q144" s="14">
        <f t="shared" ref="Q144:Q145" ca="1" si="144">M144*C143/K143</f>
        <v>0</v>
      </c>
      <c r="R144" s="34"/>
      <c r="S144"/>
      <c r="T144" s="34"/>
      <c r="W144" s="65">
        <f>SUMIF(Металл!E$3:E$258,G144,Металл!A$3:A$258)</f>
        <v>9.8699999999999992</v>
      </c>
    </row>
    <row r="145" spans="1:24" ht="18.75" customHeight="1" x14ac:dyDescent="0.3">
      <c r="B145" s="44"/>
      <c r="C145" s="36"/>
      <c r="E145" s="252"/>
      <c r="F145" s="247" t="s">
        <v>352</v>
      </c>
      <c r="G145" s="248"/>
      <c r="H145" s="248"/>
      <c r="I145" s="248"/>
      <c r="J145" s="248"/>
      <c r="K145" s="248"/>
      <c r="L145" s="249"/>
      <c r="M145" s="2">
        <f ca="1">SUM(M143:M144)*$AA$1</f>
        <v>3.4484000000000003E-3</v>
      </c>
      <c r="N145" s="255"/>
      <c r="O145" s="39"/>
      <c r="P145" s="12"/>
      <c r="Q145" s="14">
        <f t="shared" ca="1" si="144"/>
        <v>0</v>
      </c>
      <c r="R145" s="34"/>
      <c r="S145" s="34"/>
      <c r="T145" s="34"/>
      <c r="W145" s="65">
        <f>SUMIF(Металл!E$3:E$258,G145,Металл!A$3:A$258)</f>
        <v>0</v>
      </c>
    </row>
    <row r="146" spans="1:24" ht="18.75" customHeight="1" x14ac:dyDescent="0.3">
      <c r="B146" s="44"/>
      <c r="C146" s="36"/>
      <c r="E146" s="143"/>
      <c r="F146" s="40"/>
      <c r="G146" s="63"/>
      <c r="H146" s="63"/>
      <c r="I146" s="63"/>
      <c r="J146" s="63"/>
      <c r="K146" s="63"/>
      <c r="L146" s="64"/>
      <c r="M146" s="2"/>
      <c r="N146" s="144"/>
      <c r="O146" s="39"/>
      <c r="P146" s="12"/>
      <c r="Q146" s="14"/>
      <c r="R146" s="34"/>
      <c r="S146" s="34"/>
      <c r="T146" s="34"/>
    </row>
    <row r="147" spans="1:24" ht="18.75" customHeight="1" x14ac:dyDescent="0.3">
      <c r="B147" s="44">
        <f>F147</f>
        <v>0</v>
      </c>
      <c r="C147" s="36">
        <f>K147*Q147/M147</f>
        <v>0</v>
      </c>
      <c r="E147" s="19"/>
      <c r="F147" s="19"/>
      <c r="G147" s="247" t="s">
        <v>89</v>
      </c>
      <c r="H147" s="248"/>
      <c r="I147" s="249"/>
      <c r="J147" s="40">
        <v>4580</v>
      </c>
      <c r="K147" s="19">
        <v>1</v>
      </c>
      <c r="L147" s="2">
        <f t="shared" ref="L147" si="145">J147/1000*W147</f>
        <v>61.4636</v>
      </c>
      <c r="M147" s="2">
        <f t="shared" ref="M147" si="146">L147*K147</f>
        <v>61.4636</v>
      </c>
      <c r="N147" s="21">
        <f>ROUNDUP(SUM(M147:M147),1)</f>
        <v>61.5</v>
      </c>
      <c r="O147" s="39"/>
      <c r="P147" s="12"/>
      <c r="Q147" s="14">
        <f>M147*(SUMIF(Отправочная!B$4:B$34,E147,Отправочная!C$4:C$34)+A147)</f>
        <v>0</v>
      </c>
      <c r="R147" s="34"/>
      <c r="S147" s="34"/>
      <c r="T147" s="34"/>
      <c r="W147" s="65">
        <f>SUMIF(Металл!E$3:E$258,G147,Металл!A$3:A$258)</f>
        <v>13.42</v>
      </c>
    </row>
    <row r="148" spans="1:24" ht="18.75" customHeight="1" x14ac:dyDescent="0.3">
      <c r="B148" s="44">
        <f t="shared" ref="B148:B151" si="147">F148</f>
        <v>0</v>
      </c>
      <c r="C148" s="36">
        <f t="shared" ref="C148:C151" si="148">K148*Q148/M148</f>
        <v>0</v>
      </c>
      <c r="E148" s="19"/>
      <c r="F148" s="19"/>
      <c r="G148" s="247" t="s">
        <v>89</v>
      </c>
      <c r="H148" s="248"/>
      <c r="I148" s="249"/>
      <c r="J148" s="40">
        <v>4480</v>
      </c>
      <c r="K148" s="19">
        <v>1</v>
      </c>
      <c r="L148" s="2">
        <f t="shared" ref="L148:L152" si="149">J148/1000*W148</f>
        <v>60.121600000000008</v>
      </c>
      <c r="M148" s="2">
        <f t="shared" ref="M148:M152" si="150">L148*K148</f>
        <v>60.121600000000008</v>
      </c>
      <c r="N148" s="21">
        <f t="shared" ref="N148:N151" si="151">ROUNDUP(SUM(M148:M148),1)</f>
        <v>60.2</v>
      </c>
      <c r="O148" s="39"/>
      <c r="P148" s="12"/>
      <c r="Q148" s="14">
        <f>M148*(SUMIF(Отправочная!B$4:B$34,E148,Отправочная!C$4:C$34)+A148)</f>
        <v>0</v>
      </c>
      <c r="R148" s="34"/>
      <c r="S148" s="34"/>
      <c r="T148" s="34"/>
      <c r="W148" s="65">
        <f>SUMIF(Металл!E$3:E$258,G148,Металл!A$3:A$258)</f>
        <v>13.42</v>
      </c>
    </row>
    <row r="149" spans="1:24" ht="18.75" customHeight="1" x14ac:dyDescent="0.3">
      <c r="B149" s="44">
        <f t="shared" si="147"/>
        <v>0</v>
      </c>
      <c r="C149" s="36">
        <f t="shared" si="148"/>
        <v>0</v>
      </c>
      <c r="E149" s="19"/>
      <c r="F149" s="19"/>
      <c r="G149" s="247" t="s">
        <v>89</v>
      </c>
      <c r="H149" s="248"/>
      <c r="I149" s="249"/>
      <c r="J149" s="40">
        <v>4980</v>
      </c>
      <c r="K149" s="19">
        <v>1</v>
      </c>
      <c r="L149" s="2">
        <f t="shared" si="149"/>
        <v>66.831600000000009</v>
      </c>
      <c r="M149" s="2">
        <f t="shared" si="150"/>
        <v>66.831600000000009</v>
      </c>
      <c r="N149" s="21">
        <f t="shared" si="151"/>
        <v>66.899999999999991</v>
      </c>
      <c r="O149" s="39"/>
      <c r="P149" s="12"/>
      <c r="Q149" s="14">
        <f>M149*(SUMIF(Отправочная!B$4:B$34,E149,Отправочная!C$4:C$34)+A149)</f>
        <v>0</v>
      </c>
      <c r="R149" s="34"/>
      <c r="S149" s="34"/>
      <c r="T149" s="34"/>
      <c r="W149" s="65">
        <f>SUMIF(Металл!E$3:E$258,G149,Металл!A$3:A$258)</f>
        <v>13.42</v>
      </c>
    </row>
    <row r="150" spans="1:24" ht="18.75" customHeight="1" x14ac:dyDescent="0.3">
      <c r="B150" s="44">
        <f t="shared" si="147"/>
        <v>0</v>
      </c>
      <c r="C150" s="36">
        <f t="shared" si="148"/>
        <v>0</v>
      </c>
      <c r="E150" s="19"/>
      <c r="F150" s="19"/>
      <c r="G150" s="247" t="s">
        <v>89</v>
      </c>
      <c r="H150" s="248"/>
      <c r="I150" s="249"/>
      <c r="J150" s="40">
        <v>5080</v>
      </c>
      <c r="K150" s="19">
        <v>1</v>
      </c>
      <c r="L150" s="2">
        <f t="shared" si="149"/>
        <v>68.173600000000008</v>
      </c>
      <c r="M150" s="2">
        <f t="shared" si="150"/>
        <v>68.173600000000008</v>
      </c>
      <c r="N150" s="21">
        <f t="shared" si="151"/>
        <v>68.199999999999989</v>
      </c>
      <c r="O150" s="39"/>
      <c r="P150" s="12"/>
      <c r="Q150" s="14">
        <f>M150*(SUMIF(Отправочная!B$4:B$34,E150,Отправочная!C$4:C$34)+A150)</f>
        <v>0</v>
      </c>
      <c r="R150" s="34"/>
      <c r="S150" s="34"/>
      <c r="T150" s="34"/>
      <c r="W150" s="65">
        <f>SUMIF(Металл!E$3:E$258,G150,Металл!A$3:A$258)</f>
        <v>13.42</v>
      </c>
    </row>
    <row r="151" spans="1:24" ht="18.75" customHeight="1" x14ac:dyDescent="0.3">
      <c r="B151" s="44">
        <f t="shared" si="147"/>
        <v>0</v>
      </c>
      <c r="C151" s="36">
        <f t="shared" si="148"/>
        <v>0</v>
      </c>
      <c r="E151" s="19"/>
      <c r="F151" s="19"/>
      <c r="G151" s="247" t="s">
        <v>89</v>
      </c>
      <c r="H151" s="248"/>
      <c r="I151" s="249"/>
      <c r="J151" s="40">
        <v>5080</v>
      </c>
      <c r="K151" s="19">
        <v>1</v>
      </c>
      <c r="L151" s="2">
        <f t="shared" si="149"/>
        <v>68.173600000000008</v>
      </c>
      <c r="M151" s="2">
        <f t="shared" si="150"/>
        <v>68.173600000000008</v>
      </c>
      <c r="N151" s="21">
        <f t="shared" si="151"/>
        <v>68.199999999999989</v>
      </c>
      <c r="O151" s="39"/>
      <c r="P151" s="12"/>
      <c r="Q151" s="14">
        <f>M151*(SUMIF(Отправочная!B$4:B$34,E151,Отправочная!C$4:C$34)+A151)</f>
        <v>0</v>
      </c>
      <c r="R151" s="34"/>
      <c r="S151" s="34"/>
      <c r="T151" s="34"/>
      <c r="W151" s="65">
        <f>SUMIF(Металл!E$3:E$258,G151,Металл!A$3:A$258)</f>
        <v>13.42</v>
      </c>
    </row>
    <row r="152" spans="1:24" ht="18.75" customHeight="1" x14ac:dyDescent="0.3">
      <c r="B152" s="44">
        <f>F152</f>
        <v>0</v>
      </c>
      <c r="C152" s="36">
        <f>K152*Q152/M152</f>
        <v>0</v>
      </c>
      <c r="E152" s="19"/>
      <c r="F152" s="19"/>
      <c r="G152" s="247" t="s">
        <v>43</v>
      </c>
      <c r="H152" s="248"/>
      <c r="I152" s="249"/>
      <c r="J152" s="40">
        <v>9000</v>
      </c>
      <c r="K152" s="19">
        <v>1</v>
      </c>
      <c r="L152" s="2">
        <f t="shared" si="149"/>
        <v>62.01</v>
      </c>
      <c r="M152" s="2">
        <f t="shared" si="150"/>
        <v>62.01</v>
      </c>
      <c r="N152" s="21">
        <f>ROUNDUP(SUM(M152:M152),1)</f>
        <v>62.1</v>
      </c>
      <c r="O152" s="39"/>
      <c r="P152" s="12"/>
      <c r="Q152" s="14">
        <f>M152*(SUMIF(Отправочная!B$4:B$34,E152,Отправочная!C$4:C$34)+A152)</f>
        <v>0</v>
      </c>
      <c r="R152" s="34"/>
      <c r="S152" s="34"/>
      <c r="T152" s="34"/>
      <c r="W152" s="65">
        <f>SUMIF(Металл!E$3:E$258,G152,Металл!A$3:A$258)</f>
        <v>6.89</v>
      </c>
    </row>
    <row r="153" spans="1:24" ht="18.75" customHeight="1" x14ac:dyDescent="0.3">
      <c r="B153" s="44"/>
      <c r="C153" s="36"/>
      <c r="E153" s="143"/>
      <c r="F153" s="19"/>
      <c r="G153" s="40"/>
      <c r="H153" s="63"/>
      <c r="I153" s="64"/>
      <c r="J153" s="40"/>
      <c r="K153" s="19"/>
      <c r="L153" s="2"/>
      <c r="M153" s="2"/>
      <c r="N153" s="21"/>
      <c r="O153" s="39"/>
      <c r="P153" s="12"/>
      <c r="Q153" s="14"/>
      <c r="R153" s="34"/>
      <c r="S153" s="34"/>
      <c r="T153" s="34"/>
    </row>
    <row r="154" spans="1:24" ht="18.75" customHeight="1" x14ac:dyDescent="0.3">
      <c r="B154" s="44"/>
      <c r="C154" s="36"/>
      <c r="E154" s="143"/>
      <c r="F154" s="19"/>
      <c r="G154" s="40"/>
      <c r="H154" s="63"/>
      <c r="I154" s="64"/>
      <c r="J154" s="40"/>
      <c r="K154" s="19"/>
      <c r="L154" s="2"/>
      <c r="M154" s="2"/>
      <c r="N154" s="21"/>
      <c r="O154" s="39"/>
      <c r="P154" s="12"/>
      <c r="Q154" s="14"/>
      <c r="R154" s="34"/>
      <c r="S154" s="34"/>
      <c r="T154" s="34"/>
    </row>
    <row r="155" spans="1:24" ht="18.75" customHeight="1" x14ac:dyDescent="0.3">
      <c r="B155" s="44"/>
      <c r="C155" s="36"/>
      <c r="E155" s="143"/>
      <c r="F155" s="19"/>
      <c r="G155" s="40"/>
      <c r="H155" s="63"/>
      <c r="I155" s="64"/>
      <c r="J155" s="40"/>
      <c r="K155" s="19"/>
      <c r="L155" s="2"/>
      <c r="M155" s="2"/>
      <c r="N155" s="21"/>
      <c r="O155" s="39"/>
      <c r="P155" s="12"/>
      <c r="Q155" s="14"/>
      <c r="R155" s="34"/>
      <c r="S155" s="34"/>
      <c r="T155" s="34"/>
    </row>
    <row r="156" spans="1:24" ht="18.75" customHeight="1" x14ac:dyDescent="0.3">
      <c r="B156" s="44"/>
      <c r="C156" s="36"/>
      <c r="E156" s="143"/>
      <c r="F156" s="19"/>
      <c r="G156" s="40"/>
      <c r="H156" s="63"/>
      <c r="I156" s="64"/>
      <c r="J156" s="40"/>
      <c r="K156" s="19"/>
      <c r="L156" s="2"/>
      <c r="M156" s="2"/>
      <c r="N156" s="21"/>
      <c r="O156" s="39"/>
      <c r="P156" s="12"/>
      <c r="Q156" s="14"/>
      <c r="R156" s="34"/>
      <c r="S156" s="34"/>
      <c r="T156" s="34"/>
    </row>
    <row r="157" spans="1:24" s="16" customFormat="1" ht="18.75" customHeight="1" x14ac:dyDescent="0.3">
      <c r="A157" s="106"/>
      <c r="B157" s="44"/>
      <c r="C157" s="36"/>
      <c r="E157" s="132"/>
      <c r="F157" s="54"/>
      <c r="G157" s="28"/>
      <c r="H157" s="27"/>
      <c r="I157" s="29"/>
      <c r="J157" s="54"/>
      <c r="K157" s="54"/>
      <c r="L157" s="26"/>
      <c r="M157" s="26"/>
      <c r="N157" s="134"/>
      <c r="O157" s="30"/>
      <c r="P157" s="20"/>
      <c r="Q157" s="26"/>
      <c r="R157" s="24"/>
      <c r="S157" s="24"/>
      <c r="T157" s="24"/>
      <c r="W157" s="65">
        <f>SUMIF(Металл!E$3:E$258,G157,Металл!A$3:A$258)</f>
        <v>0</v>
      </c>
    </row>
    <row r="158" spans="1:24" ht="18.75" customHeight="1" x14ac:dyDescent="0.3">
      <c r="B158" s="44"/>
      <c r="C158" s="36"/>
      <c r="E158" s="133"/>
      <c r="F158" s="247"/>
      <c r="G158" s="248"/>
      <c r="H158" s="248"/>
      <c r="I158" s="248"/>
      <c r="J158" s="248"/>
      <c r="K158" s="248"/>
      <c r="L158" s="249"/>
      <c r="M158" s="2"/>
      <c r="N158" s="134"/>
      <c r="O158" s="6"/>
      <c r="P158" s="12"/>
      <c r="Q158" s="14"/>
      <c r="R158" s="34"/>
      <c r="S158" s="34"/>
      <c r="T158" s="34"/>
      <c r="W158" s="65">
        <f>SUMIF(Металл!E$3:E$258,G158,Металл!A$3:A$258)</f>
        <v>0</v>
      </c>
    </row>
    <row r="159" spans="1:24" ht="18.75" customHeight="1" x14ac:dyDescent="0.3">
      <c r="B159" s="44"/>
      <c r="C159" s="36"/>
      <c r="E159" s="132"/>
      <c r="F159" s="40"/>
      <c r="G159" s="63"/>
      <c r="H159" s="63"/>
      <c r="I159" s="63"/>
      <c r="J159" s="63"/>
      <c r="K159" s="63"/>
      <c r="L159" s="64"/>
      <c r="M159" s="2"/>
      <c r="N159" s="151"/>
      <c r="O159" s="6"/>
      <c r="P159" s="12"/>
      <c r="Q159" s="14"/>
      <c r="R159" s="34"/>
      <c r="S159" s="34"/>
      <c r="T159" s="34"/>
    </row>
    <row r="160" spans="1:24" ht="18.75" customHeight="1" x14ac:dyDescent="0.3">
      <c r="B160" s="44">
        <f>F160</f>
        <v>305</v>
      </c>
      <c r="C160" s="36">
        <f ca="1">K160*Q160/M160</f>
        <v>0</v>
      </c>
      <c r="E160" s="250"/>
      <c r="F160" s="19">
        <v>305</v>
      </c>
      <c r="G160" s="247" t="s">
        <v>55</v>
      </c>
      <c r="H160" s="248"/>
      <c r="I160" s="249"/>
      <c r="J160" s="40">
        <f ca="1">SUMIF(Детали!B$3:B$8683,F160,Детали!G$3:G$15)</f>
        <v>3010</v>
      </c>
      <c r="K160" s="19">
        <v>1</v>
      </c>
      <c r="L160" s="2">
        <f t="shared" ref="L160" ca="1" si="152">J160/1000*W160</f>
        <v>73.805199999999999</v>
      </c>
      <c r="M160" s="2">
        <f t="shared" ref="M160:M163" ca="1" si="153">L160*K160</f>
        <v>73.805199999999999</v>
      </c>
      <c r="N160" s="253">
        <f ca="1">ROUNDUP(SUM(M160:M165),1)</f>
        <v>86.199999999999989</v>
      </c>
      <c r="O160" s="39"/>
      <c r="P160" s="12"/>
      <c r="Q160" s="14">
        <f ca="1">M160*(SUMIF(Отправочная!B$4:B$34,E160,Отправочная!C$4:C$34)+A160)</f>
        <v>0</v>
      </c>
      <c r="R160" s="34"/>
      <c r="S160" s="34"/>
      <c r="T160" s="34"/>
      <c r="W160" s="65">
        <f>SUMIF(Металл!E$3:E$258,G160,Металл!A$3:A$258)</f>
        <v>24.52</v>
      </c>
      <c r="X160">
        <v>3255</v>
      </c>
    </row>
    <row r="161" spans="2:24" ht="18.75" customHeight="1" x14ac:dyDescent="0.3">
      <c r="B161" s="44">
        <f>F161</f>
        <v>301</v>
      </c>
      <c r="C161" s="36">
        <f t="shared" ref="C161:C163" ca="1" si="154">K161*Q161/M161</f>
        <v>0</v>
      </c>
      <c r="E161" s="251"/>
      <c r="F161" s="19">
        <v>301</v>
      </c>
      <c r="G161" s="4">
        <f ca="1">SUMIF(Детали!B$3:B$8683,F161,Детали!D$3:D$15)</f>
        <v>8</v>
      </c>
      <c r="H161" s="63" t="s">
        <v>9</v>
      </c>
      <c r="I161" s="116">
        <f ca="1">SUMIF(Детали!B$3:B$8683,F161,Детали!F$3:F$15)</f>
        <v>180</v>
      </c>
      <c r="J161" s="40">
        <f ca="1">SUMIF(Детали!B$3:B$8683,F161,Детали!G$3:G$15)</f>
        <v>300</v>
      </c>
      <c r="K161" s="19">
        <v>1</v>
      </c>
      <c r="L161" s="2">
        <f t="shared" ref="L161:L163" ca="1" si="155">7.85/1000000*(I161*J161*G161)</f>
        <v>3.3911999999999995</v>
      </c>
      <c r="M161" s="2">
        <f t="shared" ca="1" si="153"/>
        <v>3.3911999999999995</v>
      </c>
      <c r="N161" s="254"/>
      <c r="O161" s="39"/>
      <c r="P161" s="12"/>
      <c r="Q161" s="14">
        <f t="shared" ref="Q161:Q165" ca="1" si="156">M161*C160/K160</f>
        <v>0</v>
      </c>
      <c r="R161" s="34"/>
      <c r="S161"/>
      <c r="T161" s="34"/>
      <c r="W161" s="65">
        <f ca="1">SUMIF(Металл!E$3:E$258,G161,Металл!A$3:A$258)</f>
        <v>0</v>
      </c>
    </row>
    <row r="162" spans="2:24" ht="18.75" customHeight="1" x14ac:dyDescent="0.3">
      <c r="B162" s="44">
        <f t="shared" ref="B162:B163" si="157">F162</f>
        <v>302</v>
      </c>
      <c r="C162" s="36">
        <f t="shared" ca="1" si="154"/>
        <v>0</v>
      </c>
      <c r="E162" s="251"/>
      <c r="F162" s="19">
        <v>302</v>
      </c>
      <c r="G162" s="4">
        <f ca="1">SUMIF(Детали!B$3:B$8683,F162,Детали!D$3:D$15)</f>
        <v>8</v>
      </c>
      <c r="H162" s="63" t="s">
        <v>9</v>
      </c>
      <c r="I162" s="116">
        <f ca="1">SUMIF(Детали!B$3:B$8683,F162,Детали!F$3:F$15)</f>
        <v>180</v>
      </c>
      <c r="J162" s="40">
        <f ca="1">SUMIF(Детали!B$3:B$8683,F162,Детали!G$3:G$15)</f>
        <v>180</v>
      </c>
      <c r="K162" s="19">
        <v>1</v>
      </c>
      <c r="L162" s="2">
        <f t="shared" ca="1" si="155"/>
        <v>2.0347199999999996</v>
      </c>
      <c r="M162" s="2">
        <f t="shared" ca="1" si="153"/>
        <v>2.0347199999999996</v>
      </c>
      <c r="N162" s="254"/>
      <c r="O162" s="39"/>
      <c r="P162" s="12"/>
      <c r="Q162" s="14">
        <f t="shared" ca="1" si="156"/>
        <v>0</v>
      </c>
      <c r="R162" s="34"/>
      <c r="S162"/>
      <c r="T162" s="34"/>
      <c r="W162" s="65">
        <f ca="1">SUMIF(Металл!E$3:E$258,G162,Металл!A$3:A$258)</f>
        <v>0</v>
      </c>
    </row>
    <row r="163" spans="2:24" ht="18.75" customHeight="1" x14ac:dyDescent="0.3">
      <c r="B163" s="44">
        <f t="shared" si="157"/>
        <v>303</v>
      </c>
      <c r="C163" s="36">
        <f t="shared" ca="1" si="154"/>
        <v>0</v>
      </c>
      <c r="E163" s="251"/>
      <c r="F163" s="19">
        <v>303</v>
      </c>
      <c r="G163" s="4">
        <f ca="1">SUMIF(Детали!B$3:B$8683,F163,Детали!D$3:D$15)</f>
        <v>8</v>
      </c>
      <c r="H163" s="63" t="s">
        <v>9</v>
      </c>
      <c r="I163" s="116">
        <f ca="1">SUMIF(Детали!B$3:B$8683,F163,Детали!F$3:F$15)</f>
        <v>70</v>
      </c>
      <c r="J163" s="40">
        <f ca="1">SUMIF(Детали!B$3:B$8683,F163,Детали!G$3:G$15)</f>
        <v>180</v>
      </c>
      <c r="K163" s="19">
        <v>4</v>
      </c>
      <c r="L163" s="2">
        <f t="shared" ca="1" si="155"/>
        <v>0.79127999999999998</v>
      </c>
      <c r="M163" s="2">
        <f t="shared" ca="1" si="153"/>
        <v>3.1651199999999999</v>
      </c>
      <c r="N163" s="254"/>
      <c r="O163" s="39"/>
      <c r="P163" s="12"/>
      <c r="Q163" s="14">
        <f t="shared" ca="1" si="156"/>
        <v>0</v>
      </c>
      <c r="R163" s="34"/>
      <c r="S163"/>
      <c r="T163" s="34"/>
      <c r="W163" s="65">
        <f ca="1">SUMIF(Металл!E$3:E$258,G163,Металл!A$3:A$258)</f>
        <v>0</v>
      </c>
    </row>
    <row r="164" spans="2:24" ht="18.75" customHeight="1" x14ac:dyDescent="0.3">
      <c r="B164" s="44">
        <f t="shared" ref="B164" si="158">F164</f>
        <v>304</v>
      </c>
      <c r="C164" s="36">
        <f t="shared" ref="C164" ca="1" si="159">K164*Q164/M164</f>
        <v>0</v>
      </c>
      <c r="E164" s="251"/>
      <c r="F164" s="19">
        <v>304</v>
      </c>
      <c r="G164" s="4">
        <f ca="1">SUMIF(Детали!B$3:B$8683,F164,Детали!D$3:D$15)</f>
        <v>8</v>
      </c>
      <c r="H164" s="63" t="s">
        <v>9</v>
      </c>
      <c r="I164" s="116">
        <f ca="1">SUMIF(Детали!B$3:B$8683,F164,Детали!F$3:F$15)</f>
        <v>70</v>
      </c>
      <c r="J164" s="40">
        <f ca="1">SUMIF(Детали!B$3:B$8683,F164,Детали!G$3:G$15)</f>
        <v>100</v>
      </c>
      <c r="K164" s="19">
        <v>1</v>
      </c>
      <c r="L164" s="2">
        <f t="shared" ref="L164" ca="1" si="160">7.85/1000000*(I164*J164*G164)</f>
        <v>0.43959999999999999</v>
      </c>
      <c r="M164" s="2">
        <f t="shared" ref="M164" ca="1" si="161">L164*K164</f>
        <v>0.43959999999999999</v>
      </c>
      <c r="N164" s="254"/>
      <c r="O164" s="39"/>
      <c r="P164" s="12"/>
      <c r="Q164" s="14">
        <f t="shared" ca="1" si="156"/>
        <v>0</v>
      </c>
      <c r="R164" s="34"/>
      <c r="S164"/>
      <c r="T164" s="34"/>
      <c r="W164" s="65">
        <f ca="1">SUMIF(Металл!E$3:E$258,G164,Металл!A$3:A$258)</f>
        <v>0</v>
      </c>
    </row>
    <row r="165" spans="2:24" ht="18.75" customHeight="1" x14ac:dyDescent="0.3">
      <c r="B165" s="44"/>
      <c r="C165" s="36"/>
      <c r="E165" s="252"/>
      <c r="F165" s="247" t="s">
        <v>352</v>
      </c>
      <c r="G165" s="248"/>
      <c r="H165" s="248"/>
      <c r="I165" s="248"/>
      <c r="J165" s="248"/>
      <c r="K165" s="248"/>
      <c r="L165" s="249"/>
      <c r="M165" s="2">
        <f ca="1">SUM(M160:M164)*$AA$1</f>
        <v>3.3134335999999998</v>
      </c>
      <c r="N165" s="255"/>
      <c r="O165" s="39"/>
      <c r="P165" s="12"/>
      <c r="Q165" s="14">
        <f t="shared" ca="1" si="156"/>
        <v>0</v>
      </c>
      <c r="R165" s="34"/>
      <c r="S165" s="34"/>
      <c r="T165" s="34"/>
      <c r="W165" s="65">
        <f>SUMIF(Металл!E$3:E$258,G165,Металл!A$3:A$258)</f>
        <v>0</v>
      </c>
    </row>
    <row r="166" spans="2:24" ht="18.75" customHeight="1" x14ac:dyDescent="0.3">
      <c r="B166" s="44">
        <f>F166</f>
        <v>306</v>
      </c>
      <c r="C166" s="36">
        <f ca="1">K166*Q166/M166</f>
        <v>0</v>
      </c>
      <c r="E166" s="250"/>
      <c r="F166" s="19">
        <v>306</v>
      </c>
      <c r="G166" s="247" t="s">
        <v>55</v>
      </c>
      <c r="H166" s="248"/>
      <c r="I166" s="249"/>
      <c r="J166" s="40">
        <f ca="1">SUMIF(Детали!B$3:B$8683,F166,Детали!G$3:G$15)</f>
        <v>2850</v>
      </c>
      <c r="K166" s="19">
        <v>1</v>
      </c>
      <c r="L166" s="2">
        <f t="shared" ref="L166" ca="1" si="162">J166/1000*W166</f>
        <v>69.882000000000005</v>
      </c>
      <c r="M166" s="2">
        <f t="shared" ref="M166:M170" ca="1" si="163">L166*K166</f>
        <v>69.882000000000005</v>
      </c>
      <c r="N166" s="253">
        <f ca="1">ROUNDUP(SUM(M166:M171),1)</f>
        <v>82.1</v>
      </c>
      <c r="O166" s="39"/>
      <c r="P166" s="12"/>
      <c r="Q166" s="14">
        <f ca="1">M166*(SUMIF(Отправочная!B$4:B$34,E166,Отправочная!C$4:C$34)+A166)</f>
        <v>0</v>
      </c>
      <c r="R166" s="34"/>
      <c r="S166" s="34"/>
      <c r="T166" s="34"/>
      <c r="W166" s="65">
        <f>SUMIF(Металл!E$3:E$258,G166,Металл!A$3:A$258)</f>
        <v>24.52</v>
      </c>
      <c r="X166">
        <v>3095</v>
      </c>
    </row>
    <row r="167" spans="2:24" ht="18.75" customHeight="1" x14ac:dyDescent="0.3">
      <c r="B167" s="44">
        <f>F167</f>
        <v>301</v>
      </c>
      <c r="C167" s="36">
        <f t="shared" ref="C167:C170" ca="1" si="164">K167*Q167/M167</f>
        <v>0</v>
      </c>
      <c r="E167" s="251"/>
      <c r="F167" s="19">
        <v>301</v>
      </c>
      <c r="G167" s="4">
        <f ca="1">SUMIF(Детали!B$3:B$8683,F167,Детали!D$3:D$15)</f>
        <v>8</v>
      </c>
      <c r="H167" s="63" t="s">
        <v>9</v>
      </c>
      <c r="I167" s="116">
        <f ca="1">SUMIF(Детали!B$3:B$8683,F167,Детали!F$3:F$15)</f>
        <v>180</v>
      </c>
      <c r="J167" s="40">
        <f ca="1">SUMIF(Детали!B$3:B$8683,F167,Детали!G$3:G$15)</f>
        <v>300</v>
      </c>
      <c r="K167" s="19">
        <v>1</v>
      </c>
      <c r="L167" s="2">
        <f t="shared" ref="L167:L170" ca="1" si="165">7.85/1000000*(I167*J167*G167)</f>
        <v>3.3911999999999995</v>
      </c>
      <c r="M167" s="2">
        <f t="shared" ca="1" si="163"/>
        <v>3.3911999999999995</v>
      </c>
      <c r="N167" s="254"/>
      <c r="O167" s="39"/>
      <c r="P167" s="12"/>
      <c r="Q167" s="14">
        <f t="shared" ref="Q167:Q171" ca="1" si="166">M167*C166/K166</f>
        <v>0</v>
      </c>
      <c r="R167" s="34"/>
      <c r="S167"/>
      <c r="T167" s="34"/>
      <c r="W167" s="65">
        <f ca="1">SUMIF(Металл!E$3:E$258,G167,Металл!A$3:A$258)</f>
        <v>0</v>
      </c>
    </row>
    <row r="168" spans="2:24" ht="18.75" customHeight="1" x14ac:dyDescent="0.3">
      <c r="B168" s="44">
        <f t="shared" ref="B168:B170" si="167">F168</f>
        <v>302</v>
      </c>
      <c r="C168" s="36">
        <f t="shared" ca="1" si="164"/>
        <v>0</v>
      </c>
      <c r="E168" s="251"/>
      <c r="F168" s="19">
        <v>302</v>
      </c>
      <c r="G168" s="4">
        <f ca="1">SUMIF(Детали!B$3:B$8683,F168,Детали!D$3:D$15)</f>
        <v>8</v>
      </c>
      <c r="H168" s="63" t="s">
        <v>9</v>
      </c>
      <c r="I168" s="116">
        <f ca="1">SUMIF(Детали!B$3:B$8683,F168,Детали!F$3:F$15)</f>
        <v>180</v>
      </c>
      <c r="J168" s="40">
        <f ca="1">SUMIF(Детали!B$3:B$8683,F168,Детали!G$3:G$15)</f>
        <v>180</v>
      </c>
      <c r="K168" s="19">
        <v>1</v>
      </c>
      <c r="L168" s="2">
        <f t="shared" ca="1" si="165"/>
        <v>2.0347199999999996</v>
      </c>
      <c r="M168" s="2">
        <f t="shared" ca="1" si="163"/>
        <v>2.0347199999999996</v>
      </c>
      <c r="N168" s="254"/>
      <c r="O168" s="39"/>
      <c r="P168" s="12"/>
      <c r="Q168" s="14">
        <f t="shared" ca="1" si="166"/>
        <v>0</v>
      </c>
      <c r="R168" s="34"/>
      <c r="S168"/>
      <c r="T168" s="34"/>
      <c r="W168" s="65">
        <f ca="1">SUMIF(Металл!E$3:E$258,G168,Металл!A$3:A$258)</f>
        <v>0</v>
      </c>
    </row>
    <row r="169" spans="2:24" ht="18.75" customHeight="1" x14ac:dyDescent="0.3">
      <c r="B169" s="44">
        <f t="shared" si="167"/>
        <v>303</v>
      </c>
      <c r="C169" s="36">
        <f t="shared" ca="1" si="164"/>
        <v>0</v>
      </c>
      <c r="E169" s="251"/>
      <c r="F169" s="19">
        <v>303</v>
      </c>
      <c r="G169" s="4">
        <f ca="1">SUMIF(Детали!B$3:B$8683,F169,Детали!D$3:D$15)</f>
        <v>8</v>
      </c>
      <c r="H169" s="63" t="s">
        <v>9</v>
      </c>
      <c r="I169" s="116">
        <f ca="1">SUMIF(Детали!B$3:B$8683,F169,Детали!F$3:F$15)</f>
        <v>70</v>
      </c>
      <c r="J169" s="40">
        <f ca="1">SUMIF(Детали!B$3:B$8683,F169,Детали!G$3:G$15)</f>
        <v>180</v>
      </c>
      <c r="K169" s="19">
        <v>4</v>
      </c>
      <c r="L169" s="2">
        <f t="shared" ca="1" si="165"/>
        <v>0.79127999999999998</v>
      </c>
      <c r="M169" s="2">
        <f t="shared" ca="1" si="163"/>
        <v>3.1651199999999999</v>
      </c>
      <c r="N169" s="254"/>
      <c r="O169" s="39"/>
      <c r="P169" s="12"/>
      <c r="Q169" s="14">
        <f t="shared" ca="1" si="166"/>
        <v>0</v>
      </c>
      <c r="R169" s="34"/>
      <c r="S169"/>
      <c r="T169" s="34"/>
      <c r="W169" s="65">
        <f ca="1">SUMIF(Металл!E$3:E$258,G169,Металл!A$3:A$258)</f>
        <v>0</v>
      </c>
    </row>
    <row r="170" spans="2:24" ht="18.75" customHeight="1" x14ac:dyDescent="0.3">
      <c r="B170" s="44">
        <f t="shared" si="167"/>
        <v>304</v>
      </c>
      <c r="C170" s="36">
        <f t="shared" ca="1" si="164"/>
        <v>0</v>
      </c>
      <c r="E170" s="251"/>
      <c r="F170" s="19">
        <v>304</v>
      </c>
      <c r="G170" s="4">
        <f ca="1">SUMIF(Детали!B$3:B$8683,F170,Детали!D$3:D$15)</f>
        <v>8</v>
      </c>
      <c r="H170" s="63" t="s">
        <v>9</v>
      </c>
      <c r="I170" s="116">
        <f ca="1">SUMIF(Детали!B$3:B$8683,F170,Детали!F$3:F$15)</f>
        <v>70</v>
      </c>
      <c r="J170" s="40">
        <f ca="1">SUMIF(Детали!B$3:B$8683,F170,Детали!G$3:G$15)</f>
        <v>100</v>
      </c>
      <c r="K170" s="19">
        <v>1</v>
      </c>
      <c r="L170" s="2">
        <f t="shared" ca="1" si="165"/>
        <v>0.43959999999999999</v>
      </c>
      <c r="M170" s="2">
        <f t="shared" ca="1" si="163"/>
        <v>0.43959999999999999</v>
      </c>
      <c r="N170" s="254"/>
      <c r="O170" s="39"/>
      <c r="P170" s="12"/>
      <c r="Q170" s="14">
        <f t="shared" ca="1" si="166"/>
        <v>0</v>
      </c>
      <c r="R170" s="34"/>
      <c r="S170"/>
      <c r="T170" s="34"/>
      <c r="W170" s="65">
        <f ca="1">SUMIF(Металл!E$3:E$258,G170,Металл!A$3:A$258)</f>
        <v>0</v>
      </c>
    </row>
    <row r="171" spans="2:24" ht="18.75" customHeight="1" x14ac:dyDescent="0.3">
      <c r="B171" s="44"/>
      <c r="C171" s="36"/>
      <c r="E171" s="252"/>
      <c r="F171" s="247" t="s">
        <v>352</v>
      </c>
      <c r="G171" s="248"/>
      <c r="H171" s="248"/>
      <c r="I171" s="248"/>
      <c r="J171" s="248"/>
      <c r="K171" s="248"/>
      <c r="L171" s="249"/>
      <c r="M171" s="2">
        <f ca="1">SUM(M166:M170)*$AA$1</f>
        <v>3.1565056</v>
      </c>
      <c r="N171" s="255"/>
      <c r="O171" s="39"/>
      <c r="P171" s="12"/>
      <c r="Q171" s="14">
        <f t="shared" ca="1" si="166"/>
        <v>0</v>
      </c>
      <c r="R171" s="34"/>
      <c r="S171" s="34"/>
      <c r="T171" s="34"/>
      <c r="W171" s="65">
        <f>SUMIF(Металл!E$3:E$258,G171,Металл!A$3:A$258)</f>
        <v>0</v>
      </c>
    </row>
    <row r="172" spans="2:24" ht="18.75" customHeight="1" x14ac:dyDescent="0.3">
      <c r="B172" s="44">
        <f>F172</f>
        <v>307</v>
      </c>
      <c r="C172" s="36">
        <f ca="1">K172*Q172/M172</f>
        <v>0</v>
      </c>
      <c r="E172" s="250"/>
      <c r="F172" s="19">
        <v>307</v>
      </c>
      <c r="G172" s="247" t="s">
        <v>55</v>
      </c>
      <c r="H172" s="248"/>
      <c r="I172" s="249"/>
      <c r="J172" s="40">
        <f ca="1">SUMIF(Детали!B$3:B$8683,F172,Детали!G$3:G$15)</f>
        <v>6640</v>
      </c>
      <c r="K172" s="19">
        <v>1</v>
      </c>
      <c r="L172" s="2">
        <f t="shared" ref="L172" ca="1" si="168">J172/1000*W172</f>
        <v>162.81279999999998</v>
      </c>
      <c r="M172" s="2">
        <f t="shared" ref="M172:M175" ca="1" si="169">L172*K172</f>
        <v>162.81279999999998</v>
      </c>
      <c r="N172" s="253">
        <f ca="1">ROUNDUP(SUM(M172:M176),1)</f>
        <v>189.7</v>
      </c>
      <c r="O172" s="39"/>
      <c r="P172" s="12"/>
      <c r="Q172" s="14">
        <f ca="1">M172*(SUMIF(Отправочная!B$4:B$34,E172,Отправочная!C$4:C$34)+A172)</f>
        <v>0</v>
      </c>
      <c r="R172" s="34"/>
      <c r="S172" s="34"/>
      <c r="T172" s="34"/>
      <c r="W172" s="65">
        <f>SUMIF(Металл!E$3:E$258,G172,Металл!A$3:A$258)</f>
        <v>24.52</v>
      </c>
      <c r="X172">
        <v>3255</v>
      </c>
    </row>
    <row r="173" spans="2:24" ht="18.75" customHeight="1" x14ac:dyDescent="0.3">
      <c r="B173" s="44">
        <f>F173</f>
        <v>301</v>
      </c>
      <c r="C173" s="36">
        <f t="shared" ref="C173:C175" ca="1" si="170">K173*Q173/M173</f>
        <v>0</v>
      </c>
      <c r="E173" s="251"/>
      <c r="F173" s="19">
        <v>301</v>
      </c>
      <c r="G173" s="4">
        <f ca="1">SUMIF(Детали!B$3:B$8683,F173,Детали!D$3:D$15)</f>
        <v>8</v>
      </c>
      <c r="H173" s="63" t="s">
        <v>9</v>
      </c>
      <c r="I173" s="116">
        <f ca="1">SUMIF(Детали!B$3:B$8683,F173,Детали!F$3:F$15)</f>
        <v>180</v>
      </c>
      <c r="J173" s="40">
        <f ca="1">SUMIF(Детали!B$3:B$8683,F173,Детали!G$3:G$15)</f>
        <v>300</v>
      </c>
      <c r="K173" s="19">
        <v>2</v>
      </c>
      <c r="L173" s="2">
        <f t="shared" ref="L173:L175" ca="1" si="171">7.85/1000000*(I173*J173*G173)</f>
        <v>3.3911999999999995</v>
      </c>
      <c r="M173" s="2">
        <f t="shared" ca="1" si="169"/>
        <v>6.7823999999999991</v>
      </c>
      <c r="N173" s="254"/>
      <c r="O173" s="39"/>
      <c r="P173" s="12"/>
      <c r="Q173" s="14">
        <f t="shared" ref="Q173:Q176" ca="1" si="172">M173*C172/K172</f>
        <v>0</v>
      </c>
      <c r="R173" s="34"/>
      <c r="S173"/>
      <c r="T173" s="34"/>
      <c r="W173" s="65">
        <f ca="1">SUMIF(Металл!E$3:E$258,G173,Металл!A$3:A$258)</f>
        <v>0</v>
      </c>
    </row>
    <row r="174" spans="2:24" ht="18.75" customHeight="1" x14ac:dyDescent="0.3">
      <c r="B174" s="44">
        <f t="shared" ref="B174:B175" si="173">F174</f>
        <v>303</v>
      </c>
      <c r="C174" s="36">
        <f t="shared" ca="1" si="170"/>
        <v>0</v>
      </c>
      <c r="E174" s="251"/>
      <c r="F174" s="19">
        <v>303</v>
      </c>
      <c r="G174" s="4">
        <f ca="1">SUMIF(Детали!B$3:B$8683,F174,Детали!D$3:D$15)</f>
        <v>8</v>
      </c>
      <c r="H174" s="63" t="s">
        <v>9</v>
      </c>
      <c r="I174" s="116">
        <f ca="1">SUMIF(Детали!B$3:B$8683,F174,Детали!F$3:F$15)</f>
        <v>70</v>
      </c>
      <c r="J174" s="40">
        <f ca="1">SUMIF(Детали!B$3:B$8683,F174,Детали!G$3:G$15)</f>
        <v>180</v>
      </c>
      <c r="K174" s="19">
        <v>4</v>
      </c>
      <c r="L174" s="2">
        <f t="shared" ca="1" si="171"/>
        <v>0.79127999999999998</v>
      </c>
      <c r="M174" s="2">
        <f t="shared" ca="1" si="169"/>
        <v>3.1651199999999999</v>
      </c>
      <c r="N174" s="254"/>
      <c r="O174" s="39"/>
      <c r="P174" s="12"/>
      <c r="Q174" s="14">
        <f t="shared" ca="1" si="172"/>
        <v>0</v>
      </c>
      <c r="R174" s="34"/>
      <c r="S174"/>
      <c r="T174" s="34"/>
      <c r="W174" s="65">
        <f ca="1">SUMIF(Металл!E$3:E$258,G174,Металл!A$3:A$258)</f>
        <v>0</v>
      </c>
    </row>
    <row r="175" spans="2:24" ht="18.75" customHeight="1" x14ac:dyDescent="0.3">
      <c r="B175" s="44">
        <f t="shared" si="173"/>
        <v>309</v>
      </c>
      <c r="C175" s="36">
        <f t="shared" ca="1" si="170"/>
        <v>0</v>
      </c>
      <c r="E175" s="251"/>
      <c r="F175" s="19">
        <v>309</v>
      </c>
      <c r="G175" s="4">
        <f ca="1">SUMIF(Детали!B$3:B$8683,F175,Детали!D$3:D$15)</f>
        <v>8</v>
      </c>
      <c r="H175" s="63" t="s">
        <v>9</v>
      </c>
      <c r="I175" s="116">
        <f ca="1">SUMIF(Детали!B$3:B$8683,F175,Детали!F$3:F$15)</f>
        <v>248</v>
      </c>
      <c r="J175" s="40">
        <f ca="1">SUMIF(Детали!B$3:B$8683,F175,Детали!G$3:G$15)</f>
        <v>308</v>
      </c>
      <c r="K175" s="19">
        <v>2</v>
      </c>
      <c r="L175" s="2">
        <f t="shared" ca="1" si="171"/>
        <v>4.7969151999999999</v>
      </c>
      <c r="M175" s="2">
        <f t="shared" ca="1" si="169"/>
        <v>9.5938303999999999</v>
      </c>
      <c r="N175" s="254"/>
      <c r="O175" s="39"/>
      <c r="P175" s="12"/>
      <c r="Q175" s="14">
        <f t="shared" ca="1" si="172"/>
        <v>0</v>
      </c>
      <c r="R175" s="34"/>
      <c r="S175"/>
      <c r="T175" s="34"/>
      <c r="W175" s="65">
        <f ca="1">SUMIF(Металл!E$3:E$258,G175,Металл!A$3:A$258)</f>
        <v>0</v>
      </c>
    </row>
    <row r="176" spans="2:24" ht="18.75" customHeight="1" x14ac:dyDescent="0.3">
      <c r="B176" s="44"/>
      <c r="C176" s="36"/>
      <c r="E176" s="252"/>
      <c r="F176" s="247" t="s">
        <v>352</v>
      </c>
      <c r="G176" s="248"/>
      <c r="H176" s="248"/>
      <c r="I176" s="248"/>
      <c r="J176" s="248"/>
      <c r="K176" s="248"/>
      <c r="L176" s="249"/>
      <c r="M176" s="2">
        <f ca="1">SUM(M172:M175)*$AA$1</f>
        <v>7.2941660159999993</v>
      </c>
      <c r="N176" s="255"/>
      <c r="O176" s="39"/>
      <c r="P176" s="12"/>
      <c r="Q176" s="14">
        <f t="shared" ca="1" si="172"/>
        <v>0</v>
      </c>
      <c r="R176" s="34"/>
      <c r="S176" s="34"/>
      <c r="T176" s="34"/>
      <c r="W176" s="65">
        <f>SUMIF(Металл!E$3:E$258,G176,Металл!A$3:A$258)</f>
        <v>0</v>
      </c>
    </row>
    <row r="177" spans="2:24" ht="18.75" customHeight="1" x14ac:dyDescent="0.3">
      <c r="B177" s="44">
        <f>F177</f>
        <v>308</v>
      </c>
      <c r="C177" s="36">
        <f ca="1">K177*Q177/M177</f>
        <v>0</v>
      </c>
      <c r="E177" s="250"/>
      <c r="F177" s="19">
        <v>308</v>
      </c>
      <c r="G177" s="247" t="s">
        <v>55</v>
      </c>
      <c r="H177" s="248"/>
      <c r="I177" s="249"/>
      <c r="J177" s="40">
        <f ca="1">SUMIF(Детали!B$3:B$8683,F177,Детали!G$3:G$15)</f>
        <v>6317</v>
      </c>
      <c r="K177" s="19">
        <v>1</v>
      </c>
      <c r="L177" s="2">
        <f t="shared" ref="L177" ca="1" si="174">J177/1000*W177</f>
        <v>154.89284000000001</v>
      </c>
      <c r="M177" s="2">
        <f t="shared" ref="M177:M180" ca="1" si="175">L177*K177</f>
        <v>154.89284000000001</v>
      </c>
      <c r="N177" s="253">
        <f ca="1">ROUNDUP(SUM(M177:M181),1)</f>
        <v>182.29999999999998</v>
      </c>
      <c r="O177" s="39"/>
      <c r="P177" s="12"/>
      <c r="Q177" s="14">
        <f ca="1">M177*(SUMIF(Отправочная!B$4:B$34,E177,Отправочная!C$4:C$34)+A177)</f>
        <v>0</v>
      </c>
      <c r="R177" s="34"/>
      <c r="S177" s="34"/>
      <c r="T177" s="34"/>
      <c r="W177" s="65">
        <f>SUMIF(Металл!E$3:E$258,G177,Металл!A$3:A$258)</f>
        <v>24.52</v>
      </c>
      <c r="X177">
        <v>3255</v>
      </c>
    </row>
    <row r="178" spans="2:24" ht="18.75" customHeight="1" x14ac:dyDescent="0.3">
      <c r="B178" s="44">
        <f>F178</f>
        <v>301</v>
      </c>
      <c r="C178" s="36">
        <f t="shared" ref="C178:C180" ca="1" si="176">K178*Q178/M178</f>
        <v>0</v>
      </c>
      <c r="E178" s="251"/>
      <c r="F178" s="19">
        <v>301</v>
      </c>
      <c r="G178" s="4">
        <f ca="1">SUMIF(Детали!B$3:B$8683,F178,Детали!D$3:D$15)</f>
        <v>8</v>
      </c>
      <c r="H178" s="63" t="s">
        <v>9</v>
      </c>
      <c r="I178" s="116">
        <f ca="1">SUMIF(Детали!B$3:B$8683,F178,Детали!F$3:F$15)</f>
        <v>180</v>
      </c>
      <c r="J178" s="40">
        <f ca="1">SUMIF(Детали!B$3:B$8683,F178,Детали!G$3:G$15)</f>
        <v>300</v>
      </c>
      <c r="K178" s="19">
        <v>2</v>
      </c>
      <c r="L178" s="2">
        <f t="shared" ref="L178:L180" ca="1" si="177">7.85/1000000*(I178*J178*G178)</f>
        <v>3.3911999999999995</v>
      </c>
      <c r="M178" s="2">
        <f t="shared" ca="1" si="175"/>
        <v>6.7823999999999991</v>
      </c>
      <c r="N178" s="254"/>
      <c r="O178" s="39"/>
      <c r="P178" s="12"/>
      <c r="Q178" s="14">
        <f t="shared" ref="Q178:Q181" ca="1" si="178">M178*C177/K177</f>
        <v>0</v>
      </c>
      <c r="R178" s="34"/>
      <c r="S178"/>
      <c r="T178" s="34"/>
      <c r="W178" s="65">
        <f ca="1">SUMIF(Металл!E$3:E$258,G178,Металл!A$3:A$258)</f>
        <v>0</v>
      </c>
    </row>
    <row r="179" spans="2:24" ht="18.75" customHeight="1" x14ac:dyDescent="0.3">
      <c r="B179" s="44">
        <f t="shared" ref="B179:B180" si="179">F179</f>
        <v>303</v>
      </c>
      <c r="C179" s="36">
        <f t="shared" ca="1" si="176"/>
        <v>0</v>
      </c>
      <c r="E179" s="251"/>
      <c r="F179" s="19">
        <v>303</v>
      </c>
      <c r="G179" s="4">
        <f ca="1">SUMIF(Детали!B$3:B$8683,F179,Детали!D$3:D$15)</f>
        <v>8</v>
      </c>
      <c r="H179" s="63" t="s">
        <v>9</v>
      </c>
      <c r="I179" s="116">
        <f ca="1">SUMIF(Детали!B$3:B$8683,F179,Детали!F$3:F$15)</f>
        <v>70</v>
      </c>
      <c r="J179" s="40">
        <f ca="1">SUMIF(Детали!B$3:B$8683,F179,Детали!G$3:G$15)</f>
        <v>180</v>
      </c>
      <c r="K179" s="19">
        <v>4</v>
      </c>
      <c r="L179" s="2">
        <f t="shared" ca="1" si="177"/>
        <v>0.79127999999999998</v>
      </c>
      <c r="M179" s="2">
        <f t="shared" ca="1" si="175"/>
        <v>3.1651199999999999</v>
      </c>
      <c r="N179" s="254"/>
      <c r="O179" s="39"/>
      <c r="P179" s="12"/>
      <c r="Q179" s="14">
        <f t="shared" ca="1" si="178"/>
        <v>0</v>
      </c>
      <c r="R179" s="34"/>
      <c r="S179"/>
      <c r="T179" s="34"/>
      <c r="W179" s="65">
        <f ca="1">SUMIF(Металл!E$3:E$258,G179,Металл!A$3:A$258)</f>
        <v>0</v>
      </c>
    </row>
    <row r="180" spans="2:24" ht="18.75" customHeight="1" x14ac:dyDescent="0.3">
      <c r="B180" s="44">
        <f t="shared" si="179"/>
        <v>310</v>
      </c>
      <c r="C180" s="36">
        <f t="shared" ca="1" si="176"/>
        <v>0</v>
      </c>
      <c r="E180" s="251"/>
      <c r="F180" s="19">
        <v>310</v>
      </c>
      <c r="G180" s="4">
        <f ca="1">SUMIF(Детали!B$3:B$8683,F180,Детали!D$3:D$15)</f>
        <v>8</v>
      </c>
      <c r="H180" s="63" t="s">
        <v>9</v>
      </c>
      <c r="I180" s="116">
        <f ca="1">SUMIF(Детали!B$3:B$8683,F180,Детали!F$3:F$15)</f>
        <v>266</v>
      </c>
      <c r="J180" s="40">
        <f ca="1">SUMIF(Детали!B$3:B$8683,F180,Детали!G$3:G$15)</f>
        <v>311</v>
      </c>
      <c r="K180" s="19">
        <v>2</v>
      </c>
      <c r="L180" s="2">
        <f t="shared" ca="1" si="177"/>
        <v>5.1951927999999992</v>
      </c>
      <c r="M180" s="2">
        <f t="shared" ca="1" si="175"/>
        <v>10.390385599999998</v>
      </c>
      <c r="N180" s="254"/>
      <c r="O180" s="39"/>
      <c r="P180" s="12"/>
      <c r="Q180" s="14">
        <f t="shared" ca="1" si="178"/>
        <v>0</v>
      </c>
      <c r="R180" s="34"/>
      <c r="S180"/>
      <c r="T180" s="34"/>
      <c r="W180" s="65">
        <f ca="1">SUMIF(Металл!E$3:E$258,G180,Металл!A$3:A$258)</f>
        <v>0</v>
      </c>
    </row>
    <row r="181" spans="2:24" ht="18.75" customHeight="1" x14ac:dyDescent="0.3">
      <c r="B181" s="44"/>
      <c r="C181" s="36"/>
      <c r="E181" s="252"/>
      <c r="F181" s="247" t="s">
        <v>352</v>
      </c>
      <c r="G181" s="248"/>
      <c r="H181" s="248"/>
      <c r="I181" s="248"/>
      <c r="J181" s="248"/>
      <c r="K181" s="248"/>
      <c r="L181" s="249"/>
      <c r="M181" s="2">
        <f ca="1">SUM(M177:M180)*$AA$1</f>
        <v>7.0092298240000002</v>
      </c>
      <c r="N181" s="255"/>
      <c r="O181" s="39"/>
      <c r="P181" s="12"/>
      <c r="Q181" s="14">
        <f t="shared" ca="1" si="178"/>
        <v>0</v>
      </c>
      <c r="R181" s="34"/>
      <c r="S181" s="34"/>
      <c r="T181" s="34"/>
      <c r="W181" s="65">
        <f>SUMIF(Металл!E$3:E$258,G181,Металл!A$3:A$258)</f>
        <v>0</v>
      </c>
    </row>
    <row r="182" spans="2:24" ht="18.75" customHeight="1" x14ac:dyDescent="0.3">
      <c r="B182" s="44"/>
      <c r="C182" s="36"/>
      <c r="E182" s="143"/>
      <c r="F182" s="40"/>
      <c r="G182" s="63"/>
      <c r="H182" s="63"/>
      <c r="I182" s="63"/>
      <c r="J182" s="63"/>
      <c r="K182" s="63"/>
      <c r="L182" s="64"/>
      <c r="M182" s="2"/>
      <c r="N182" s="152"/>
      <c r="O182" s="39"/>
      <c r="P182" s="12"/>
      <c r="Q182" s="14"/>
      <c r="R182" s="34"/>
      <c r="S182" s="34"/>
      <c r="T182" s="34"/>
    </row>
    <row r="183" spans="2:24" ht="18.75" customHeight="1" x14ac:dyDescent="0.3">
      <c r="B183" s="44"/>
      <c r="C183" s="36"/>
      <c r="E183" s="143"/>
      <c r="F183" s="40"/>
      <c r="G183" s="63"/>
      <c r="H183" s="63"/>
      <c r="I183" s="63"/>
      <c r="J183" s="63"/>
      <c r="K183" s="63"/>
      <c r="L183" s="64"/>
      <c r="M183" s="2"/>
      <c r="N183" s="152"/>
      <c r="O183" s="39"/>
      <c r="P183" s="12"/>
      <c r="Q183" s="14"/>
      <c r="R183" s="34"/>
      <c r="S183" s="34"/>
      <c r="T183" s="34"/>
    </row>
    <row r="184" spans="2:24" ht="18.75" customHeight="1" x14ac:dyDescent="0.3">
      <c r="B184" s="44"/>
      <c r="C184" s="36"/>
      <c r="E184" s="143"/>
      <c r="F184" s="40"/>
      <c r="G184" s="63"/>
      <c r="H184" s="63"/>
      <c r="I184" s="63"/>
      <c r="J184" s="63"/>
      <c r="K184" s="63"/>
      <c r="L184" s="64"/>
      <c r="M184" s="2"/>
      <c r="N184" s="152"/>
      <c r="O184" s="39"/>
      <c r="P184" s="12"/>
      <c r="Q184" s="14"/>
      <c r="R184" s="34"/>
      <c r="S184" s="34"/>
      <c r="T184" s="34"/>
    </row>
    <row r="185" spans="2:24" ht="18.75" customHeight="1" x14ac:dyDescent="0.3">
      <c r="B185" s="44"/>
      <c r="C185" s="36"/>
      <c r="E185" s="143"/>
      <c r="F185" s="40"/>
      <c r="G185" s="63"/>
      <c r="H185" s="63"/>
      <c r="I185" s="63"/>
      <c r="J185" s="63"/>
      <c r="K185" s="63"/>
      <c r="L185" s="64"/>
      <c r="M185" s="2"/>
      <c r="N185" s="152"/>
      <c r="O185" s="39"/>
      <c r="P185" s="12"/>
      <c r="Q185" s="14"/>
      <c r="R185" s="34"/>
      <c r="S185" s="34"/>
      <c r="T185" s="34"/>
    </row>
    <row r="186" spans="2:24" ht="18.75" customHeight="1" x14ac:dyDescent="0.3">
      <c r="B186" s="44"/>
      <c r="C186" s="36"/>
      <c r="E186" s="143"/>
      <c r="F186" s="40"/>
      <c r="G186" s="63"/>
      <c r="H186" s="63"/>
      <c r="I186" s="63"/>
      <c r="J186" s="63"/>
      <c r="K186" s="63"/>
      <c r="L186" s="64"/>
      <c r="M186" s="2"/>
      <c r="N186" s="152"/>
      <c r="O186" s="39"/>
      <c r="P186" s="12"/>
      <c r="Q186" s="14"/>
      <c r="R186" s="34"/>
      <c r="S186" s="34"/>
      <c r="T186" s="34"/>
    </row>
    <row r="187" spans="2:24" ht="18.75" customHeight="1" x14ac:dyDescent="0.3">
      <c r="B187" s="44">
        <f>F187</f>
        <v>313</v>
      </c>
      <c r="C187" s="36">
        <f ca="1">K187*Q187/M187</f>
        <v>0</v>
      </c>
      <c r="E187" s="250"/>
      <c r="F187" s="19">
        <v>313</v>
      </c>
      <c r="G187" s="247" t="s">
        <v>71</v>
      </c>
      <c r="H187" s="248"/>
      <c r="I187" s="249"/>
      <c r="J187" s="40">
        <f ca="1">SUMIF(Детали!B$3:B$8683,F187,Детали!G$3:G$15)</f>
        <v>5215</v>
      </c>
      <c r="K187" s="19">
        <v>1</v>
      </c>
      <c r="L187" s="2">
        <f t="shared" ref="L187" ca="1" si="180">J187/1000*W187</f>
        <v>61.171950000000002</v>
      </c>
      <c r="M187" s="2">
        <f t="shared" ref="M187:M189" ca="1" si="181">L187*K187</f>
        <v>61.171950000000002</v>
      </c>
      <c r="N187" s="253">
        <f ca="1">ROUNDUP(SUM(M187:M190),1)</f>
        <v>72.899999999999991</v>
      </c>
      <c r="O187" s="39"/>
      <c r="P187" s="12"/>
      <c r="Q187" s="14">
        <f ca="1">M187*(SUMIF(Отправочная!B$4:B$34,E187,Отправочная!C$4:C$34)+A187)</f>
        <v>0</v>
      </c>
      <c r="R187" s="34"/>
      <c r="S187" s="34"/>
      <c r="T187" s="34"/>
      <c r="W187" s="65">
        <f>SUMIF(Металл!E$3:E$258,G187,Металл!A$3:A$258)</f>
        <v>11.73</v>
      </c>
    </row>
    <row r="188" spans="2:24" ht="18.75" customHeight="1" x14ac:dyDescent="0.3">
      <c r="B188" s="44">
        <f>F188</f>
        <v>311</v>
      </c>
      <c r="C188" s="36">
        <f t="shared" ref="C188:C189" ca="1" si="182">K188*Q188/M188</f>
        <v>0</v>
      </c>
      <c r="E188" s="251"/>
      <c r="F188" s="19">
        <v>311</v>
      </c>
      <c r="G188" s="4">
        <f ca="1">SUMIF(Детали!B$3:B$8683,F188,Детали!D$3:D$15)</f>
        <v>8</v>
      </c>
      <c r="H188" s="63" t="s">
        <v>9</v>
      </c>
      <c r="I188" s="116">
        <f ca="1">SUMIF(Детали!B$3:B$8683,F188,Детали!F$3:F$15)</f>
        <v>160</v>
      </c>
      <c r="J188" s="40">
        <f ca="1">SUMIF(Детали!B$3:B$8683,F188,Детали!G$3:G$15)</f>
        <v>260</v>
      </c>
      <c r="K188" s="19">
        <v>2</v>
      </c>
      <c r="L188" s="2">
        <f t="shared" ref="L188:L189" ca="1" si="183">7.85/1000000*(I188*J188*G188)</f>
        <v>2.6124799999999997</v>
      </c>
      <c r="M188" s="2">
        <f t="shared" ca="1" si="181"/>
        <v>5.2249599999999994</v>
      </c>
      <c r="N188" s="254"/>
      <c r="O188" s="39"/>
      <c r="P188" s="12"/>
      <c r="Q188" s="14">
        <f t="shared" ref="Q188:Q190" ca="1" si="184">M188*C187/K187</f>
        <v>0</v>
      </c>
      <c r="R188" s="34"/>
      <c r="S188"/>
      <c r="T188" s="34"/>
      <c r="W188" s="65">
        <f ca="1">SUMIF(Металл!E$3:E$258,G188,Металл!A$3:A$258)</f>
        <v>0</v>
      </c>
    </row>
    <row r="189" spans="2:24" ht="18.75" customHeight="1" x14ac:dyDescent="0.3">
      <c r="B189" s="44">
        <f t="shared" ref="B189" si="185">F189</f>
        <v>312</v>
      </c>
      <c r="C189" s="36">
        <f t="shared" ca="1" si="182"/>
        <v>0</v>
      </c>
      <c r="E189" s="251"/>
      <c r="F189" s="19">
        <v>312</v>
      </c>
      <c r="G189" s="4">
        <f ca="1">SUMIF(Детали!B$3:B$8683,F189,Детали!D$3:D$15)</f>
        <v>8</v>
      </c>
      <c r="H189" s="63" t="s">
        <v>9</v>
      </c>
      <c r="I189" s="116">
        <f ca="1">SUMIF(Детали!B$3:B$8683,F189,Детали!F$3:F$15)</f>
        <v>60</v>
      </c>
      <c r="J189" s="40">
        <f ca="1">SUMIF(Детали!B$3:B$8683,F189,Детали!G$3:G$15)</f>
        <v>160</v>
      </c>
      <c r="K189" s="19">
        <v>6</v>
      </c>
      <c r="L189" s="2">
        <f t="shared" ca="1" si="183"/>
        <v>0.60287999999999997</v>
      </c>
      <c r="M189" s="2">
        <f t="shared" ca="1" si="181"/>
        <v>3.6172800000000001</v>
      </c>
      <c r="N189" s="254"/>
      <c r="O189" s="39"/>
      <c r="P189" s="12"/>
      <c r="Q189" s="14">
        <f t="shared" ca="1" si="184"/>
        <v>0</v>
      </c>
      <c r="R189" s="34"/>
      <c r="S189"/>
      <c r="T189" s="34"/>
      <c r="W189" s="65">
        <f ca="1">SUMIF(Металл!E$3:E$258,G189,Металл!A$3:A$258)</f>
        <v>0</v>
      </c>
    </row>
    <row r="190" spans="2:24" ht="18.75" customHeight="1" x14ac:dyDescent="0.3">
      <c r="B190" s="44"/>
      <c r="C190" s="36"/>
      <c r="E190" s="252"/>
      <c r="F190" s="247" t="s">
        <v>352</v>
      </c>
      <c r="G190" s="248"/>
      <c r="H190" s="248"/>
      <c r="I190" s="248"/>
      <c r="J190" s="248"/>
      <c r="K190" s="248"/>
      <c r="L190" s="249"/>
      <c r="M190" s="2">
        <f ca="1">SUM(M187:M189)*$AA$1</f>
        <v>2.8005675999999999</v>
      </c>
      <c r="N190" s="255"/>
      <c r="O190" s="39"/>
      <c r="P190" s="12"/>
      <c r="Q190" s="14">
        <f t="shared" ca="1" si="184"/>
        <v>0</v>
      </c>
      <c r="R190" s="34"/>
      <c r="S190" s="34"/>
      <c r="T190" s="34"/>
      <c r="W190" s="65">
        <f>SUMIF(Металл!E$3:E$258,G190,Металл!A$3:A$258)</f>
        <v>0</v>
      </c>
    </row>
    <row r="191" spans="2:24" ht="18.75" customHeight="1" x14ac:dyDescent="0.3">
      <c r="B191" s="44">
        <f>F191</f>
        <v>314</v>
      </c>
      <c r="C191" s="36">
        <f ca="1">K191*Q191/M191</f>
        <v>0</v>
      </c>
      <c r="E191" s="250"/>
      <c r="F191" s="19">
        <v>314</v>
      </c>
      <c r="G191" s="247" t="s">
        <v>71</v>
      </c>
      <c r="H191" s="248"/>
      <c r="I191" s="249"/>
      <c r="J191" s="40">
        <f ca="1">SUMIF(Детали!B$3:B$8683,F191,Детали!G$3:G$15)</f>
        <v>5185</v>
      </c>
      <c r="K191" s="19">
        <v>1</v>
      </c>
      <c r="L191" s="2">
        <f t="shared" ref="L191" ca="1" si="186">J191/1000*W191</f>
        <v>60.820049999999995</v>
      </c>
      <c r="M191" s="2">
        <f t="shared" ref="M191:M193" ca="1" si="187">L191*K191</f>
        <v>60.820049999999995</v>
      </c>
      <c r="N191" s="253">
        <f ca="1">ROUNDUP(SUM(M191:M194),1)</f>
        <v>72.5</v>
      </c>
      <c r="O191" s="39"/>
      <c r="P191" s="12"/>
      <c r="Q191" s="14">
        <f ca="1">M191*(SUMIF(Отправочная!B$4:B$34,E191,Отправочная!C$4:C$34)+A191)</f>
        <v>0</v>
      </c>
      <c r="R191" s="34"/>
      <c r="S191" s="34"/>
      <c r="T191" s="34"/>
      <c r="W191" s="65">
        <f>SUMIF(Металл!E$3:E$258,G191,Металл!A$3:A$258)</f>
        <v>11.73</v>
      </c>
    </row>
    <row r="192" spans="2:24" ht="18.75" customHeight="1" x14ac:dyDescent="0.3">
      <c r="B192" s="44">
        <f>F192</f>
        <v>311</v>
      </c>
      <c r="C192" s="36">
        <f t="shared" ref="C192:C193" ca="1" si="188">K192*Q192/M192</f>
        <v>0</v>
      </c>
      <c r="E192" s="251"/>
      <c r="F192" s="19">
        <v>311</v>
      </c>
      <c r="G192" s="4">
        <f ca="1">SUMIF(Детали!B$3:B$8683,F192,Детали!D$3:D$15)</f>
        <v>8</v>
      </c>
      <c r="H192" s="63" t="s">
        <v>9</v>
      </c>
      <c r="I192" s="116">
        <f ca="1">SUMIF(Детали!B$3:B$8683,F192,Детали!F$3:F$15)</f>
        <v>160</v>
      </c>
      <c r="J192" s="40">
        <f ca="1">SUMIF(Детали!B$3:B$8683,F192,Детали!G$3:G$15)</f>
        <v>260</v>
      </c>
      <c r="K192" s="19">
        <v>2</v>
      </c>
      <c r="L192" s="2">
        <f t="shared" ref="L192:L193" ca="1" si="189">7.85/1000000*(I192*J192*G192)</f>
        <v>2.6124799999999997</v>
      </c>
      <c r="M192" s="2">
        <f t="shared" ca="1" si="187"/>
        <v>5.2249599999999994</v>
      </c>
      <c r="N192" s="254"/>
      <c r="O192" s="39"/>
      <c r="P192" s="12"/>
      <c r="Q192" s="14">
        <f t="shared" ref="Q192:Q194" ca="1" si="190">M192*C191/K191</f>
        <v>0</v>
      </c>
      <c r="R192" s="34"/>
      <c r="S192"/>
      <c r="T192" s="34"/>
      <c r="W192" s="65">
        <f ca="1">SUMIF(Металл!E$3:E$258,G192,Металл!A$3:A$258)</f>
        <v>0</v>
      </c>
    </row>
    <row r="193" spans="1:23" ht="18.75" customHeight="1" x14ac:dyDescent="0.3">
      <c r="B193" s="44">
        <f t="shared" ref="B193" si="191">F193</f>
        <v>312</v>
      </c>
      <c r="C193" s="36">
        <f t="shared" ca="1" si="188"/>
        <v>0</v>
      </c>
      <c r="E193" s="251"/>
      <c r="F193" s="19">
        <v>312</v>
      </c>
      <c r="G193" s="4">
        <f ca="1">SUMIF(Детали!B$3:B$8683,F193,Детали!D$3:D$15)</f>
        <v>8</v>
      </c>
      <c r="H193" s="63" t="s">
        <v>9</v>
      </c>
      <c r="I193" s="116">
        <f ca="1">SUMIF(Детали!B$3:B$8683,F193,Детали!F$3:F$15)</f>
        <v>60</v>
      </c>
      <c r="J193" s="40">
        <f ca="1">SUMIF(Детали!B$3:B$8683,F193,Детали!G$3:G$15)</f>
        <v>160</v>
      </c>
      <c r="K193" s="19">
        <v>6</v>
      </c>
      <c r="L193" s="2">
        <f t="shared" ca="1" si="189"/>
        <v>0.60287999999999997</v>
      </c>
      <c r="M193" s="2">
        <f t="shared" ca="1" si="187"/>
        <v>3.6172800000000001</v>
      </c>
      <c r="N193" s="254"/>
      <c r="O193" s="39"/>
      <c r="P193" s="12"/>
      <c r="Q193" s="14">
        <f t="shared" ca="1" si="190"/>
        <v>0</v>
      </c>
      <c r="R193" s="34"/>
      <c r="S193"/>
      <c r="T193" s="34"/>
      <c r="W193" s="65">
        <f ca="1">SUMIF(Металл!E$3:E$258,G193,Металл!A$3:A$258)</f>
        <v>0</v>
      </c>
    </row>
    <row r="194" spans="1:23" ht="18.75" customHeight="1" x14ac:dyDescent="0.3">
      <c r="B194" s="44"/>
      <c r="C194" s="36"/>
      <c r="E194" s="252"/>
      <c r="F194" s="247" t="s">
        <v>352</v>
      </c>
      <c r="G194" s="248"/>
      <c r="H194" s="248"/>
      <c r="I194" s="248"/>
      <c r="J194" s="248"/>
      <c r="K194" s="248"/>
      <c r="L194" s="249"/>
      <c r="M194" s="2">
        <f ca="1">SUM(M191:M193)*$AA$1</f>
        <v>2.7864915999999993</v>
      </c>
      <c r="N194" s="255"/>
      <c r="O194" s="39"/>
      <c r="P194" s="12"/>
      <c r="Q194" s="14">
        <f t="shared" ca="1" si="190"/>
        <v>0</v>
      </c>
      <c r="R194" s="34"/>
      <c r="S194" s="34"/>
      <c r="T194" s="34"/>
      <c r="W194" s="65">
        <f>SUMIF(Металл!E$3:E$258,G194,Металл!A$3:A$258)</f>
        <v>0</v>
      </c>
    </row>
    <row r="195" spans="1:23" ht="18.75" customHeight="1" x14ac:dyDescent="0.3">
      <c r="B195" s="44">
        <f>F195</f>
        <v>315</v>
      </c>
      <c r="C195" s="36">
        <f ca="1">K195*Q195/M195</f>
        <v>0</v>
      </c>
      <c r="E195" s="250"/>
      <c r="F195" s="19">
        <v>315</v>
      </c>
      <c r="G195" s="247" t="s">
        <v>71</v>
      </c>
      <c r="H195" s="248"/>
      <c r="I195" s="249"/>
      <c r="J195" s="40">
        <f ca="1">SUMIF(Детали!B$3:B$8683,F195,Детали!G$3:G$15)</f>
        <v>3520</v>
      </c>
      <c r="K195" s="19">
        <v>1</v>
      </c>
      <c r="L195" s="2">
        <f t="shared" ref="L195" ca="1" si="192">J195/1000*W195</f>
        <v>41.2896</v>
      </c>
      <c r="M195" s="2">
        <f t="shared" ref="M195:M197" ca="1" si="193">L195*K195</f>
        <v>41.2896</v>
      </c>
      <c r="N195" s="253">
        <f ca="1">ROUNDUP(SUM(M195:M198),1)</f>
        <v>52.2</v>
      </c>
      <c r="O195" s="39"/>
      <c r="P195" s="12"/>
      <c r="Q195" s="14">
        <f ca="1">M195*(SUMIF(Отправочная!B$4:B$34,E195,Отправочная!C$4:C$34)+A195)</f>
        <v>0</v>
      </c>
      <c r="R195" s="34"/>
      <c r="S195" s="34"/>
      <c r="T195" s="34"/>
      <c r="W195" s="65">
        <f>SUMIF(Металл!E$3:E$258,G195,Металл!A$3:A$258)</f>
        <v>11.73</v>
      </c>
    </row>
    <row r="196" spans="1:23" ht="18.75" customHeight="1" x14ac:dyDescent="0.3">
      <c r="B196" s="44">
        <f>F196</f>
        <v>311</v>
      </c>
      <c r="C196" s="36">
        <f t="shared" ref="C196:C197" ca="1" si="194">K196*Q196/M196</f>
        <v>0</v>
      </c>
      <c r="E196" s="251"/>
      <c r="F196" s="19">
        <v>311</v>
      </c>
      <c r="G196" s="4">
        <f ca="1">SUMIF(Детали!B$3:B$8683,F196,Детали!D$3:D$15)</f>
        <v>8</v>
      </c>
      <c r="H196" s="63" t="s">
        <v>9</v>
      </c>
      <c r="I196" s="116">
        <f ca="1">SUMIF(Детали!B$3:B$8683,F196,Детали!F$3:F$15)</f>
        <v>160</v>
      </c>
      <c r="J196" s="40">
        <f ca="1">SUMIF(Детали!B$3:B$8683,F196,Детали!G$3:G$15)</f>
        <v>260</v>
      </c>
      <c r="K196" s="19">
        <v>2</v>
      </c>
      <c r="L196" s="2">
        <f t="shared" ref="L196:L197" ca="1" si="195">7.85/1000000*(I196*J196*G196)</f>
        <v>2.6124799999999997</v>
      </c>
      <c r="M196" s="2">
        <f t="shared" ca="1" si="193"/>
        <v>5.2249599999999994</v>
      </c>
      <c r="N196" s="254"/>
      <c r="O196" s="39"/>
      <c r="P196" s="12"/>
      <c r="Q196" s="14">
        <f t="shared" ref="Q196:Q198" ca="1" si="196">M196*C195/K195</f>
        <v>0</v>
      </c>
      <c r="R196" s="34"/>
      <c r="S196"/>
      <c r="T196" s="34"/>
      <c r="W196" s="65">
        <f ca="1">SUMIF(Металл!E$3:E$258,G196,Металл!A$3:A$258)</f>
        <v>0</v>
      </c>
    </row>
    <row r="197" spans="1:23" ht="18.75" customHeight="1" x14ac:dyDescent="0.3">
      <c r="B197" s="44">
        <f t="shared" ref="B197" si="197">F197</f>
        <v>312</v>
      </c>
      <c r="C197" s="36">
        <f t="shared" ca="1" si="194"/>
        <v>0</v>
      </c>
      <c r="E197" s="251"/>
      <c r="F197" s="19">
        <v>312</v>
      </c>
      <c r="G197" s="4">
        <f ca="1">SUMIF(Детали!B$3:B$8683,F197,Детали!D$3:D$15)</f>
        <v>8</v>
      </c>
      <c r="H197" s="63" t="s">
        <v>9</v>
      </c>
      <c r="I197" s="116">
        <f ca="1">SUMIF(Детали!B$3:B$8683,F197,Детали!F$3:F$15)</f>
        <v>60</v>
      </c>
      <c r="J197" s="40">
        <f ca="1">SUMIF(Детали!B$3:B$8683,F197,Детали!G$3:G$15)</f>
        <v>160</v>
      </c>
      <c r="K197" s="19">
        <v>6</v>
      </c>
      <c r="L197" s="2">
        <f t="shared" ca="1" si="195"/>
        <v>0.60287999999999997</v>
      </c>
      <c r="M197" s="2">
        <f t="shared" ca="1" si="193"/>
        <v>3.6172800000000001</v>
      </c>
      <c r="N197" s="254"/>
      <c r="O197" s="39"/>
      <c r="P197" s="12"/>
      <c r="Q197" s="14">
        <f t="shared" ca="1" si="196"/>
        <v>0</v>
      </c>
      <c r="R197" s="34"/>
      <c r="S197"/>
      <c r="T197" s="34"/>
      <c r="W197" s="65">
        <f ca="1">SUMIF(Металл!E$3:E$258,G197,Металл!A$3:A$258)</f>
        <v>0</v>
      </c>
    </row>
    <row r="198" spans="1:23" ht="18.75" customHeight="1" x14ac:dyDescent="0.3">
      <c r="B198" s="44"/>
      <c r="C198" s="36"/>
      <c r="E198" s="252"/>
      <c r="F198" s="247" t="s">
        <v>352</v>
      </c>
      <c r="G198" s="248"/>
      <c r="H198" s="248"/>
      <c r="I198" s="248"/>
      <c r="J198" s="248"/>
      <c r="K198" s="248"/>
      <c r="L198" s="249"/>
      <c r="M198" s="2">
        <f ca="1">SUM(M195:M197)*$AA$1</f>
        <v>2.0052736000000002</v>
      </c>
      <c r="N198" s="255"/>
      <c r="O198" s="39"/>
      <c r="P198" s="12"/>
      <c r="Q198" s="14">
        <f t="shared" ca="1" si="196"/>
        <v>0</v>
      </c>
      <c r="R198" s="34"/>
      <c r="S198" s="34"/>
      <c r="T198" s="34"/>
      <c r="W198" s="65">
        <f>SUMIF(Металл!E$3:E$258,G198,Металл!A$3:A$258)</f>
        <v>0</v>
      </c>
    </row>
    <row r="199" spans="1:23" ht="18.75" customHeight="1" x14ac:dyDescent="0.3">
      <c r="C199" s="55"/>
      <c r="E199" s="7"/>
      <c r="F199" s="7"/>
      <c r="G199" s="7"/>
      <c r="H199" s="7"/>
      <c r="I199" s="7"/>
      <c r="J199" s="7"/>
      <c r="K199" s="7"/>
      <c r="L199" s="7"/>
      <c r="M199" s="33"/>
      <c r="N199" s="35"/>
      <c r="O199" s="100"/>
      <c r="P199" s="12"/>
      <c r="Q199" s="34"/>
      <c r="R199" s="34"/>
      <c r="S199" s="34"/>
      <c r="T199" s="34"/>
    </row>
    <row r="200" spans="1:23" ht="18.75" customHeight="1" x14ac:dyDescent="0.3">
      <c r="C200" s="55"/>
      <c r="E200" s="7"/>
      <c r="F200" s="7"/>
      <c r="G200" s="7"/>
      <c r="H200" s="7"/>
      <c r="I200" s="7"/>
      <c r="J200" s="7"/>
      <c r="K200" s="7"/>
      <c r="L200" s="7"/>
      <c r="M200" s="33"/>
      <c r="N200" s="35"/>
      <c r="O200" s="100"/>
      <c r="P200" s="12"/>
      <c r="Q200" s="34"/>
      <c r="R200" s="34"/>
      <c r="S200" s="34"/>
      <c r="T200" s="34"/>
    </row>
    <row r="201" spans="1:23" ht="18.75" customHeight="1" x14ac:dyDescent="0.3">
      <c r="C201" s="55"/>
      <c r="E201" s="7"/>
      <c r="F201" s="7"/>
      <c r="G201" s="7"/>
      <c r="H201" s="7"/>
      <c r="I201" s="7"/>
      <c r="J201" s="7"/>
      <c r="K201" s="7"/>
      <c r="L201" s="7"/>
      <c r="M201" s="33"/>
      <c r="N201" s="35"/>
      <c r="O201" s="100"/>
      <c r="P201" s="12"/>
      <c r="Q201" s="34"/>
      <c r="R201" s="34"/>
      <c r="S201" s="34"/>
      <c r="T201" s="34"/>
    </row>
    <row r="202" spans="1:23" ht="18.75" customHeight="1" x14ac:dyDescent="0.3">
      <c r="C202" s="55"/>
      <c r="E202" s="7"/>
      <c r="G202" s="57"/>
      <c r="H202" s="7"/>
      <c r="I202" s="58"/>
      <c r="J202" s="7"/>
      <c r="K202" s="7"/>
      <c r="L202" s="33"/>
      <c r="M202" s="33"/>
      <c r="N202" s="35"/>
      <c r="P202" s="12"/>
      <c r="Q202" s="34"/>
      <c r="R202" s="34"/>
      <c r="S202" s="34"/>
      <c r="T202" s="34"/>
    </row>
    <row r="203" spans="1:23" ht="18.75" customHeight="1" x14ac:dyDescent="0.3">
      <c r="C203" s="55"/>
      <c r="E203" s="7"/>
      <c r="G203" s="57"/>
      <c r="H203" s="7"/>
      <c r="I203" s="58"/>
      <c r="J203" s="7"/>
      <c r="K203" s="7"/>
      <c r="L203" s="33"/>
      <c r="M203" s="33"/>
      <c r="N203" s="35"/>
      <c r="P203" s="12"/>
      <c r="Q203" s="34"/>
      <c r="R203" s="34"/>
      <c r="S203" s="34"/>
      <c r="T203" s="34"/>
    </row>
    <row r="204" spans="1:23" s="16" customFormat="1" ht="18.75" customHeight="1" x14ac:dyDescent="0.3">
      <c r="A204" s="106"/>
      <c r="B204" s="45"/>
      <c r="C204" s="67"/>
      <c r="E204" s="23"/>
      <c r="F204" s="91"/>
      <c r="G204" s="92"/>
      <c r="H204" s="23"/>
      <c r="I204" s="93"/>
      <c r="J204" s="23"/>
      <c r="K204" s="23"/>
      <c r="L204" s="24"/>
      <c r="M204" s="24"/>
      <c r="N204" s="25"/>
      <c r="O204" s="91"/>
      <c r="P204" s="20"/>
      <c r="Q204" s="24"/>
      <c r="R204" s="24"/>
      <c r="W204" s="65">
        <f>SUMIF(Металл!E$3:E$258,G204,Металл!A$3:A$258)</f>
        <v>0</v>
      </c>
    </row>
    <row r="205" spans="1:23" ht="18.75" customHeight="1" x14ac:dyDescent="0.3">
      <c r="B205" s="44"/>
      <c r="C205" s="36"/>
      <c r="E205" s="7"/>
      <c r="G205" s="57"/>
      <c r="H205" s="7"/>
      <c r="I205" s="58"/>
      <c r="J205" s="7"/>
      <c r="K205" s="7"/>
      <c r="L205" s="33"/>
      <c r="M205" s="33"/>
      <c r="N205" s="35"/>
      <c r="P205" s="12"/>
      <c r="Q205" s="34"/>
      <c r="R205" s="34"/>
      <c r="S205"/>
      <c r="T205"/>
      <c r="W205" s="65">
        <f>SUMIF(Металл!E$3:E$258,G205,Металл!A$3:A$258)</f>
        <v>0</v>
      </c>
    </row>
    <row r="206" spans="1:23" ht="18.75" customHeight="1" x14ac:dyDescent="0.3">
      <c r="B206" s="44"/>
      <c r="C206" s="36"/>
      <c r="E206" s="7"/>
      <c r="G206" s="57"/>
      <c r="H206" s="7"/>
      <c r="I206" s="58"/>
      <c r="J206" s="7"/>
      <c r="K206" s="7"/>
      <c r="L206" s="33"/>
      <c r="M206" s="33"/>
      <c r="N206" s="35"/>
      <c r="P206" s="12"/>
      <c r="Q206" s="34"/>
      <c r="R206" s="34"/>
      <c r="S206"/>
      <c r="T206"/>
    </row>
    <row r="210" spans="1:23" ht="18.75" customHeight="1" x14ac:dyDescent="0.3">
      <c r="B210" s="44"/>
      <c r="C210" s="36"/>
      <c r="E210" s="7"/>
      <c r="F210" s="7"/>
      <c r="G210" s="7"/>
      <c r="H210" s="7"/>
      <c r="I210" s="7"/>
      <c r="J210" s="7"/>
      <c r="K210" s="7"/>
      <c r="L210" s="7"/>
      <c r="M210" s="33"/>
      <c r="N210" s="35"/>
      <c r="O210" s="37"/>
      <c r="P210" s="12"/>
      <c r="Q210" s="34"/>
      <c r="R210" s="34"/>
      <c r="S210" s="34"/>
      <c r="T210" s="34"/>
    </row>
    <row r="211" spans="1:23" ht="18.75" customHeight="1" x14ac:dyDescent="0.3">
      <c r="B211" s="44"/>
      <c r="C211" s="36"/>
      <c r="E211" s="7"/>
      <c r="F211" s="7"/>
      <c r="G211" s="7"/>
      <c r="H211" s="7"/>
      <c r="I211" s="7"/>
      <c r="J211" s="7"/>
      <c r="K211" s="7"/>
      <c r="L211" s="7"/>
      <c r="M211" s="33"/>
      <c r="N211" s="35"/>
      <c r="O211" s="37"/>
      <c r="P211" s="12"/>
      <c r="Q211" s="34"/>
      <c r="R211" s="34"/>
      <c r="S211" s="34"/>
      <c r="T211" s="34"/>
      <c r="W211" s="65">
        <f>SUMIF(Металл!E$3:E$258,G211,Металл!A$3:A$258)</f>
        <v>0</v>
      </c>
    </row>
    <row r="212" spans="1:23" s="16" customFormat="1" ht="18.75" customHeight="1" x14ac:dyDescent="0.3">
      <c r="A212" s="106"/>
      <c r="B212" s="45"/>
      <c r="C212" s="67"/>
      <c r="E212" s="23"/>
      <c r="F212" s="91"/>
      <c r="G212" s="92"/>
      <c r="H212" s="23"/>
      <c r="I212" s="93"/>
      <c r="J212" s="23"/>
      <c r="K212" s="23"/>
      <c r="L212" s="24"/>
      <c r="M212" s="24"/>
      <c r="N212" s="25"/>
      <c r="O212" s="91"/>
      <c r="P212" s="20"/>
      <c r="Q212" s="24"/>
      <c r="R212" s="24"/>
      <c r="W212" s="65">
        <f>SUMIF(Металл!E$3:E$258,G212,Металл!A$3:A$258)</f>
        <v>0</v>
      </c>
    </row>
    <row r="213" spans="1:23" ht="18.75" customHeight="1" x14ac:dyDescent="0.3">
      <c r="B213" s="44"/>
      <c r="C213" s="36"/>
      <c r="E213" s="7"/>
      <c r="F213" s="7"/>
      <c r="G213" s="7"/>
      <c r="H213" s="7"/>
      <c r="I213" s="7"/>
      <c r="J213" s="7"/>
      <c r="K213" s="7"/>
      <c r="L213" s="7"/>
      <c r="M213" s="33"/>
      <c r="N213" s="35"/>
      <c r="O213" s="37"/>
      <c r="P213" s="12"/>
      <c r="Q213" s="34"/>
      <c r="R213" s="34"/>
      <c r="S213" s="34"/>
      <c r="T213" s="34"/>
      <c r="W213" s="65">
        <f>SUMIF(Металл!E$3:E$258,G213,Металл!A$3:A$258)</f>
        <v>0</v>
      </c>
    </row>
    <row r="214" spans="1:23" ht="18.75" customHeight="1" x14ac:dyDescent="0.3">
      <c r="B214" s="44">
        <f t="shared" ref="B214:B224" si="198">F214</f>
        <v>801</v>
      </c>
      <c r="C214" s="36">
        <f t="shared" ref="C214:C224" ca="1" si="199">K214*Q214/M214</f>
        <v>0</v>
      </c>
      <c r="E214" s="250"/>
      <c r="F214" s="19">
        <v>801</v>
      </c>
      <c r="G214" s="247" t="s">
        <v>43</v>
      </c>
      <c r="H214" s="248"/>
      <c r="I214" s="249"/>
      <c r="J214" s="40">
        <f ca="1">SUMIF(Детали!B$3:B$8683,F214,Детали!G$3:G$15)</f>
        <v>8714</v>
      </c>
      <c r="K214" s="19">
        <v>1</v>
      </c>
      <c r="L214" s="2">
        <f t="shared" ref="L214:L224" ca="1" si="200">J214/1000*W214</f>
        <v>60.039459999999998</v>
      </c>
      <c r="M214" s="2">
        <f t="shared" ref="M214:M224" ca="1" si="201">L214*K214</f>
        <v>60.039459999999998</v>
      </c>
      <c r="N214" s="256">
        <f ca="1">ROUNDUP(SUM(M214:M228),1)</f>
        <v>326.90000000000003</v>
      </c>
      <c r="O214" s="39"/>
      <c r="P214" s="12"/>
      <c r="Q214" s="14">
        <f ca="1">M214*(SUMIF(Отправочная!B$4:B$34,E214,Отправочная!C$4:C$34)+A214)</f>
        <v>0</v>
      </c>
      <c r="R214" s="34"/>
      <c r="S214" s="34"/>
      <c r="T214" s="34"/>
      <c r="W214" s="65">
        <f>SUMIF(Металл!E$3:E$258,G214,Металл!A$3:A$258)</f>
        <v>6.89</v>
      </c>
    </row>
    <row r="215" spans="1:23" ht="18.75" customHeight="1" x14ac:dyDescent="0.3">
      <c r="B215" s="44">
        <f t="shared" si="198"/>
        <v>802</v>
      </c>
      <c r="C215" s="36">
        <f t="shared" ca="1" si="199"/>
        <v>0</v>
      </c>
      <c r="E215" s="251"/>
      <c r="F215" s="19">
        <v>802</v>
      </c>
      <c r="G215" s="247" t="s">
        <v>43</v>
      </c>
      <c r="H215" s="248"/>
      <c r="I215" s="249"/>
      <c r="J215" s="40">
        <f ca="1">SUMIF(Детали!B$3:B$8683,F215,Детали!G$3:G$15)</f>
        <v>8714</v>
      </c>
      <c r="K215" s="19">
        <v>1</v>
      </c>
      <c r="L215" s="2">
        <f t="shared" ca="1" si="200"/>
        <v>60.039459999999998</v>
      </c>
      <c r="M215" s="2">
        <f t="shared" ca="1" si="201"/>
        <v>60.039459999999998</v>
      </c>
      <c r="N215" s="256"/>
      <c r="O215" s="39"/>
      <c r="P215" s="12"/>
      <c r="Q215" s="14">
        <f t="shared" ref="Q215:Q228" ca="1" si="202">M215*C214/K214</f>
        <v>0</v>
      </c>
      <c r="R215" s="34"/>
      <c r="S215" s="34"/>
      <c r="T215"/>
      <c r="W215" s="65">
        <f>SUMIF(Металл!E$3:E$258,G215,Металл!A$3:A$258)</f>
        <v>6.89</v>
      </c>
    </row>
    <row r="216" spans="1:23" ht="18.75" customHeight="1" x14ac:dyDescent="0.3">
      <c r="B216" s="44">
        <f t="shared" si="198"/>
        <v>803</v>
      </c>
      <c r="C216" s="36">
        <f t="shared" ca="1" si="199"/>
        <v>0</v>
      </c>
      <c r="E216" s="251"/>
      <c r="F216" s="19">
        <v>803</v>
      </c>
      <c r="G216" s="247" t="s">
        <v>43</v>
      </c>
      <c r="H216" s="248"/>
      <c r="I216" s="249"/>
      <c r="J216" s="40">
        <f ca="1">SUMIF(Детали!B$3:B$8683,F216,Детали!G$3:G$15)</f>
        <v>305</v>
      </c>
      <c r="K216" s="19">
        <v>1</v>
      </c>
      <c r="L216" s="2">
        <f t="shared" ca="1" si="200"/>
        <v>2.1014499999999998</v>
      </c>
      <c r="M216" s="2">
        <f t="shared" ca="1" si="201"/>
        <v>2.1014499999999998</v>
      </c>
      <c r="N216" s="256"/>
      <c r="O216" s="39"/>
      <c r="P216" s="12"/>
      <c r="Q216" s="14">
        <f t="shared" ca="1" si="202"/>
        <v>0</v>
      </c>
      <c r="R216" s="34"/>
      <c r="S216" s="34"/>
      <c r="T216"/>
      <c r="W216" s="65">
        <f>SUMIF(Металл!E$3:E$258,G216,Металл!A$3:A$258)</f>
        <v>6.89</v>
      </c>
    </row>
    <row r="217" spans="1:23" ht="18.75" customHeight="1" x14ac:dyDescent="0.3">
      <c r="B217" s="44">
        <f t="shared" si="198"/>
        <v>804</v>
      </c>
      <c r="C217" s="36">
        <f t="shared" ca="1" si="199"/>
        <v>0</v>
      </c>
      <c r="E217" s="251"/>
      <c r="F217" s="19">
        <v>804</v>
      </c>
      <c r="G217" s="247" t="s">
        <v>43</v>
      </c>
      <c r="H217" s="248"/>
      <c r="I217" s="249"/>
      <c r="J217" s="40">
        <f ca="1">SUMIF(Детали!B$3:B$8683,F217,Детали!G$3:G$15)</f>
        <v>305</v>
      </c>
      <c r="K217" s="19">
        <v>1</v>
      </c>
      <c r="L217" s="2">
        <f t="shared" ca="1" si="200"/>
        <v>2.1014499999999998</v>
      </c>
      <c r="M217" s="2">
        <f t="shared" ca="1" si="201"/>
        <v>2.1014499999999998</v>
      </c>
      <c r="N217" s="256"/>
      <c r="O217" s="39"/>
      <c r="P217" s="12"/>
      <c r="Q217" s="14">
        <f t="shared" ca="1" si="202"/>
        <v>0</v>
      </c>
      <c r="R217" s="34"/>
      <c r="S217" s="34"/>
      <c r="T217"/>
      <c r="W217" s="65">
        <f>SUMIF(Металл!E$3:E$258,G217,Металл!A$3:A$258)</f>
        <v>6.89</v>
      </c>
    </row>
    <row r="218" spans="1:23" ht="18.75" customHeight="1" x14ac:dyDescent="0.3">
      <c r="B218" s="44">
        <f t="shared" si="198"/>
        <v>805</v>
      </c>
      <c r="C218" s="36">
        <f t="shared" ca="1" si="199"/>
        <v>0</v>
      </c>
      <c r="E218" s="251"/>
      <c r="F218" s="19">
        <v>805</v>
      </c>
      <c r="G218" s="247" t="s">
        <v>43</v>
      </c>
      <c r="H218" s="248"/>
      <c r="I218" s="249"/>
      <c r="J218" s="40">
        <f ca="1">SUMIF(Детали!B$3:B$8683,F218,Детали!G$3:G$15)</f>
        <v>995</v>
      </c>
      <c r="K218" s="19">
        <v>2</v>
      </c>
      <c r="L218" s="2">
        <f t="shared" ca="1" si="200"/>
        <v>6.85555</v>
      </c>
      <c r="M218" s="2">
        <f t="shared" ca="1" si="201"/>
        <v>13.7111</v>
      </c>
      <c r="N218" s="256"/>
      <c r="O218" s="39"/>
      <c r="P218" s="12"/>
      <c r="Q218" s="14">
        <f t="shared" ca="1" si="202"/>
        <v>0</v>
      </c>
      <c r="R218" s="34"/>
      <c r="S218" s="34"/>
      <c r="T218"/>
      <c r="W218" s="65">
        <f>SUMIF(Металл!E$3:E$258,G218,Металл!A$3:A$258)</f>
        <v>6.89</v>
      </c>
    </row>
    <row r="219" spans="1:23" ht="18.75" customHeight="1" x14ac:dyDescent="0.3">
      <c r="B219" s="44">
        <f t="shared" si="198"/>
        <v>806</v>
      </c>
      <c r="C219" s="36">
        <f t="shared" ca="1" si="199"/>
        <v>0</v>
      </c>
      <c r="E219" s="251"/>
      <c r="F219" s="19">
        <v>806</v>
      </c>
      <c r="G219" s="247" t="s">
        <v>43</v>
      </c>
      <c r="H219" s="248"/>
      <c r="I219" s="249"/>
      <c r="J219" s="40">
        <f ca="1">SUMIF(Детали!B$3:B$8683,F219,Детали!G$3:G$15)</f>
        <v>1615</v>
      </c>
      <c r="K219" s="19">
        <v>2</v>
      </c>
      <c r="L219" s="2">
        <f t="shared" ca="1" si="200"/>
        <v>11.12735</v>
      </c>
      <c r="M219" s="2">
        <f t="shared" ca="1" si="201"/>
        <v>22.2547</v>
      </c>
      <c r="N219" s="256"/>
      <c r="O219" s="39"/>
      <c r="P219" s="12"/>
      <c r="Q219" s="14">
        <f t="shared" ca="1" si="202"/>
        <v>0</v>
      </c>
      <c r="R219" s="34"/>
      <c r="S219" s="34"/>
      <c r="T219"/>
      <c r="W219" s="65">
        <f>SUMIF(Металл!E$3:E$258,G219,Металл!A$3:A$258)</f>
        <v>6.89</v>
      </c>
    </row>
    <row r="220" spans="1:23" ht="18.75" customHeight="1" x14ac:dyDescent="0.3">
      <c r="B220" s="44">
        <f t="shared" si="198"/>
        <v>807</v>
      </c>
      <c r="C220" s="36">
        <f t="shared" ca="1" si="199"/>
        <v>0</v>
      </c>
      <c r="E220" s="251"/>
      <c r="F220" s="19">
        <v>807</v>
      </c>
      <c r="G220" s="247" t="s">
        <v>338</v>
      </c>
      <c r="H220" s="248"/>
      <c r="I220" s="249"/>
      <c r="J220" s="40">
        <f ca="1">SUMIF(Детали!B$3:B$8683,F220,Детали!G$3:G$15)</f>
        <v>760</v>
      </c>
      <c r="K220" s="19">
        <v>43</v>
      </c>
      <c r="L220" s="2">
        <f t="shared" ca="1" si="200"/>
        <v>1.5184800000000001</v>
      </c>
      <c r="M220" s="2">
        <f t="shared" ca="1" si="201"/>
        <v>65.294640000000001</v>
      </c>
      <c r="N220" s="256"/>
      <c r="O220" s="39"/>
      <c r="P220" s="12"/>
      <c r="Q220" s="14">
        <f t="shared" ca="1" si="202"/>
        <v>0</v>
      </c>
      <c r="R220" s="34"/>
      <c r="S220" s="34"/>
      <c r="T220"/>
      <c r="W220" s="65">
        <f>SUMIF(Металл!E$3:E$258,G220,Металл!A$3:A$258)</f>
        <v>1.998</v>
      </c>
    </row>
    <row r="221" spans="1:23" ht="18.75" customHeight="1" x14ac:dyDescent="0.3">
      <c r="B221" s="44">
        <f t="shared" si="198"/>
        <v>808</v>
      </c>
      <c r="C221" s="36">
        <f t="shared" ca="1" si="199"/>
        <v>0</v>
      </c>
      <c r="E221" s="251"/>
      <c r="F221" s="19">
        <v>808</v>
      </c>
      <c r="G221" s="247" t="s">
        <v>338</v>
      </c>
      <c r="H221" s="248"/>
      <c r="I221" s="249"/>
      <c r="J221" s="40">
        <f ca="1">SUMIF(Детали!B$3:B$8683,F221,Детали!G$3:G$15)</f>
        <v>970</v>
      </c>
      <c r="K221" s="19">
        <v>2</v>
      </c>
      <c r="L221" s="2">
        <f t="shared" ca="1" si="200"/>
        <v>1.9380599999999999</v>
      </c>
      <c r="M221" s="2">
        <f t="shared" ca="1" si="201"/>
        <v>3.8761199999999998</v>
      </c>
      <c r="N221" s="256"/>
      <c r="O221" s="39"/>
      <c r="P221" s="12"/>
      <c r="Q221" s="14">
        <f t="shared" ca="1" si="202"/>
        <v>0</v>
      </c>
      <c r="R221" s="34"/>
      <c r="S221" s="34"/>
      <c r="T221"/>
      <c r="W221" s="65">
        <f>SUMIF(Металл!E$3:E$258,G221,Металл!A$3:A$258)</f>
        <v>1.998</v>
      </c>
    </row>
    <row r="222" spans="1:23" ht="18.75" customHeight="1" x14ac:dyDescent="0.3">
      <c r="B222" s="44">
        <f t="shared" si="198"/>
        <v>809</v>
      </c>
      <c r="C222" s="36">
        <f t="shared" ca="1" si="199"/>
        <v>0</v>
      </c>
      <c r="E222" s="251"/>
      <c r="F222" s="19">
        <v>809</v>
      </c>
      <c r="G222" s="247" t="s">
        <v>338</v>
      </c>
      <c r="H222" s="248"/>
      <c r="I222" s="249"/>
      <c r="J222" s="40">
        <f ca="1">SUMIF(Детали!B$3:B$8683,F222,Детали!G$3:G$15)</f>
        <v>257</v>
      </c>
      <c r="K222" s="19">
        <v>2</v>
      </c>
      <c r="L222" s="2">
        <f t="shared" ca="1" si="200"/>
        <v>0.513486</v>
      </c>
      <c r="M222" s="2">
        <f t="shared" ca="1" si="201"/>
        <v>1.026972</v>
      </c>
      <c r="N222" s="256"/>
      <c r="O222" s="39"/>
      <c r="P222" s="12"/>
      <c r="Q222" s="14">
        <f t="shared" ca="1" si="202"/>
        <v>0</v>
      </c>
      <c r="R222" s="34"/>
      <c r="S222" s="34"/>
      <c r="T222"/>
      <c r="W222" s="65">
        <f>SUMIF(Металл!E$3:E$258,G222,Металл!A$3:A$258)</f>
        <v>1.998</v>
      </c>
    </row>
    <row r="223" spans="1:23" ht="18.75" customHeight="1" x14ac:dyDescent="0.3">
      <c r="B223" s="44">
        <f t="shared" si="198"/>
        <v>810</v>
      </c>
      <c r="C223" s="36">
        <f t="shared" ca="1" si="199"/>
        <v>0</v>
      </c>
      <c r="E223" s="251"/>
      <c r="F223" s="19">
        <v>810</v>
      </c>
      <c r="G223" s="247" t="s">
        <v>338</v>
      </c>
      <c r="H223" s="248"/>
      <c r="I223" s="249"/>
      <c r="J223" s="40">
        <f ca="1">SUMIF(Детали!B$3:B$8683,F223,Детали!G$3:G$15)</f>
        <v>400</v>
      </c>
      <c r="K223" s="19">
        <v>2</v>
      </c>
      <c r="L223" s="2">
        <f t="shared" ca="1" si="200"/>
        <v>0.79920000000000002</v>
      </c>
      <c r="M223" s="2">
        <f t="shared" ca="1" si="201"/>
        <v>1.5984</v>
      </c>
      <c r="N223" s="256"/>
      <c r="O223" s="39"/>
      <c r="P223" s="12"/>
      <c r="Q223" s="14">
        <f t="shared" ca="1" si="202"/>
        <v>0</v>
      </c>
      <c r="R223" s="34"/>
      <c r="S223" s="34"/>
      <c r="T223"/>
      <c r="W223" s="65">
        <f>SUMIF(Металл!E$3:E$258,G223,Металл!A$3:A$258)</f>
        <v>1.998</v>
      </c>
    </row>
    <row r="224" spans="1:23" ht="18.75" customHeight="1" x14ac:dyDescent="0.3">
      <c r="B224" s="44">
        <f t="shared" si="198"/>
        <v>811</v>
      </c>
      <c r="C224" s="36">
        <f t="shared" ca="1" si="199"/>
        <v>0</v>
      </c>
      <c r="E224" s="251"/>
      <c r="F224" s="19">
        <v>811</v>
      </c>
      <c r="G224" s="247" t="s">
        <v>338</v>
      </c>
      <c r="H224" s="248"/>
      <c r="I224" s="249"/>
      <c r="J224" s="40">
        <f ca="1">SUMIF(Детали!B$3:B$8683,F224,Детали!G$3:G$15)</f>
        <v>2810</v>
      </c>
      <c r="K224" s="19">
        <v>2</v>
      </c>
      <c r="L224" s="2">
        <f t="shared" ca="1" si="200"/>
        <v>5.6143799999999997</v>
      </c>
      <c r="M224" s="2">
        <f t="shared" ca="1" si="201"/>
        <v>11.228759999999999</v>
      </c>
      <c r="N224" s="256"/>
      <c r="O224" s="39"/>
      <c r="P224" s="12"/>
      <c r="Q224" s="14">
        <f t="shared" ca="1" si="202"/>
        <v>0</v>
      </c>
      <c r="R224" s="34"/>
      <c r="S224" s="34"/>
      <c r="T224"/>
      <c r="W224" s="65">
        <f>SUMIF(Металл!E$3:E$258,G224,Металл!A$3:A$258)</f>
        <v>1.998</v>
      </c>
    </row>
    <row r="225" spans="2:24" ht="18.75" customHeight="1" x14ac:dyDescent="0.3">
      <c r="B225" s="44">
        <f>F225</f>
        <v>812</v>
      </c>
      <c r="C225" s="36">
        <f ca="1">K225*R225/M225</f>
        <v>0</v>
      </c>
      <c r="E225" s="251"/>
      <c r="F225" s="19">
        <v>812</v>
      </c>
      <c r="G225" s="4">
        <f ca="1">SUMIF(Детали!B$3:B$8683,F225,Детали!D$3:D$15)</f>
        <v>4</v>
      </c>
      <c r="H225" s="63" t="s">
        <v>9</v>
      </c>
      <c r="I225" s="116">
        <f ca="1">SUMIF(Детали!B$3:B$8683,F225,Детали!F$3:F$15)</f>
        <v>40</v>
      </c>
      <c r="J225" s="40">
        <f ca="1">SUMIF(Детали!B$3:B$8683,F225,Детали!G$3:G$15)</f>
        <v>2165</v>
      </c>
      <c r="K225" s="19">
        <v>16</v>
      </c>
      <c r="L225" s="2">
        <f ca="1">7.85/1000000*(I225*J225*G225)</f>
        <v>2.7192399999999997</v>
      </c>
      <c r="M225" s="2">
        <f ca="1">L225*K225</f>
        <v>43.507839999999995</v>
      </c>
      <c r="N225" s="256"/>
      <c r="O225" s="39"/>
      <c r="P225" s="12"/>
      <c r="R225" s="14">
        <f ca="1">M225*C224/K224</f>
        <v>0</v>
      </c>
      <c r="S225" s="34"/>
      <c r="T225" s="34"/>
      <c r="W225" s="65">
        <f ca="1">SUMIF(Металл!E$3:E$258,G225,Металл!A$3:A$258)</f>
        <v>0</v>
      </c>
      <c r="X225" s="106"/>
    </row>
    <row r="226" spans="2:24" ht="18.75" customHeight="1" x14ac:dyDescent="0.3">
      <c r="B226" s="44">
        <f>F226</f>
        <v>813</v>
      </c>
      <c r="C226" s="36">
        <f ca="1">K226*R226/M226</f>
        <v>0</v>
      </c>
      <c r="E226" s="251"/>
      <c r="F226" s="19">
        <v>813</v>
      </c>
      <c r="G226" s="4">
        <f ca="1">SUMIF(Детали!B$3:B$8683,F226,Детали!D$3:D$15)</f>
        <v>4</v>
      </c>
      <c r="H226" s="63" t="s">
        <v>9</v>
      </c>
      <c r="I226" s="116">
        <f ca="1">SUMIF(Детали!B$3:B$8683,F226,Детали!F$3:F$15)</f>
        <v>40</v>
      </c>
      <c r="J226" s="40">
        <f ca="1">SUMIF(Детали!B$3:B$8683,F226,Детали!G$3:G$15)</f>
        <v>780</v>
      </c>
      <c r="K226" s="19">
        <v>2</v>
      </c>
      <c r="L226" s="2">
        <f ca="1">7.85/1000000*(I226*J226*G226)</f>
        <v>0.97967999999999988</v>
      </c>
      <c r="M226" s="2">
        <f ca="1">L226*K226</f>
        <v>1.9593599999999998</v>
      </c>
      <c r="N226" s="256"/>
      <c r="O226" s="39"/>
      <c r="P226" s="12"/>
      <c r="R226" s="14">
        <f ca="1">M226*C225/K225</f>
        <v>0</v>
      </c>
      <c r="S226" s="34"/>
      <c r="T226"/>
      <c r="W226" s="65">
        <f ca="1">SUMIF(Металл!E$3:E$258,G226,Металл!A$3:A$258)</f>
        <v>0</v>
      </c>
      <c r="X226" s="106"/>
    </row>
    <row r="227" spans="2:24" ht="18.75" customHeight="1" x14ac:dyDescent="0.3">
      <c r="B227" s="44">
        <f>F227</f>
        <v>814</v>
      </c>
      <c r="C227" s="36">
        <f ca="1">K227*R227/M227</f>
        <v>0</v>
      </c>
      <c r="E227" s="251"/>
      <c r="F227" s="19">
        <v>814</v>
      </c>
      <c r="G227" s="4">
        <f ca="1">SUMIF(Детали!B$3:B$8683,F227,Детали!D$3:D$15)</f>
        <v>4</v>
      </c>
      <c r="H227" s="63" t="s">
        <v>9</v>
      </c>
      <c r="I227" s="116">
        <f ca="1">SUMIF(Детали!B$3:B$8683,F227,Детали!F$3:F$15)</f>
        <v>40</v>
      </c>
      <c r="J227" s="40">
        <f ca="1">SUMIF(Детали!B$3:B$8683,F227,Детали!G$3:G$15)</f>
        <v>7540</v>
      </c>
      <c r="K227" s="19">
        <v>3</v>
      </c>
      <c r="L227" s="2">
        <f ca="1">7.85/1000000*(I227*J227*G227)</f>
        <v>9.4702399999999987</v>
      </c>
      <c r="M227" s="2">
        <f ca="1">L227*K227</f>
        <v>28.410719999999998</v>
      </c>
      <c r="N227" s="256"/>
      <c r="O227" s="39"/>
      <c r="P227" s="12"/>
      <c r="R227" s="14">
        <f ca="1">M227*C226/K226</f>
        <v>0</v>
      </c>
      <c r="S227" s="34"/>
      <c r="T227"/>
      <c r="W227" s="65">
        <f ca="1">SUMIF(Металл!E$3:E$258,G227,Металл!A$3:A$258)</f>
        <v>0</v>
      </c>
      <c r="X227" s="106"/>
    </row>
    <row r="228" spans="2:24" ht="18.75" customHeight="1" x14ac:dyDescent="0.3">
      <c r="B228" s="44"/>
      <c r="C228" s="36"/>
      <c r="E228" s="252"/>
      <c r="F228" s="247" t="s">
        <v>352</v>
      </c>
      <c r="G228" s="248"/>
      <c r="H228" s="248"/>
      <c r="I228" s="248"/>
      <c r="J228" s="248"/>
      <c r="K228" s="248"/>
      <c r="L228" s="249"/>
      <c r="M228" s="2">
        <f ca="1">SUM(M214:M224)*$AA$1</f>
        <v>9.730900479999999</v>
      </c>
      <c r="N228" s="256"/>
      <c r="O228" s="6"/>
      <c r="P228" s="12"/>
      <c r="Q228" s="14">
        <f t="shared" ca="1" si="202"/>
        <v>0</v>
      </c>
      <c r="R228" s="34"/>
      <c r="S228" s="34"/>
      <c r="T228" s="34"/>
      <c r="W228" s="65">
        <f>SUMIF(Металл!E$3:E$258,G228,Металл!A$3:A$258)</f>
        <v>0</v>
      </c>
    </row>
    <row r="229" spans="2:24" ht="18.75" customHeight="1" x14ac:dyDescent="0.3">
      <c r="B229" s="44">
        <f t="shared" ref="B229:B232" si="203">F229</f>
        <v>0</v>
      </c>
      <c r="C229" s="36">
        <f t="shared" ref="C229:C232" si="204">K229*Q229/M229</f>
        <v>0</v>
      </c>
      <c r="E229" s="19"/>
      <c r="F229" s="19"/>
      <c r="G229" s="247" t="s">
        <v>43</v>
      </c>
      <c r="H229" s="248"/>
      <c r="I229" s="249"/>
      <c r="J229" s="40">
        <v>454</v>
      </c>
      <c r="K229" s="19">
        <v>1</v>
      </c>
      <c r="L229" s="2">
        <f t="shared" ref="L229:L232" si="205">J229/1000*W229</f>
        <v>3.1280600000000001</v>
      </c>
      <c r="M229" s="2">
        <f t="shared" ref="M229:M232" si="206">L229*K229</f>
        <v>3.1280600000000001</v>
      </c>
      <c r="N229" s="21">
        <f t="shared" ref="N229:N232" si="207">ROUNDUP(SUM(M229:M229),1)</f>
        <v>3.2</v>
      </c>
      <c r="O229" s="39"/>
      <c r="P229" s="12"/>
      <c r="Q229" s="14">
        <f>M229*(SUMIF(Отправочная!B$4:B$34,E229,Отправочная!C$4:C$34)+A229)</f>
        <v>0</v>
      </c>
      <c r="R229" s="34"/>
      <c r="S229" s="34"/>
      <c r="T229" s="34"/>
      <c r="W229" s="65">
        <f>SUMIF(Металл!E$3:E$258,G229,Металл!A$3:A$258)</f>
        <v>6.89</v>
      </c>
    </row>
    <row r="230" spans="2:24" ht="18.75" customHeight="1" x14ac:dyDescent="0.3">
      <c r="B230" s="44">
        <f t="shared" ref="B230" si="208">F230</f>
        <v>0</v>
      </c>
      <c r="C230" s="36">
        <f t="shared" ref="C230" si="209">K230*Q230/M230</f>
        <v>0</v>
      </c>
      <c r="E230" s="19"/>
      <c r="F230" s="19"/>
      <c r="G230" s="247" t="s">
        <v>43</v>
      </c>
      <c r="H230" s="248"/>
      <c r="I230" s="249"/>
      <c r="J230" s="40">
        <v>810</v>
      </c>
      <c r="K230" s="19">
        <v>1</v>
      </c>
      <c r="L230" s="2">
        <f t="shared" ref="L230" si="210">J230/1000*W230</f>
        <v>5.5808999999999997</v>
      </c>
      <c r="M230" s="2">
        <f t="shared" ref="M230" si="211">L230*K230</f>
        <v>5.5808999999999997</v>
      </c>
      <c r="N230" s="21">
        <f t="shared" ref="N230" si="212">ROUNDUP(SUM(M230:M230),1)</f>
        <v>5.6</v>
      </c>
      <c r="O230" s="39"/>
      <c r="P230" s="12"/>
      <c r="Q230" s="14">
        <f>M230*(SUMIF(Отправочная!B$4:B$34,E230,Отправочная!C$4:C$34)+A230)</f>
        <v>0</v>
      </c>
      <c r="R230" s="34"/>
      <c r="S230" s="34"/>
      <c r="T230" s="34"/>
      <c r="W230" s="65">
        <f>SUMIF(Металл!E$3:E$258,G230,Металл!A$3:A$258)</f>
        <v>6.89</v>
      </c>
    </row>
    <row r="231" spans="2:24" ht="18.75" customHeight="1" x14ac:dyDescent="0.3">
      <c r="B231" s="44">
        <f t="shared" si="203"/>
        <v>0</v>
      </c>
      <c r="C231" s="36">
        <f t="shared" si="204"/>
        <v>0</v>
      </c>
      <c r="E231" s="19"/>
      <c r="F231" s="19"/>
      <c r="G231" s="4">
        <v>8</v>
      </c>
      <c r="H231" s="63" t="s">
        <v>9</v>
      </c>
      <c r="I231" s="116">
        <v>120</v>
      </c>
      <c r="J231" s="40">
        <v>245</v>
      </c>
      <c r="K231" s="19">
        <v>1</v>
      </c>
      <c r="L231" s="2">
        <f>7.85/1000000*(I231*J231*G231)</f>
        <v>1.84632</v>
      </c>
      <c r="M231" s="2">
        <f t="shared" si="206"/>
        <v>1.84632</v>
      </c>
      <c r="N231" s="21">
        <f t="shared" si="207"/>
        <v>1.9000000000000001</v>
      </c>
      <c r="O231" s="39"/>
      <c r="P231" s="12"/>
      <c r="Q231" s="14">
        <f>M231*(SUMIF(Отправочная!B$4:B$34,E231,Отправочная!C$4:C$34)+A231)</f>
        <v>0</v>
      </c>
      <c r="R231" s="34"/>
      <c r="S231" s="34"/>
      <c r="T231" s="34"/>
      <c r="W231" s="65">
        <f>SUMIF(Металл!E$3:E$258,G231,Металл!A$3:A$258)</f>
        <v>0</v>
      </c>
    </row>
    <row r="232" spans="2:24" ht="18.75" customHeight="1" x14ac:dyDescent="0.3">
      <c r="B232" s="44">
        <f t="shared" si="203"/>
        <v>0</v>
      </c>
      <c r="C232" s="36">
        <f t="shared" si="204"/>
        <v>0</v>
      </c>
      <c r="E232" s="19"/>
      <c r="F232" s="19"/>
      <c r="G232" s="247" t="s">
        <v>86</v>
      </c>
      <c r="H232" s="248"/>
      <c r="I232" s="249"/>
      <c r="J232" s="40">
        <v>100</v>
      </c>
      <c r="K232" s="19">
        <v>1</v>
      </c>
      <c r="L232" s="2">
        <f t="shared" si="205"/>
        <v>0.98699999999999999</v>
      </c>
      <c r="M232" s="2">
        <f t="shared" si="206"/>
        <v>0.98699999999999999</v>
      </c>
      <c r="N232" s="21">
        <f t="shared" si="207"/>
        <v>1</v>
      </c>
      <c r="O232" s="39"/>
      <c r="P232" s="12"/>
      <c r="Q232" s="14">
        <f>M232*(SUMIF(Отправочная!B$4:B$34,E232,Отправочная!C$4:C$34)+A232)</f>
        <v>0</v>
      </c>
      <c r="R232" s="34"/>
      <c r="S232" s="34"/>
      <c r="T232" s="34"/>
      <c r="W232" s="65">
        <f>SUMIF(Металл!E$3:E$258,G232,Металл!A$3:A$258)</f>
        <v>9.8699999999999992</v>
      </c>
    </row>
    <row r="235" spans="2:24" ht="18.75" customHeight="1" x14ac:dyDescent="0.3">
      <c r="B235" s="44"/>
      <c r="C235" s="36"/>
      <c r="E235" s="7"/>
      <c r="F235" s="7"/>
      <c r="G235" s="7"/>
      <c r="H235" s="7"/>
      <c r="I235" s="7"/>
      <c r="J235" s="7"/>
      <c r="K235" s="7"/>
      <c r="L235" s="7"/>
      <c r="M235" s="33"/>
      <c r="N235" s="35"/>
      <c r="O235" s="37"/>
      <c r="P235" s="12"/>
      <c r="Q235" s="34"/>
      <c r="R235" s="34"/>
      <c r="S235" s="34"/>
      <c r="T235" s="34"/>
    </row>
    <row r="236" spans="2:24" ht="18.75" customHeight="1" x14ac:dyDescent="0.3">
      <c r="B236" s="44"/>
      <c r="C236" s="36"/>
      <c r="E236" s="7"/>
      <c r="F236" s="7"/>
      <c r="G236" s="7"/>
      <c r="H236" s="7"/>
      <c r="I236" s="7"/>
      <c r="J236" s="7"/>
      <c r="K236" s="7"/>
      <c r="L236" s="7"/>
      <c r="M236" s="33"/>
      <c r="N236" s="35"/>
      <c r="O236" s="37"/>
      <c r="P236" s="12"/>
      <c r="Q236" s="34"/>
      <c r="R236" s="34"/>
      <c r="S236" s="34"/>
      <c r="T236" s="34"/>
    </row>
    <row r="237" spans="2:24" ht="18.75" customHeight="1" x14ac:dyDescent="0.3">
      <c r="B237" s="44"/>
      <c r="C237" s="36"/>
      <c r="E237" s="7"/>
      <c r="F237" s="7"/>
      <c r="G237" s="7"/>
      <c r="H237" s="7"/>
      <c r="I237" s="7"/>
      <c r="J237" s="7"/>
      <c r="K237" s="7"/>
      <c r="L237" s="7"/>
      <c r="M237" s="33"/>
      <c r="N237" s="35"/>
      <c r="O237" s="37"/>
      <c r="P237" s="12"/>
      <c r="Q237" s="34"/>
      <c r="R237" s="34"/>
      <c r="S237" s="34"/>
      <c r="T237" s="34"/>
    </row>
    <row r="238" spans="2:24" ht="18.75" customHeight="1" x14ac:dyDescent="0.3">
      <c r="B238" s="44"/>
      <c r="C238" s="36"/>
      <c r="E238" s="7"/>
      <c r="F238" s="7"/>
      <c r="G238" s="7"/>
      <c r="H238" s="7"/>
      <c r="I238" s="7"/>
      <c r="J238" s="7"/>
      <c r="K238" s="7"/>
      <c r="L238" s="7"/>
      <c r="M238" s="33"/>
      <c r="N238" s="35"/>
      <c r="O238" s="37"/>
      <c r="P238" s="12"/>
      <c r="Q238" s="34"/>
      <c r="R238" s="34"/>
      <c r="S238" s="34"/>
      <c r="T238" s="34"/>
    </row>
    <row r="239" spans="2:24" ht="18.75" customHeight="1" x14ac:dyDescent="0.3">
      <c r="B239" s="44"/>
      <c r="C239" s="36"/>
      <c r="E239" s="7"/>
      <c r="F239" s="7"/>
      <c r="G239" s="7"/>
      <c r="H239" s="7"/>
      <c r="I239" s="7"/>
      <c r="J239" s="7"/>
      <c r="K239" s="7"/>
      <c r="L239" s="7"/>
      <c r="M239" s="33"/>
      <c r="N239" s="35"/>
      <c r="O239" s="37"/>
      <c r="P239" s="12"/>
      <c r="Q239" s="34"/>
      <c r="R239" s="34"/>
      <c r="S239" s="34"/>
      <c r="T239" s="34"/>
    </row>
    <row r="240" spans="2:24" ht="18.75" customHeight="1" x14ac:dyDescent="0.3">
      <c r="B240" s="44"/>
      <c r="C240" s="36"/>
      <c r="E240" s="7"/>
      <c r="F240" s="7"/>
      <c r="G240" s="7"/>
      <c r="H240" s="7"/>
      <c r="I240" s="7"/>
      <c r="J240" s="7"/>
      <c r="K240" s="7"/>
      <c r="L240" s="7"/>
      <c r="M240" s="33"/>
      <c r="N240" s="35"/>
      <c r="O240" s="37"/>
      <c r="P240" s="12"/>
      <c r="Q240" s="34"/>
      <c r="R240" s="34"/>
      <c r="S240" s="34"/>
      <c r="T240" s="34"/>
    </row>
    <row r="241" spans="1:23" ht="18.75" customHeight="1" x14ac:dyDescent="0.3">
      <c r="B241" s="44"/>
      <c r="C241" s="36"/>
      <c r="E241" s="7"/>
      <c r="F241" s="7"/>
      <c r="G241" s="7"/>
      <c r="H241" s="7"/>
      <c r="I241" s="7"/>
      <c r="J241" s="7"/>
      <c r="K241" s="7"/>
      <c r="L241" s="7"/>
      <c r="M241" s="33"/>
      <c r="N241" s="35"/>
      <c r="O241" s="37"/>
      <c r="P241" s="12"/>
      <c r="Q241" s="34"/>
      <c r="R241" s="34"/>
      <c r="S241" s="34"/>
      <c r="T241" s="34"/>
    </row>
    <row r="242" spans="1:23" ht="18.75" customHeight="1" x14ac:dyDescent="0.3">
      <c r="B242" s="44"/>
      <c r="C242" s="36"/>
      <c r="E242" s="7"/>
      <c r="F242" s="7"/>
      <c r="G242" s="7"/>
      <c r="H242" s="7"/>
      <c r="I242" s="7"/>
      <c r="J242" s="7"/>
      <c r="K242" s="7"/>
      <c r="L242" s="7"/>
      <c r="M242" s="33"/>
      <c r="N242" s="35"/>
      <c r="O242" s="100"/>
      <c r="P242" s="12"/>
      <c r="Q242" s="34"/>
      <c r="R242" s="34"/>
      <c r="S242" s="34"/>
      <c r="T242" s="34"/>
    </row>
    <row r="243" spans="1:23" ht="18.75" x14ac:dyDescent="0.3">
      <c r="B243" s="44"/>
      <c r="C243" s="9"/>
      <c r="E243" s="7"/>
      <c r="F243" s="7"/>
      <c r="G243" s="7"/>
      <c r="H243" s="7"/>
      <c r="I243" s="7"/>
      <c r="J243" s="7"/>
      <c r="K243" s="7"/>
      <c r="L243" s="7"/>
      <c r="M243" s="33"/>
      <c r="N243" s="35"/>
      <c r="O243" s="37"/>
      <c r="P243" s="12"/>
      <c r="Q243" s="34"/>
      <c r="R243" s="34"/>
      <c r="S243" s="34"/>
      <c r="T243" s="34"/>
      <c r="W243" s="65">
        <f>SUMIF(Металл!E$3:E$258,G243,Металл!A$3:A$258)</f>
        <v>0</v>
      </c>
    </row>
    <row r="244" spans="1:23" s="75" customFormat="1" ht="18.75" x14ac:dyDescent="0.3">
      <c r="A244" s="106"/>
      <c r="B244" s="73"/>
      <c r="C244" s="74"/>
      <c r="E244" s="76"/>
      <c r="F244" s="76"/>
      <c r="G244" s="77"/>
      <c r="H244" s="78"/>
      <c r="I244" s="79"/>
      <c r="J244" s="80"/>
      <c r="K244" s="76"/>
      <c r="L244" s="81"/>
      <c r="M244" s="81"/>
      <c r="N244" s="82"/>
      <c r="O244" s="83"/>
      <c r="P244" s="84"/>
      <c r="Q244" s="81"/>
      <c r="R244" s="85"/>
      <c r="S244" s="85"/>
      <c r="T244" s="85"/>
      <c r="W244" s="65">
        <f>SUMIF(Металл!E$3:E$258,G244,Металл!A$3:A$258)</f>
        <v>0</v>
      </c>
    </row>
    <row r="245" spans="1:23" ht="18.75" customHeight="1" x14ac:dyDescent="0.3">
      <c r="B245" s="44"/>
      <c r="C245" s="9"/>
      <c r="E245" s="7"/>
      <c r="F245" s="7"/>
      <c r="G245" s="7"/>
      <c r="H245" s="7"/>
      <c r="I245" s="7"/>
      <c r="J245" s="7"/>
      <c r="K245" s="7"/>
      <c r="L245" s="7"/>
      <c r="M245" s="33"/>
      <c r="N245" s="35"/>
      <c r="O245" s="37"/>
      <c r="P245" s="12"/>
      <c r="Q245" s="34"/>
      <c r="R245" s="34"/>
      <c r="S245" s="34"/>
      <c r="T245" s="34"/>
      <c r="W245" s="65">
        <f>SUMIF(Металл!E$3:E$258,G245,Металл!A$3:A$258)</f>
        <v>0</v>
      </c>
    </row>
    <row r="246" spans="1:23" ht="18.75" customHeight="1" x14ac:dyDescent="0.3">
      <c r="E246" s="7"/>
      <c r="F246" s="7"/>
      <c r="G246" s="7"/>
      <c r="H246" s="7"/>
      <c r="I246" s="7"/>
      <c r="J246" s="7"/>
      <c r="K246" s="7"/>
      <c r="L246" s="7"/>
      <c r="M246" s="33"/>
      <c r="N246" s="35"/>
      <c r="O246" s="37"/>
      <c r="P246" s="12"/>
      <c r="Q246" s="34"/>
      <c r="R246" s="34"/>
      <c r="S246" s="34"/>
      <c r="T246" s="34"/>
      <c r="W246" s="65">
        <f>SUMIF(Металл!E$3:E$258,G246,Металл!A$3:A$258)</f>
        <v>0</v>
      </c>
    </row>
    <row r="247" spans="1:23" ht="18.75" hidden="1" customHeight="1" x14ac:dyDescent="0.3">
      <c r="B247" s="44">
        <f t="shared" ref="B247:B270" si="213">F247</f>
        <v>1</v>
      </c>
      <c r="C247" s="36">
        <f t="shared" ref="C247:C258" si="214">K247*Q247/M247</f>
        <v>0</v>
      </c>
      <c r="E247" s="236" t="s">
        <v>185</v>
      </c>
      <c r="F247" s="19">
        <v>1</v>
      </c>
      <c r="G247" s="4">
        <v>8</v>
      </c>
      <c r="H247" s="63" t="s">
        <v>9</v>
      </c>
      <c r="I247" s="5" t="s">
        <v>178</v>
      </c>
      <c r="J247" s="19">
        <v>270</v>
      </c>
      <c r="K247" s="19">
        <v>2</v>
      </c>
      <c r="L247" s="2">
        <f t="shared" ref="L247:L270" si="215">7.85/1000000*(I247*J247*G247)</f>
        <v>2.7129599999999998</v>
      </c>
      <c r="M247" s="2">
        <f t="shared" ref="M247:M270" si="216">L247*K247</f>
        <v>5.4259199999999996</v>
      </c>
      <c r="N247" s="256">
        <f>ROUNDUP(SUM(M247:M248),1)</f>
        <v>41.2</v>
      </c>
      <c r="O247" s="6"/>
      <c r="P247" s="12"/>
      <c r="Q247" s="14">
        <f>M247*SUMIF(Отправочная!B$4:B$34,E247,Отправочная!C$4:C$34)</f>
        <v>0</v>
      </c>
      <c r="R247" s="34"/>
      <c r="S247" s="34"/>
      <c r="T247" s="34"/>
      <c r="W247" s="65">
        <f>SUMIF(Металл!E$3:E$258,G247,Металл!A$3:A$258)</f>
        <v>0</v>
      </c>
    </row>
    <row r="248" spans="1:23" ht="18.75" hidden="1" customHeight="1" x14ac:dyDescent="0.3">
      <c r="B248" s="44">
        <f t="shared" si="213"/>
        <v>2</v>
      </c>
      <c r="C248" s="36">
        <f t="shared" si="214"/>
        <v>0</v>
      </c>
      <c r="E248" s="236"/>
      <c r="F248" s="19">
        <v>2</v>
      </c>
      <c r="G248" s="4">
        <v>14</v>
      </c>
      <c r="H248" s="63" t="s">
        <v>9</v>
      </c>
      <c r="I248" s="5" t="s">
        <v>179</v>
      </c>
      <c r="J248" s="19">
        <v>580</v>
      </c>
      <c r="K248" s="19">
        <v>2</v>
      </c>
      <c r="L248" s="2">
        <f t="shared" si="215"/>
        <v>17.847759999999997</v>
      </c>
      <c r="M248" s="2">
        <f t="shared" si="216"/>
        <v>35.695519999999995</v>
      </c>
      <c r="N248" s="256"/>
      <c r="O248" s="6"/>
      <c r="P248" s="12"/>
      <c r="Q248" s="14">
        <f>M248*C247/K247</f>
        <v>0</v>
      </c>
      <c r="R248" s="34"/>
      <c r="S248" s="34"/>
      <c r="T248" s="34"/>
      <c r="W248" s="65">
        <f>SUMIF(Металл!E$3:E$258,G248,Металл!A$3:A$258)</f>
        <v>0</v>
      </c>
    </row>
    <row r="249" spans="1:23" ht="18.75" hidden="1" customHeight="1" x14ac:dyDescent="0.3">
      <c r="B249" s="44">
        <f t="shared" si="213"/>
        <v>1</v>
      </c>
      <c r="C249" s="36">
        <f t="shared" si="214"/>
        <v>0</v>
      </c>
      <c r="E249" s="236" t="s">
        <v>186</v>
      </c>
      <c r="F249" s="19">
        <v>1</v>
      </c>
      <c r="G249" s="4">
        <v>6</v>
      </c>
      <c r="H249" s="63" t="s">
        <v>9</v>
      </c>
      <c r="I249" s="5" t="s">
        <v>171</v>
      </c>
      <c r="J249" s="19">
        <v>180</v>
      </c>
      <c r="K249" s="19">
        <v>2</v>
      </c>
      <c r="L249" s="2">
        <f t="shared" si="215"/>
        <v>1.0173599999999998</v>
      </c>
      <c r="M249" s="2">
        <f t="shared" si="216"/>
        <v>2.0347199999999996</v>
      </c>
      <c r="N249" s="256">
        <f>ROUNDUP(SUM(M249:M250),1)</f>
        <v>16.3</v>
      </c>
      <c r="O249" s="6"/>
      <c r="P249" s="12"/>
      <c r="Q249" s="14">
        <f>M249*SUMIF(Отправочная!B$4:B$34,E249,Отправочная!C$4:C$34)</f>
        <v>0</v>
      </c>
      <c r="R249" s="34"/>
      <c r="S249" s="34"/>
      <c r="T249" s="34"/>
      <c r="W249" s="65">
        <f>SUMIF(Металл!E$3:E$258,G249,Металл!A$3:A$258)</f>
        <v>0</v>
      </c>
    </row>
    <row r="250" spans="1:23" ht="18.75" hidden="1" customHeight="1" x14ac:dyDescent="0.3">
      <c r="B250" s="44">
        <f t="shared" si="213"/>
        <v>2</v>
      </c>
      <c r="C250" s="36">
        <f t="shared" si="214"/>
        <v>0</v>
      </c>
      <c r="E250" s="236"/>
      <c r="F250" s="19">
        <v>2</v>
      </c>
      <c r="G250" s="4">
        <v>10</v>
      </c>
      <c r="H250" s="63" t="s">
        <v>9</v>
      </c>
      <c r="I250" s="5" t="s">
        <v>180</v>
      </c>
      <c r="J250" s="19">
        <v>430</v>
      </c>
      <c r="K250" s="19">
        <v>2</v>
      </c>
      <c r="L250" s="2">
        <f t="shared" si="215"/>
        <v>7.0885499999999997</v>
      </c>
      <c r="M250" s="2">
        <f t="shared" si="216"/>
        <v>14.177099999999999</v>
      </c>
      <c r="N250" s="256"/>
      <c r="O250" s="6"/>
      <c r="P250" s="12"/>
      <c r="Q250" s="14">
        <f>M250*C249/K249</f>
        <v>0</v>
      </c>
      <c r="R250" s="34"/>
      <c r="S250" s="34"/>
      <c r="T250" s="34"/>
      <c r="W250" s="65">
        <f>SUMIF(Металл!E$3:E$258,G250,Металл!A$3:A$258)</f>
        <v>0</v>
      </c>
    </row>
    <row r="251" spans="1:23" ht="18.75" hidden="1" customHeight="1" x14ac:dyDescent="0.3">
      <c r="B251" s="44">
        <f t="shared" si="213"/>
        <v>1</v>
      </c>
      <c r="C251" s="36">
        <f t="shared" si="214"/>
        <v>0</v>
      </c>
      <c r="E251" s="236" t="s">
        <v>187</v>
      </c>
      <c r="F251" s="19">
        <v>1</v>
      </c>
      <c r="G251" s="4">
        <v>5</v>
      </c>
      <c r="H251" s="63" t="s">
        <v>9</v>
      </c>
      <c r="I251" s="5" t="s">
        <v>171</v>
      </c>
      <c r="J251" s="19">
        <v>290</v>
      </c>
      <c r="K251" s="19">
        <v>2</v>
      </c>
      <c r="L251" s="2">
        <f t="shared" si="215"/>
        <v>1.3658999999999999</v>
      </c>
      <c r="M251" s="2">
        <f t="shared" si="216"/>
        <v>2.7317999999999998</v>
      </c>
      <c r="N251" s="256">
        <f>ROUNDUP(SUM(M251:M252),1)</f>
        <v>14.4</v>
      </c>
      <c r="O251" s="6"/>
      <c r="P251" s="12"/>
      <c r="Q251" s="14">
        <f>M251*SUMIF(Отправочная!B$4:B$34,E251,Отправочная!C$4:C$34)</f>
        <v>0</v>
      </c>
      <c r="R251" s="34"/>
      <c r="S251" s="34"/>
      <c r="T251" s="34"/>
      <c r="W251" s="65">
        <f>SUMIF(Металл!E$3:E$258,G251,Металл!A$3:A$258)</f>
        <v>0</v>
      </c>
    </row>
    <row r="252" spans="1:23" ht="18.75" hidden="1" customHeight="1" x14ac:dyDescent="0.3">
      <c r="B252" s="44">
        <f t="shared" si="213"/>
        <v>2</v>
      </c>
      <c r="C252" s="36">
        <f t="shared" si="214"/>
        <v>0</v>
      </c>
      <c r="E252" s="236"/>
      <c r="F252" s="19">
        <v>2</v>
      </c>
      <c r="G252" s="4">
        <v>10</v>
      </c>
      <c r="H252" s="63" t="s">
        <v>9</v>
      </c>
      <c r="I252" s="5" t="s">
        <v>188</v>
      </c>
      <c r="J252" s="19">
        <v>390</v>
      </c>
      <c r="K252" s="19">
        <v>2</v>
      </c>
      <c r="L252" s="2">
        <f t="shared" si="215"/>
        <v>5.8168499999999996</v>
      </c>
      <c r="M252" s="2">
        <f t="shared" si="216"/>
        <v>11.633699999999999</v>
      </c>
      <c r="N252" s="256"/>
      <c r="O252" s="6"/>
      <c r="P252" s="12"/>
      <c r="Q252" s="14">
        <f>M252*C251/K251</f>
        <v>0</v>
      </c>
      <c r="R252" s="34"/>
      <c r="S252" s="34"/>
      <c r="T252" s="34"/>
      <c r="W252" s="65">
        <f>SUMIF(Металл!E$3:E$258,G252,Металл!A$3:A$258)</f>
        <v>0</v>
      </c>
    </row>
    <row r="253" spans="1:23" ht="18.75" customHeight="1" x14ac:dyDescent="0.3">
      <c r="B253" s="44">
        <f t="shared" si="213"/>
        <v>1</v>
      </c>
      <c r="C253" s="36">
        <f t="shared" si="214"/>
        <v>0</v>
      </c>
      <c r="E253" s="236" t="s">
        <v>189</v>
      </c>
      <c r="F253" s="19">
        <v>1</v>
      </c>
      <c r="G253" s="4">
        <v>5</v>
      </c>
      <c r="H253" s="63" t="s">
        <v>9</v>
      </c>
      <c r="I253" s="5" t="s">
        <v>172</v>
      </c>
      <c r="J253" s="19">
        <v>200</v>
      </c>
      <c r="K253" s="19">
        <v>2</v>
      </c>
      <c r="L253" s="2">
        <f t="shared" si="215"/>
        <v>0.86349999999999993</v>
      </c>
      <c r="M253" s="2">
        <f t="shared" si="216"/>
        <v>1.7269999999999999</v>
      </c>
      <c r="N253" s="256">
        <f>ROUNDUP(SUM(M253:M254),1)</f>
        <v>9.2999999999999989</v>
      </c>
      <c r="O253" s="6"/>
      <c r="P253" s="12"/>
      <c r="Q253" s="14">
        <f>M253*SUMIF(Отправочная!B$4:B$34,E253,Отправочная!C$4:C$34)</f>
        <v>0</v>
      </c>
      <c r="R253" s="34"/>
      <c r="S253" s="34"/>
      <c r="T253" s="34"/>
      <c r="W253" s="65">
        <f>SUMIF(Металл!E$3:E$258,G253,Металл!A$3:A$258)</f>
        <v>0</v>
      </c>
    </row>
    <row r="254" spans="1:23" ht="18.75" customHeight="1" x14ac:dyDescent="0.3">
      <c r="B254" s="44">
        <f t="shared" si="213"/>
        <v>2</v>
      </c>
      <c r="C254" s="36">
        <f t="shared" si="214"/>
        <v>0</v>
      </c>
      <c r="E254" s="236"/>
      <c r="F254" s="19">
        <v>2</v>
      </c>
      <c r="G254" s="4">
        <v>10</v>
      </c>
      <c r="H254" s="63" t="s">
        <v>9</v>
      </c>
      <c r="I254" s="5" t="s">
        <v>190</v>
      </c>
      <c r="J254" s="19">
        <v>340</v>
      </c>
      <c r="K254" s="19">
        <v>2</v>
      </c>
      <c r="L254" s="2">
        <f t="shared" si="215"/>
        <v>3.7365999999999997</v>
      </c>
      <c r="M254" s="2">
        <f t="shared" si="216"/>
        <v>7.4731999999999994</v>
      </c>
      <c r="N254" s="256"/>
      <c r="O254" s="6"/>
      <c r="P254" s="12"/>
      <c r="Q254" s="14">
        <f>M254*C253/K253</f>
        <v>0</v>
      </c>
      <c r="R254" s="34"/>
      <c r="S254" s="34"/>
      <c r="T254" s="34"/>
      <c r="W254" s="65">
        <f>SUMIF(Металл!E$3:E$258,G254,Металл!A$3:A$258)</f>
        <v>0</v>
      </c>
    </row>
    <row r="255" spans="1:23" ht="18.75" hidden="1" customHeight="1" x14ac:dyDescent="0.3">
      <c r="B255" s="44">
        <f t="shared" si="213"/>
        <v>1</v>
      </c>
      <c r="C255" s="36">
        <f t="shared" si="214"/>
        <v>0</v>
      </c>
      <c r="E255" s="236" t="s">
        <v>191</v>
      </c>
      <c r="F255" s="19">
        <v>1</v>
      </c>
      <c r="G255" s="4">
        <v>8</v>
      </c>
      <c r="H255" s="63" t="s">
        <v>9</v>
      </c>
      <c r="I255" s="5" t="s">
        <v>192</v>
      </c>
      <c r="J255" s="19">
        <v>230</v>
      </c>
      <c r="K255" s="19">
        <v>2</v>
      </c>
      <c r="L255" s="2">
        <f t="shared" si="215"/>
        <v>2.1665999999999999</v>
      </c>
      <c r="M255" s="2">
        <f t="shared" si="216"/>
        <v>4.3331999999999997</v>
      </c>
      <c r="N255" s="256">
        <f>ROUNDUP(SUM(M255:M256),1)</f>
        <v>57.800000000000004</v>
      </c>
      <c r="O255" s="6"/>
      <c r="P255" s="12"/>
      <c r="Q255" s="14">
        <f>M255*SUMIF(Отправочная!B$4:B$34,E255,Отправочная!C$4:C$34)</f>
        <v>0</v>
      </c>
      <c r="R255" s="34"/>
      <c r="S255" s="34"/>
      <c r="T255" s="34"/>
      <c r="W255" s="65">
        <f>SUMIF(Металл!E$3:E$258,G255,Металл!A$3:A$258)</f>
        <v>0</v>
      </c>
    </row>
    <row r="256" spans="1:23" ht="18.75" hidden="1" customHeight="1" x14ac:dyDescent="0.3">
      <c r="B256" s="44">
        <f t="shared" si="213"/>
        <v>2</v>
      </c>
      <c r="C256" s="36">
        <f t="shared" si="214"/>
        <v>0</v>
      </c>
      <c r="E256" s="236"/>
      <c r="F256" s="19">
        <v>2</v>
      </c>
      <c r="G256" s="4">
        <v>14</v>
      </c>
      <c r="H256" s="63" t="s">
        <v>9</v>
      </c>
      <c r="I256" s="5" t="s">
        <v>193</v>
      </c>
      <c r="J256" s="19">
        <v>760</v>
      </c>
      <c r="K256" s="19">
        <v>2</v>
      </c>
      <c r="L256" s="2">
        <f t="shared" si="215"/>
        <v>26.727679999999999</v>
      </c>
      <c r="M256" s="2">
        <f t="shared" si="216"/>
        <v>53.455359999999999</v>
      </c>
      <c r="N256" s="256"/>
      <c r="O256" s="6"/>
      <c r="P256" s="12"/>
      <c r="Q256" s="14">
        <f>M256*C255/K255</f>
        <v>0</v>
      </c>
      <c r="R256" s="34"/>
      <c r="S256" s="34"/>
      <c r="T256" s="34"/>
      <c r="W256" s="65">
        <f>SUMIF(Металл!E$3:E$258,G256,Металл!A$3:A$258)</f>
        <v>0</v>
      </c>
    </row>
    <row r="257" spans="2:23" ht="18.75" hidden="1" customHeight="1" x14ac:dyDescent="0.3">
      <c r="B257" s="44">
        <f t="shared" si="213"/>
        <v>1</v>
      </c>
      <c r="C257" s="36">
        <f t="shared" si="214"/>
        <v>0</v>
      </c>
      <c r="E257" s="236" t="s">
        <v>194</v>
      </c>
      <c r="F257" s="19">
        <v>1</v>
      </c>
      <c r="G257" s="4">
        <v>8</v>
      </c>
      <c r="H257" s="63" t="s">
        <v>9</v>
      </c>
      <c r="I257" s="5" t="s">
        <v>190</v>
      </c>
      <c r="J257" s="19">
        <v>180</v>
      </c>
      <c r="K257" s="19">
        <v>2</v>
      </c>
      <c r="L257" s="2">
        <f t="shared" si="215"/>
        <v>1.58256</v>
      </c>
      <c r="M257" s="2">
        <f t="shared" si="216"/>
        <v>3.1651199999999999</v>
      </c>
      <c r="N257" s="256">
        <f>ROUNDUP(SUM(M257:M258),1)</f>
        <v>38</v>
      </c>
      <c r="O257" s="6"/>
      <c r="P257" s="12"/>
      <c r="Q257" s="14">
        <f>M257*SUMIF(Отправочная!B$4:B$34,E257,Отправочная!C$4:C$34)</f>
        <v>0</v>
      </c>
      <c r="R257" s="34"/>
      <c r="S257" s="34"/>
      <c r="T257" s="34"/>
      <c r="W257" s="65">
        <f>SUMIF(Металл!E$3:E$258,G257,Металл!A$3:A$258)</f>
        <v>0</v>
      </c>
    </row>
    <row r="258" spans="2:23" ht="18.75" hidden="1" customHeight="1" x14ac:dyDescent="0.3">
      <c r="B258" s="44">
        <f t="shared" si="213"/>
        <v>2</v>
      </c>
      <c r="C258" s="36">
        <f t="shared" si="214"/>
        <v>0</v>
      </c>
      <c r="E258" s="236"/>
      <c r="F258" s="19">
        <v>2</v>
      </c>
      <c r="G258" s="4">
        <v>12</v>
      </c>
      <c r="H258" s="63" t="s">
        <v>9</v>
      </c>
      <c r="I258" s="5" t="s">
        <v>179</v>
      </c>
      <c r="J258" s="19">
        <v>660</v>
      </c>
      <c r="K258" s="19">
        <v>2</v>
      </c>
      <c r="L258" s="2">
        <f t="shared" si="215"/>
        <v>17.408159999999999</v>
      </c>
      <c r="M258" s="2">
        <f t="shared" si="216"/>
        <v>34.816319999999997</v>
      </c>
      <c r="N258" s="256"/>
      <c r="O258" s="6"/>
      <c r="P258" s="12"/>
      <c r="Q258" s="14">
        <f>M258*C257/K257</f>
        <v>0</v>
      </c>
      <c r="R258" s="34"/>
      <c r="S258" s="34"/>
      <c r="T258" s="34"/>
      <c r="W258" s="65">
        <f>SUMIF(Металл!E$3:E$258,G258,Металл!A$3:A$258)</f>
        <v>0</v>
      </c>
    </row>
    <row r="259" spans="2:23" ht="18.75" customHeight="1" x14ac:dyDescent="0.3">
      <c r="B259" s="44">
        <f t="shared" ref="B259:B260" si="217">F259</f>
        <v>1</v>
      </c>
      <c r="C259" s="36">
        <f t="shared" ref="C259:C260" si="218">K259*Q259/M259</f>
        <v>0</v>
      </c>
      <c r="E259" s="236" t="s">
        <v>366</v>
      </c>
      <c r="F259" s="19">
        <v>1</v>
      </c>
      <c r="G259" s="4">
        <v>8</v>
      </c>
      <c r="H259" s="63" t="s">
        <v>9</v>
      </c>
      <c r="I259" s="5" t="s">
        <v>190</v>
      </c>
      <c r="J259" s="19">
        <v>180</v>
      </c>
      <c r="K259" s="19">
        <v>2</v>
      </c>
      <c r="L259" s="2">
        <f t="shared" ref="L259:L260" si="219">7.85/1000000*(I259*J259*G259)</f>
        <v>1.58256</v>
      </c>
      <c r="M259" s="2">
        <f t="shared" ref="M259:M260" si="220">L259*K259</f>
        <v>3.1651199999999999</v>
      </c>
      <c r="N259" s="256">
        <f>ROUNDUP(SUM(M259:M260),1)</f>
        <v>38</v>
      </c>
      <c r="O259" s="6"/>
      <c r="P259" s="12"/>
      <c r="Q259" s="14">
        <f>M259*SUMIF(Отправочная!B$4:B$34,E259,Отправочная!C$4:C$34)</f>
        <v>0</v>
      </c>
      <c r="R259" s="34"/>
      <c r="S259" s="34"/>
      <c r="T259" s="34"/>
      <c r="W259" s="65">
        <f>SUMIF(Металл!E$3:E$258,G259,Металл!A$3:A$258)</f>
        <v>0</v>
      </c>
    </row>
    <row r="260" spans="2:23" ht="18.75" customHeight="1" x14ac:dyDescent="0.3">
      <c r="B260" s="44">
        <f t="shared" si="217"/>
        <v>2</v>
      </c>
      <c r="C260" s="36">
        <f t="shared" si="218"/>
        <v>0</v>
      </c>
      <c r="E260" s="236"/>
      <c r="F260" s="19">
        <v>2</v>
      </c>
      <c r="G260" s="4">
        <v>12</v>
      </c>
      <c r="H260" s="63" t="s">
        <v>9</v>
      </c>
      <c r="I260" s="5" t="s">
        <v>179</v>
      </c>
      <c r="J260" s="19">
        <v>660</v>
      </c>
      <c r="K260" s="19">
        <v>2</v>
      </c>
      <c r="L260" s="2">
        <f t="shared" si="219"/>
        <v>17.408159999999999</v>
      </c>
      <c r="M260" s="2">
        <f t="shared" si="220"/>
        <v>34.816319999999997</v>
      </c>
      <c r="N260" s="256"/>
      <c r="O260" s="6"/>
      <c r="P260" s="12"/>
      <c r="Q260" s="14">
        <f>M260*C259/K259</f>
        <v>0</v>
      </c>
      <c r="R260" s="34"/>
      <c r="S260" s="34"/>
      <c r="T260" s="34"/>
      <c r="W260" s="65">
        <f>SUMIF(Металл!E$3:E$258,G260,Металл!A$3:A$258)</f>
        <v>0</v>
      </c>
    </row>
    <row r="261" spans="2:23" ht="18.75" hidden="1" customHeight="1" x14ac:dyDescent="0.3">
      <c r="B261" s="44">
        <f t="shared" ref="B261:B268" si="221">F261</f>
        <v>1</v>
      </c>
      <c r="C261" s="36">
        <f t="shared" ref="C261:C270" si="222">K261*Q261/M261</f>
        <v>0</v>
      </c>
      <c r="E261" s="236" t="s">
        <v>242</v>
      </c>
      <c r="F261" s="19">
        <v>1</v>
      </c>
      <c r="G261" s="4">
        <v>12</v>
      </c>
      <c r="H261" s="63" t="s">
        <v>9</v>
      </c>
      <c r="I261" s="5" t="s">
        <v>192</v>
      </c>
      <c r="J261" s="19">
        <v>250</v>
      </c>
      <c r="K261" s="19">
        <v>2</v>
      </c>
      <c r="L261" s="2">
        <f t="shared" si="215"/>
        <v>3.5324999999999998</v>
      </c>
      <c r="M261" s="2">
        <f t="shared" si="216"/>
        <v>7.0649999999999995</v>
      </c>
      <c r="N261" s="256">
        <f>ROUNDUP(SUM(M261:M262),1)</f>
        <v>12.299999999999999</v>
      </c>
      <c r="O261" s="39"/>
      <c r="P261" s="12"/>
      <c r="Q261" s="14">
        <f>M261*SUMIF(Отправочная!B$4:B$34,E261,Отправочная!C$4:C$34)</f>
        <v>0</v>
      </c>
      <c r="R261" s="34"/>
      <c r="S261"/>
      <c r="T261"/>
      <c r="W261" s="65">
        <f>SUMIF(Металл!E$3:E$258,G261,Металл!A$3:A$258)</f>
        <v>0</v>
      </c>
    </row>
    <row r="262" spans="2:23" ht="18.75" hidden="1" customHeight="1" x14ac:dyDescent="0.3">
      <c r="B262" s="44">
        <f t="shared" si="221"/>
        <v>2</v>
      </c>
      <c r="C262" s="36">
        <f t="shared" si="222"/>
        <v>0</v>
      </c>
      <c r="E262" s="236"/>
      <c r="F262" s="19">
        <v>2</v>
      </c>
      <c r="G262" s="4">
        <v>12</v>
      </c>
      <c r="H262" s="63" t="s">
        <v>9</v>
      </c>
      <c r="I262" s="5" t="s">
        <v>172</v>
      </c>
      <c r="J262" s="19">
        <v>250</v>
      </c>
      <c r="K262" s="19">
        <v>2</v>
      </c>
      <c r="L262" s="2">
        <f t="shared" si="215"/>
        <v>2.5904999999999996</v>
      </c>
      <c r="M262" s="2">
        <f t="shared" si="216"/>
        <v>5.1809999999999992</v>
      </c>
      <c r="N262" s="256"/>
      <c r="O262" s="39"/>
      <c r="P262" s="12"/>
      <c r="Q262" s="14">
        <f>M262*C261/K261</f>
        <v>0</v>
      </c>
      <c r="R262" s="34"/>
      <c r="S262"/>
      <c r="T262"/>
      <c r="W262" s="65">
        <f>SUMIF(Металл!E$3:E$258,G262,Металл!A$3:A$258)</f>
        <v>0</v>
      </c>
    </row>
    <row r="263" spans="2:23" ht="18.75" customHeight="1" x14ac:dyDescent="0.3">
      <c r="B263" s="44">
        <f t="shared" si="221"/>
        <v>1</v>
      </c>
      <c r="C263" s="36">
        <f>K263*S263/M263</f>
        <v>0</v>
      </c>
      <c r="E263" s="236" t="s">
        <v>367</v>
      </c>
      <c r="F263" s="19">
        <v>1</v>
      </c>
      <c r="G263" s="4">
        <v>8</v>
      </c>
      <c r="H263" s="63" t="s">
        <v>9</v>
      </c>
      <c r="I263" s="5" t="s">
        <v>192</v>
      </c>
      <c r="J263" s="19">
        <v>200</v>
      </c>
      <c r="K263" s="19">
        <v>2</v>
      </c>
      <c r="L263" s="2">
        <f t="shared" ref="L263:L266" si="223">7.85/1000000*(I263*J263*G263)</f>
        <v>1.8839999999999999</v>
      </c>
      <c r="M263" s="2">
        <f t="shared" ref="M263:M266" si="224">L263*K263</f>
        <v>3.7679999999999998</v>
      </c>
      <c r="N263" s="256">
        <f>ROUNDUP(SUM(M263:M264),1)</f>
        <v>6.6</v>
      </c>
      <c r="O263" s="39" t="s">
        <v>73</v>
      </c>
      <c r="P263" s="12"/>
      <c r="R263" s="34"/>
      <c r="S263" s="14">
        <f>M263*SUMIF(Отправочная!B$4:B$34,E263,Отправочная!C$4:C$34)</f>
        <v>0</v>
      </c>
      <c r="T263"/>
      <c r="W263" s="65">
        <f>SUMIF(Металл!E$3:E$258,G263,Металл!A$3:A$258)</f>
        <v>0</v>
      </c>
    </row>
    <row r="264" spans="2:23" ht="18.75" customHeight="1" x14ac:dyDescent="0.3">
      <c r="B264" s="44">
        <f t="shared" si="221"/>
        <v>2</v>
      </c>
      <c r="C264" s="36">
        <f>K264*S264/M264</f>
        <v>0</v>
      </c>
      <c r="E264" s="236"/>
      <c r="F264" s="19">
        <v>2</v>
      </c>
      <c r="G264" s="4">
        <v>8</v>
      </c>
      <c r="H264" s="63" t="s">
        <v>9</v>
      </c>
      <c r="I264" s="5" t="s">
        <v>172</v>
      </c>
      <c r="J264" s="19">
        <v>200</v>
      </c>
      <c r="K264" s="19">
        <v>2</v>
      </c>
      <c r="L264" s="2">
        <f t="shared" si="223"/>
        <v>1.3815999999999999</v>
      </c>
      <c r="M264" s="2">
        <f t="shared" si="224"/>
        <v>2.7631999999999999</v>
      </c>
      <c r="N264" s="256"/>
      <c r="O264" s="39" t="s">
        <v>73</v>
      </c>
      <c r="P264" s="12"/>
      <c r="R264" s="34"/>
      <c r="S264" s="14">
        <f>M264*C263/K263</f>
        <v>0</v>
      </c>
      <c r="T264"/>
      <c r="W264" s="65">
        <f>SUMIF(Металл!E$3:E$258,G264,Металл!A$3:A$258)</f>
        <v>0</v>
      </c>
    </row>
    <row r="265" spans="2:23" ht="18.75" customHeight="1" x14ac:dyDescent="0.3">
      <c r="B265" s="44">
        <f t="shared" si="221"/>
        <v>1</v>
      </c>
      <c r="C265" s="36">
        <f>K265*S265/M265</f>
        <v>0</v>
      </c>
      <c r="E265" s="236" t="s">
        <v>195</v>
      </c>
      <c r="F265" s="19">
        <v>1</v>
      </c>
      <c r="G265" s="4">
        <v>8</v>
      </c>
      <c r="H265" s="63" t="s">
        <v>9</v>
      </c>
      <c r="I265" s="5" t="s">
        <v>172</v>
      </c>
      <c r="J265" s="19">
        <v>200</v>
      </c>
      <c r="K265" s="19">
        <v>2</v>
      </c>
      <c r="L265" s="2">
        <f t="shared" si="223"/>
        <v>1.3815999999999999</v>
      </c>
      <c r="M265" s="2">
        <f t="shared" si="224"/>
        <v>2.7631999999999999</v>
      </c>
      <c r="N265" s="256">
        <f>ROUNDUP(SUM(M265:M266),1)</f>
        <v>5.6</v>
      </c>
      <c r="O265" s="39" t="s">
        <v>73</v>
      </c>
      <c r="P265" s="12"/>
      <c r="R265" s="34"/>
      <c r="S265" s="14">
        <f>M265*SUMIF(Отправочная!B$4:B$34,E265,Отправочная!C$4:C$34)</f>
        <v>0</v>
      </c>
      <c r="T265"/>
      <c r="W265" s="65">
        <f>SUMIF(Металл!E$3:E$258,G265,Металл!A$3:A$258)</f>
        <v>0</v>
      </c>
    </row>
    <row r="266" spans="2:23" ht="18.75" customHeight="1" x14ac:dyDescent="0.3">
      <c r="B266" s="44">
        <f t="shared" si="221"/>
        <v>1</v>
      </c>
      <c r="C266" s="36">
        <f>K266*S266/M266</f>
        <v>0</v>
      </c>
      <c r="E266" s="236"/>
      <c r="F266" s="19">
        <v>1</v>
      </c>
      <c r="G266" s="4">
        <v>8</v>
      </c>
      <c r="H266" s="63" t="s">
        <v>9</v>
      </c>
      <c r="I266" s="5" t="s">
        <v>172</v>
      </c>
      <c r="J266" s="19">
        <v>200</v>
      </c>
      <c r="K266" s="19">
        <v>2</v>
      </c>
      <c r="L266" s="2">
        <f t="shared" si="223"/>
        <v>1.3815999999999999</v>
      </c>
      <c r="M266" s="2">
        <f t="shared" si="224"/>
        <v>2.7631999999999999</v>
      </c>
      <c r="N266" s="256"/>
      <c r="O266" s="39" t="s">
        <v>73</v>
      </c>
      <c r="P266" s="12"/>
      <c r="R266" s="34"/>
      <c r="S266" s="14">
        <f>M266*C265/K265</f>
        <v>0</v>
      </c>
      <c r="T266"/>
      <c r="W266" s="65">
        <f>SUMIF(Металл!E$3:E$258,G266,Металл!A$3:A$258)</f>
        <v>0</v>
      </c>
    </row>
    <row r="267" spans="2:23" ht="18.75" hidden="1" customHeight="1" x14ac:dyDescent="0.3">
      <c r="B267" s="44">
        <f t="shared" si="221"/>
        <v>1</v>
      </c>
      <c r="C267" s="36">
        <f t="shared" si="222"/>
        <v>0</v>
      </c>
      <c r="E267" s="236" t="s">
        <v>195</v>
      </c>
      <c r="F267" s="19">
        <v>1</v>
      </c>
      <c r="G267" s="4">
        <v>8</v>
      </c>
      <c r="H267" s="63" t="s">
        <v>9</v>
      </c>
      <c r="I267" s="5" t="s">
        <v>172</v>
      </c>
      <c r="J267" s="19">
        <v>200</v>
      </c>
      <c r="K267" s="19">
        <v>2</v>
      </c>
      <c r="L267" s="2">
        <f t="shared" si="215"/>
        <v>1.3815999999999999</v>
      </c>
      <c r="M267" s="2">
        <f t="shared" si="216"/>
        <v>2.7631999999999999</v>
      </c>
      <c r="N267" s="256">
        <f>ROUNDUP(SUM(M267:M268),1)</f>
        <v>5.6</v>
      </c>
      <c r="O267" s="39" t="s">
        <v>73</v>
      </c>
      <c r="P267" s="12"/>
      <c r="Q267" s="14">
        <f>M267*SUMIF(Отправочная!B$4:B$34,E267,Отправочная!C$4:C$34)</f>
        <v>0</v>
      </c>
      <c r="R267" s="34"/>
      <c r="S267"/>
      <c r="T267"/>
      <c r="W267" s="65">
        <f>SUMIF(Металл!E$3:E$258,G267,Металл!A$3:A$258)</f>
        <v>0</v>
      </c>
    </row>
    <row r="268" spans="2:23" ht="18.75" hidden="1" customHeight="1" x14ac:dyDescent="0.3">
      <c r="B268" s="44">
        <f t="shared" si="221"/>
        <v>1</v>
      </c>
      <c r="C268" s="36">
        <f t="shared" si="222"/>
        <v>0</v>
      </c>
      <c r="E268" s="236"/>
      <c r="F268" s="19">
        <v>1</v>
      </c>
      <c r="G268" s="4">
        <v>8</v>
      </c>
      <c r="H268" s="63" t="s">
        <v>9</v>
      </c>
      <c r="I268" s="5" t="s">
        <v>172</v>
      </c>
      <c r="J268" s="19">
        <v>200</v>
      </c>
      <c r="K268" s="19">
        <v>2</v>
      </c>
      <c r="L268" s="2">
        <f t="shared" si="215"/>
        <v>1.3815999999999999</v>
      </c>
      <c r="M268" s="2">
        <f t="shared" si="216"/>
        <v>2.7631999999999999</v>
      </c>
      <c r="N268" s="256"/>
      <c r="O268" s="39" t="s">
        <v>73</v>
      </c>
      <c r="P268" s="12"/>
      <c r="Q268" s="14">
        <f>M268*C267/K267</f>
        <v>0</v>
      </c>
      <c r="R268" s="34"/>
      <c r="S268"/>
      <c r="T268"/>
      <c r="W268" s="65">
        <f>SUMIF(Металл!E$3:E$258,G268,Металл!A$3:A$258)</f>
        <v>0</v>
      </c>
    </row>
    <row r="269" spans="2:23" ht="18.75" hidden="1" customHeight="1" x14ac:dyDescent="0.3">
      <c r="B269" s="44">
        <f t="shared" si="213"/>
        <v>1</v>
      </c>
      <c r="C269" s="36">
        <f t="shared" si="222"/>
        <v>0</v>
      </c>
      <c r="E269" s="236" t="s">
        <v>196</v>
      </c>
      <c r="F269" s="19">
        <v>1</v>
      </c>
      <c r="G269" s="4">
        <v>5</v>
      </c>
      <c r="H269" s="63" t="s">
        <v>9</v>
      </c>
      <c r="I269" s="5" t="s">
        <v>197</v>
      </c>
      <c r="J269" s="19">
        <v>150</v>
      </c>
      <c r="K269" s="19">
        <v>2</v>
      </c>
      <c r="L269" s="2">
        <f t="shared" si="215"/>
        <v>0.6770624999999999</v>
      </c>
      <c r="M269" s="2">
        <f t="shared" si="216"/>
        <v>1.3541249999999998</v>
      </c>
      <c r="N269" s="256">
        <f>ROUNDUP(SUM(M269:M270),1)</f>
        <v>2.8000000000000003</v>
      </c>
      <c r="O269" s="6"/>
      <c r="P269" s="12"/>
      <c r="Q269" s="14">
        <f>M269*SUMIF(Отправочная!B$4:B$34,E269,Отправочная!C$4:C$34)</f>
        <v>0</v>
      </c>
      <c r="R269" s="34"/>
      <c r="S269" s="34"/>
      <c r="T269" s="34"/>
      <c r="W269" s="65">
        <f>SUMIF(Металл!E$3:E$258,G269,Металл!A$3:A$258)</f>
        <v>0</v>
      </c>
    </row>
    <row r="270" spans="2:23" ht="18.75" hidden="1" customHeight="1" x14ac:dyDescent="0.3">
      <c r="B270" s="44">
        <f t="shared" si="213"/>
        <v>1</v>
      </c>
      <c r="C270" s="36">
        <f t="shared" si="222"/>
        <v>0</v>
      </c>
      <c r="E270" s="236"/>
      <c r="F270" s="19">
        <v>1</v>
      </c>
      <c r="G270" s="4">
        <v>5</v>
      </c>
      <c r="H270" s="63" t="s">
        <v>9</v>
      </c>
      <c r="I270" s="5" t="s">
        <v>197</v>
      </c>
      <c r="J270" s="19">
        <v>150</v>
      </c>
      <c r="K270" s="19">
        <v>2</v>
      </c>
      <c r="L270" s="2">
        <f t="shared" si="215"/>
        <v>0.6770624999999999</v>
      </c>
      <c r="M270" s="2">
        <f t="shared" si="216"/>
        <v>1.3541249999999998</v>
      </c>
      <c r="N270" s="256"/>
      <c r="O270" s="6"/>
      <c r="P270" s="12"/>
      <c r="Q270" s="14">
        <f>M270*C269/K269</f>
        <v>0</v>
      </c>
      <c r="R270" s="34"/>
      <c r="S270" s="34"/>
      <c r="T270" s="34"/>
      <c r="W270" s="65">
        <f>SUMIF(Металл!E$3:E$258,G270,Металл!A$3:A$258)</f>
        <v>0</v>
      </c>
    </row>
    <row r="271" spans="2:23" x14ac:dyDescent="0.25">
      <c r="W271" s="65">
        <f>SUMIF(Металл!E$3:E$258,G271,Металл!A$3:A$258)</f>
        <v>0</v>
      </c>
    </row>
    <row r="272" spans="2:23" x14ac:dyDescent="0.25">
      <c r="W272" s="65">
        <f>SUMIF(Металл!E$3:E$258,G272,Металл!A$3:A$258)</f>
        <v>0</v>
      </c>
    </row>
    <row r="273" spans="23:23" x14ac:dyDescent="0.25">
      <c r="W273" s="65">
        <f>SUMIF(Металл!E$3:E$258,G273,Металл!A$3:A$258)</f>
        <v>0</v>
      </c>
    </row>
    <row r="291" spans="1:23" s="75" customFormat="1" x14ac:dyDescent="0.25">
      <c r="A291" s="106"/>
      <c r="B291" s="96"/>
      <c r="E291" s="97"/>
      <c r="F291" s="97"/>
      <c r="G291" s="97"/>
      <c r="H291" s="97"/>
      <c r="I291" s="97"/>
      <c r="J291" s="97"/>
      <c r="K291" s="97"/>
      <c r="L291" s="97"/>
      <c r="M291" s="97"/>
      <c r="N291" s="98"/>
      <c r="O291" s="97"/>
      <c r="P291" s="97"/>
      <c r="Q291" s="97"/>
      <c r="R291" s="97"/>
      <c r="S291" s="97"/>
      <c r="T291" s="97"/>
      <c r="W291" s="86"/>
    </row>
  </sheetData>
  <autoFilter ref="E1:G291"/>
  <mergeCells count="183">
    <mergeCell ref="E57:E60"/>
    <mergeCell ref="G57:I57"/>
    <mergeCell ref="N57:N60"/>
    <mergeCell ref="F60:L60"/>
    <mergeCell ref="E41:E43"/>
    <mergeCell ref="G41:I41"/>
    <mergeCell ref="N41:N43"/>
    <mergeCell ref="F43:L43"/>
    <mergeCell ref="E83:E85"/>
    <mergeCell ref="G83:I83"/>
    <mergeCell ref="N83:N85"/>
    <mergeCell ref="F85:L85"/>
    <mergeCell ref="N177:N181"/>
    <mergeCell ref="F181:L181"/>
    <mergeCell ref="E139:E142"/>
    <mergeCell ref="G139:I139"/>
    <mergeCell ref="E166:E171"/>
    <mergeCell ref="E129:E132"/>
    <mergeCell ref="F132:L132"/>
    <mergeCell ref="E133:E138"/>
    <mergeCell ref="G137:I137"/>
    <mergeCell ref="F138:L138"/>
    <mergeCell ref="F142:L142"/>
    <mergeCell ref="G141:I141"/>
    <mergeCell ref="E143:E145"/>
    <mergeCell ref="G143:I143"/>
    <mergeCell ref="G144:I144"/>
    <mergeCell ref="G151:I151"/>
    <mergeCell ref="E16:E17"/>
    <mergeCell ref="G16:I16"/>
    <mergeCell ref="N16:N17"/>
    <mergeCell ref="F17:L17"/>
    <mergeCell ref="G73:I73"/>
    <mergeCell ref="N73:N75"/>
    <mergeCell ref="F75:L75"/>
    <mergeCell ref="N61:N64"/>
    <mergeCell ref="F64:L64"/>
    <mergeCell ref="E61:E64"/>
    <mergeCell ref="G61:I61"/>
    <mergeCell ref="E65:E68"/>
    <mergeCell ref="G65:I65"/>
    <mergeCell ref="N65:N68"/>
    <mergeCell ref="F68:L68"/>
    <mergeCell ref="E69:E72"/>
    <mergeCell ref="G69:I69"/>
    <mergeCell ref="N69:N72"/>
    <mergeCell ref="F72:L72"/>
    <mergeCell ref="E37:E40"/>
    <mergeCell ref="G37:I37"/>
    <mergeCell ref="N37:N40"/>
    <mergeCell ref="F40:L40"/>
    <mergeCell ref="E49:E52"/>
    <mergeCell ref="F198:L198"/>
    <mergeCell ref="E160:E165"/>
    <mergeCell ref="E191:E194"/>
    <mergeCell ref="G191:I191"/>
    <mergeCell ref="N191:N194"/>
    <mergeCell ref="F194:L194"/>
    <mergeCell ref="E195:E198"/>
    <mergeCell ref="G195:I195"/>
    <mergeCell ref="N160:N165"/>
    <mergeCell ref="N166:N171"/>
    <mergeCell ref="G160:I160"/>
    <mergeCell ref="F165:L165"/>
    <mergeCell ref="F171:L171"/>
    <mergeCell ref="E187:E190"/>
    <mergeCell ref="G187:I187"/>
    <mergeCell ref="F190:L190"/>
    <mergeCell ref="G166:I166"/>
    <mergeCell ref="N187:N190"/>
    <mergeCell ref="E172:E176"/>
    <mergeCell ref="G172:I172"/>
    <mergeCell ref="N172:N176"/>
    <mergeCell ref="F176:L176"/>
    <mergeCell ref="E177:E181"/>
    <mergeCell ref="G177:I177"/>
    <mergeCell ref="E269:E270"/>
    <mergeCell ref="N269:N270"/>
    <mergeCell ref="E247:E248"/>
    <mergeCell ref="N247:N248"/>
    <mergeCell ref="E249:E250"/>
    <mergeCell ref="N249:N250"/>
    <mergeCell ref="E251:E252"/>
    <mergeCell ref="N251:N252"/>
    <mergeCell ref="E253:E254"/>
    <mergeCell ref="N253:N254"/>
    <mergeCell ref="E255:E256"/>
    <mergeCell ref="N255:N256"/>
    <mergeCell ref="E257:E258"/>
    <mergeCell ref="N257:N258"/>
    <mergeCell ref="E261:E262"/>
    <mergeCell ref="N261:N262"/>
    <mergeCell ref="E267:E268"/>
    <mergeCell ref="N267:N268"/>
    <mergeCell ref="E259:E260"/>
    <mergeCell ref="N259:N260"/>
    <mergeCell ref="E263:E264"/>
    <mergeCell ref="N263:N264"/>
    <mergeCell ref="E265:E266"/>
    <mergeCell ref="N265:N266"/>
    <mergeCell ref="B2:C2"/>
    <mergeCell ref="B4:B5"/>
    <mergeCell ref="C4:C5"/>
    <mergeCell ref="G108:I108"/>
    <mergeCell ref="E3:O3"/>
    <mergeCell ref="O4:O5"/>
    <mergeCell ref="J4:J5"/>
    <mergeCell ref="G4:I5"/>
    <mergeCell ref="E4:E5"/>
    <mergeCell ref="F4:F5"/>
    <mergeCell ref="K4:K5"/>
    <mergeCell ref="L4:N4"/>
    <mergeCell ref="E33:E36"/>
    <mergeCell ref="G13:I13"/>
    <mergeCell ref="G18:I18"/>
    <mergeCell ref="G19:I19"/>
    <mergeCell ref="G20:I20"/>
    <mergeCell ref="E53:E56"/>
    <mergeCell ref="G53:I53"/>
    <mergeCell ref="N53:N56"/>
    <mergeCell ref="F56:L56"/>
    <mergeCell ref="E73:E75"/>
    <mergeCell ref="E14:E15"/>
    <mergeCell ref="G14:I14"/>
    <mergeCell ref="P4:P5"/>
    <mergeCell ref="F158:L158"/>
    <mergeCell ref="G33:I33"/>
    <mergeCell ref="N33:N36"/>
    <mergeCell ref="F36:L36"/>
    <mergeCell ref="G129:I129"/>
    <mergeCell ref="G131:I131"/>
    <mergeCell ref="G133:I133"/>
    <mergeCell ref="G147:I147"/>
    <mergeCell ref="G148:I148"/>
    <mergeCell ref="G149:I149"/>
    <mergeCell ref="G150:I150"/>
    <mergeCell ref="G152:I152"/>
    <mergeCell ref="N129:N132"/>
    <mergeCell ref="N133:N138"/>
    <mergeCell ref="N139:N142"/>
    <mergeCell ref="N143:N145"/>
    <mergeCell ref="F145:L145"/>
    <mergeCell ref="N14:N15"/>
    <mergeCell ref="F15:L15"/>
    <mergeCell ref="G49:I49"/>
    <mergeCell ref="N49:N52"/>
    <mergeCell ref="F52:L52"/>
    <mergeCell ref="G22:I22"/>
    <mergeCell ref="G23:I23"/>
    <mergeCell ref="E79:E82"/>
    <mergeCell ref="G79:I79"/>
    <mergeCell ref="N79:N82"/>
    <mergeCell ref="F82:L82"/>
    <mergeCell ref="G230:I230"/>
    <mergeCell ref="G232:I232"/>
    <mergeCell ref="G229:I229"/>
    <mergeCell ref="E214:E228"/>
    <mergeCell ref="G214:I214"/>
    <mergeCell ref="N214:N228"/>
    <mergeCell ref="G215:I215"/>
    <mergeCell ref="G216:I216"/>
    <mergeCell ref="G217:I217"/>
    <mergeCell ref="G218:I218"/>
    <mergeCell ref="G219:I219"/>
    <mergeCell ref="G220:I220"/>
    <mergeCell ref="G221:I221"/>
    <mergeCell ref="G222:I222"/>
    <mergeCell ref="G223:I223"/>
    <mergeCell ref="G224:I224"/>
    <mergeCell ref="F228:L228"/>
    <mergeCell ref="N195:N198"/>
    <mergeCell ref="G91:I91"/>
    <mergeCell ref="G92:I92"/>
    <mergeCell ref="G93:I93"/>
    <mergeCell ref="E94:E96"/>
    <mergeCell ref="G94:I94"/>
    <mergeCell ref="N94:N96"/>
    <mergeCell ref="F96:L96"/>
    <mergeCell ref="G95:I95"/>
    <mergeCell ref="G76:I76"/>
    <mergeCell ref="N76:N78"/>
    <mergeCell ref="F78:L78"/>
    <mergeCell ref="E76:E78"/>
  </mergeCells>
  <phoneticPr fontId="28" type="noConversion"/>
  <conditionalFormatting sqref="S269:T1048576 Q2:T2 S3:T3 AC2 Q243:T258 W3:W7 W243:W258 S5:T7 T11 Q3:R7 Q11:R11 S202:T203 Q202:R206 W202:W206 Q146:T146 W146 Q235:T241 W235:W241 W228 Q228 R225:R228 W12 Q12:T12 Q127:Q128 Q117:T126 W117:W126 W157:W159 Q157:T159 W261:W262 Q261:R262 Q267:R1048576 W267:W1048576 R263:S266 Q30:T32 W30:W32 Q174:Q176 Q99:T109 W99:W109 Q210:T213 W210:W224 T34:T35 Q34:R36 Q42:R48 Q61:R64 W73:W75 S73:T75 Q73:R73 Q97:R98 R74:R75">
    <cfRule type="cellIs" dxfId="854" priority="16829" operator="greaterThan">
      <formula>0</formula>
    </cfRule>
  </conditionalFormatting>
  <conditionalFormatting sqref="A2:A7 A243:A258 A202:A206 A146 A235:A241 A228 A117:A126 A157:A159 A12 A261:A262 A267:A1048576 A30:A34 A99:A109 A210:A224 A73:A75">
    <cfRule type="cellIs" dxfId="853" priority="14139" operator="greaterThan">
      <formula>0</formula>
    </cfRule>
  </conditionalFormatting>
  <conditionalFormatting sqref="W242">
    <cfRule type="cellIs" dxfId="852" priority="11055" operator="greaterThan">
      <formula>0</formula>
    </cfRule>
  </conditionalFormatting>
  <conditionalFormatting sqref="A242">
    <cfRule type="cellIs" dxfId="851" priority="11054" operator="greaterThan">
      <formula>0</formula>
    </cfRule>
  </conditionalFormatting>
  <conditionalFormatting sqref="S242:T242">
    <cfRule type="cellIs" dxfId="850" priority="11053" operator="greaterThan">
      <formula>0</formula>
    </cfRule>
  </conditionalFormatting>
  <conditionalFormatting sqref="Q242:R242">
    <cfRule type="cellIs" dxfId="849" priority="10117" operator="greaterThan">
      <formula>0</formula>
    </cfRule>
  </conditionalFormatting>
  <conditionalFormatting sqref="Q242:R242">
    <cfRule type="cellIs" dxfId="848" priority="10118" operator="greaterThan">
      <formula>0</formula>
    </cfRule>
  </conditionalFormatting>
  <conditionalFormatting sqref="W11">
    <cfRule type="cellIs" dxfId="847" priority="7722" operator="greaterThan">
      <formula>0</formula>
    </cfRule>
  </conditionalFormatting>
  <conditionalFormatting sqref="A11">
    <cfRule type="cellIs" dxfId="846" priority="7721" operator="greaterThan">
      <formula>0</formula>
    </cfRule>
  </conditionalFormatting>
  <conditionalFormatting sqref="A11">
    <cfRule type="cellIs" dxfId="845" priority="7719" operator="greaterThan">
      <formula>0</formula>
    </cfRule>
  </conditionalFormatting>
  <conditionalFormatting sqref="W11">
    <cfRule type="cellIs" dxfId="844" priority="7720" operator="greaterThan">
      <formula>0</formula>
    </cfRule>
  </conditionalFormatting>
  <conditionalFormatting sqref="W34">
    <cfRule type="cellIs" dxfId="843" priority="4884" operator="greaterThan">
      <formula>0</formula>
    </cfRule>
  </conditionalFormatting>
  <conditionalFormatting sqref="W33 W36 W44:W48 W61:W64 W97:W98">
    <cfRule type="cellIs" dxfId="842" priority="4887" operator="greaterThan">
      <formula>0</formula>
    </cfRule>
  </conditionalFormatting>
  <conditionalFormatting sqref="A36 A44:A48 A61:A64 A97:A98">
    <cfRule type="cellIs" dxfId="841" priority="4886" operator="greaterThan">
      <formula>0</formula>
    </cfRule>
  </conditionalFormatting>
  <conditionalFormatting sqref="Q33:T33 S36:T36 S44:T48 S61:T64 S97:T98">
    <cfRule type="cellIs" dxfId="840" priority="4885" operator="greaterThan">
      <formula>0</formula>
    </cfRule>
  </conditionalFormatting>
  <conditionalFormatting sqref="W34">
    <cfRule type="cellIs" dxfId="839" priority="4881" operator="greaterThan">
      <formula>0</formula>
    </cfRule>
  </conditionalFormatting>
  <conditionalFormatting sqref="T34">
    <cfRule type="cellIs" dxfId="838" priority="4880" operator="greaterThan">
      <formula>0</formula>
    </cfRule>
  </conditionalFormatting>
  <conditionalFormatting sqref="W35">
    <cfRule type="cellIs" dxfId="837" priority="4875" operator="greaterThan">
      <formula>0</formula>
    </cfRule>
  </conditionalFormatting>
  <conditionalFormatting sqref="W35">
    <cfRule type="cellIs" dxfId="836" priority="4878" operator="greaterThan">
      <formula>0</formula>
    </cfRule>
  </conditionalFormatting>
  <conditionalFormatting sqref="T35">
    <cfRule type="cellIs" dxfId="835" priority="4874" operator="greaterThan">
      <formula>0</formula>
    </cfRule>
  </conditionalFormatting>
  <conditionalFormatting sqref="T8:T9 Q8:R9">
    <cfRule type="cellIs" dxfId="834" priority="4736" operator="greaterThan">
      <formula>0</formula>
    </cfRule>
  </conditionalFormatting>
  <conditionalFormatting sqref="W8:W9">
    <cfRule type="cellIs" dxfId="833" priority="4735" operator="greaterThan">
      <formula>0</formula>
    </cfRule>
  </conditionalFormatting>
  <conditionalFormatting sqref="A8:A9">
    <cfRule type="cellIs" dxfId="832" priority="4734" operator="greaterThan">
      <formula>0</formula>
    </cfRule>
  </conditionalFormatting>
  <conditionalFormatting sqref="A8:A9">
    <cfRule type="cellIs" dxfId="831" priority="4732" operator="greaterThan">
      <formula>0</formula>
    </cfRule>
  </conditionalFormatting>
  <conditionalFormatting sqref="W8:W9">
    <cfRule type="cellIs" dxfId="830" priority="4733" operator="greaterThan">
      <formula>0</formula>
    </cfRule>
  </conditionalFormatting>
  <conditionalFormatting sqref="T228">
    <cfRule type="cellIs" dxfId="829" priority="4547" operator="greaterThan">
      <formula>0</formula>
    </cfRule>
  </conditionalFormatting>
  <conditionalFormatting sqref="S228">
    <cfRule type="cellIs" dxfId="828" priority="4548" operator="greaterThan">
      <formula>0</formula>
    </cfRule>
  </conditionalFormatting>
  <conditionalFormatting sqref="S215">
    <cfRule type="cellIs" dxfId="827" priority="4543" operator="greaterThan">
      <formula>0</formula>
    </cfRule>
  </conditionalFormatting>
  <conditionalFormatting sqref="T215">
    <cfRule type="cellIs" dxfId="826" priority="4542" operator="greaterThan">
      <formula>0</formula>
    </cfRule>
  </conditionalFormatting>
  <conditionalFormatting sqref="T220">
    <cfRule type="cellIs" dxfId="825" priority="4536" operator="greaterThan">
      <formula>0</formula>
    </cfRule>
  </conditionalFormatting>
  <conditionalFormatting sqref="S220">
    <cfRule type="cellIs" dxfId="824" priority="4537" operator="greaterThan">
      <formula>0</formula>
    </cfRule>
  </conditionalFormatting>
  <conditionalFormatting sqref="S216:S219">
    <cfRule type="cellIs" dxfId="823" priority="4540" operator="greaterThan">
      <formula>0</formula>
    </cfRule>
  </conditionalFormatting>
  <conditionalFormatting sqref="S222:S224">
    <cfRule type="cellIs" dxfId="822" priority="4530" operator="greaterThan">
      <formula>0</formula>
    </cfRule>
  </conditionalFormatting>
  <conditionalFormatting sqref="S221">
    <cfRule type="cellIs" dxfId="821" priority="4534" operator="greaterThan">
      <formula>0</formula>
    </cfRule>
  </conditionalFormatting>
  <conditionalFormatting sqref="T222:T224">
    <cfRule type="cellIs" dxfId="820" priority="4529" operator="greaterThan">
      <formula>0</formula>
    </cfRule>
  </conditionalFormatting>
  <conditionalFormatting sqref="Q215:R224">
    <cfRule type="cellIs" dxfId="819" priority="4525" operator="greaterThan">
      <formula>0</formula>
    </cfRule>
  </conditionalFormatting>
  <conditionalFormatting sqref="Q229:T229 W229 W231:W232 Q231:T232">
    <cfRule type="cellIs" dxfId="818" priority="4505" operator="greaterThan">
      <formula>0</formula>
    </cfRule>
  </conditionalFormatting>
  <conditionalFormatting sqref="A229 A231:A232">
    <cfRule type="cellIs" dxfId="817" priority="4506" operator="greaterThan">
      <formula>0</formula>
    </cfRule>
  </conditionalFormatting>
  <conditionalFormatting sqref="S214:T214">
    <cfRule type="cellIs" dxfId="816" priority="4545" operator="greaterThan">
      <formula>0</formula>
    </cfRule>
  </conditionalFormatting>
  <conditionalFormatting sqref="T216:T219">
    <cfRule type="cellIs" dxfId="815" priority="4539" operator="greaterThan">
      <formula>0</formula>
    </cfRule>
  </conditionalFormatting>
  <conditionalFormatting sqref="T221">
    <cfRule type="cellIs" dxfId="814" priority="4533" operator="greaterThan">
      <formula>0</formula>
    </cfRule>
  </conditionalFormatting>
  <conditionalFormatting sqref="Q214:R224">
    <cfRule type="cellIs" dxfId="813" priority="4527" operator="greaterThan">
      <formula>0</formula>
    </cfRule>
  </conditionalFormatting>
  <conditionalFormatting sqref="Q214:R214">
    <cfRule type="cellIs" dxfId="812" priority="4526" operator="greaterThan">
      <formula>0</formula>
    </cfRule>
  </conditionalFormatting>
  <conditionalFormatting sqref="Q229:T229 W229 W231:W232 Q231:T232">
    <cfRule type="cellIs" dxfId="811" priority="4507" operator="greaterThan">
      <formula>0</formula>
    </cfRule>
  </conditionalFormatting>
  <conditionalFormatting sqref="A229 A231:A232">
    <cfRule type="cellIs" dxfId="810" priority="4504" operator="greaterThan">
      <formula>0</formula>
    </cfRule>
  </conditionalFormatting>
  <conditionalFormatting sqref="A199:A201">
    <cfRule type="cellIs" dxfId="809" priority="3401" operator="greaterThan">
      <formula>0</formula>
    </cfRule>
  </conditionalFormatting>
  <conditionalFormatting sqref="Q199:R201">
    <cfRule type="cellIs" dxfId="808" priority="3399" operator="greaterThan">
      <formula>0</formula>
    </cfRule>
  </conditionalFormatting>
  <conditionalFormatting sqref="W199:W201">
    <cfRule type="cellIs" dxfId="807" priority="3402" operator="greaterThan">
      <formula>0</formula>
    </cfRule>
  </conditionalFormatting>
  <conditionalFormatting sqref="S199:T201">
    <cfRule type="cellIs" dxfId="806" priority="3400" operator="greaterThan">
      <formula>0</formula>
    </cfRule>
  </conditionalFormatting>
  <conditionalFormatting sqref="R127:R128">
    <cfRule type="cellIs" dxfId="805" priority="2912" operator="greaterThan">
      <formula>0</formula>
    </cfRule>
  </conditionalFormatting>
  <conditionalFormatting sqref="W127:W128">
    <cfRule type="cellIs" dxfId="804" priority="2910" operator="greaterThan">
      <formula>0</formula>
    </cfRule>
  </conditionalFormatting>
  <conditionalFormatting sqref="A127:A128">
    <cfRule type="cellIs" dxfId="803" priority="2909" operator="greaterThan">
      <formula>0</formula>
    </cfRule>
  </conditionalFormatting>
  <conditionalFormatting sqref="S127:T128">
    <cfRule type="cellIs" dxfId="802" priority="2908" operator="greaterThan">
      <formula>0</formula>
    </cfRule>
  </conditionalFormatting>
  <conditionalFormatting sqref="Q230:T230 W230">
    <cfRule type="cellIs" dxfId="801" priority="2699" operator="greaterThan">
      <formula>0</formula>
    </cfRule>
  </conditionalFormatting>
  <conditionalFormatting sqref="A230">
    <cfRule type="cellIs" dxfId="800" priority="2698" operator="greaterThan">
      <formula>0</formula>
    </cfRule>
  </conditionalFormatting>
  <conditionalFormatting sqref="A230">
    <cfRule type="cellIs" dxfId="799" priority="2696" operator="greaterThan">
      <formula>0</formula>
    </cfRule>
  </conditionalFormatting>
  <conditionalFormatting sqref="Q230:T230 W230">
    <cfRule type="cellIs" dxfId="798" priority="2697" operator="greaterThan">
      <formula>0</formula>
    </cfRule>
  </conditionalFormatting>
  <conditionalFormatting sqref="W225:W227">
    <cfRule type="cellIs" dxfId="797" priority="2695" operator="greaterThan">
      <formula>0</formula>
    </cfRule>
  </conditionalFormatting>
  <conditionalFormatting sqref="A225:A227">
    <cfRule type="cellIs" dxfId="796" priority="2694" operator="greaterThan">
      <formula>0</formula>
    </cfRule>
  </conditionalFormatting>
  <conditionalFormatting sqref="X225">
    <cfRule type="cellIs" dxfId="795" priority="2693" operator="greaterThan">
      <formula>0</formula>
    </cfRule>
  </conditionalFormatting>
  <conditionalFormatting sqref="X226:X227">
    <cfRule type="cellIs" dxfId="794" priority="2692" operator="greaterThan">
      <formula>0</formula>
    </cfRule>
  </conditionalFormatting>
  <conditionalFormatting sqref="T226">
    <cfRule type="cellIs" dxfId="793" priority="2689" operator="greaterThan">
      <formula>0</formula>
    </cfRule>
  </conditionalFormatting>
  <conditionalFormatting sqref="S227">
    <cfRule type="cellIs" dxfId="792" priority="2688" operator="greaterThan">
      <formula>0</formula>
    </cfRule>
  </conditionalFormatting>
  <conditionalFormatting sqref="S225:T225">
    <cfRule type="cellIs" dxfId="791" priority="2691" operator="greaterThan">
      <formula>0</formula>
    </cfRule>
  </conditionalFormatting>
  <conditionalFormatting sqref="S226">
    <cfRule type="cellIs" dxfId="790" priority="2690" operator="greaterThan">
      <formula>0</formula>
    </cfRule>
  </conditionalFormatting>
  <conditionalFormatting sqref="T227">
    <cfRule type="cellIs" dxfId="789" priority="2687" operator="greaterThan">
      <formula>0</formula>
    </cfRule>
  </conditionalFormatting>
  <conditionalFormatting sqref="W129 W132">
    <cfRule type="cellIs" dxfId="788" priority="1452" operator="greaterThan">
      <formula>0</formula>
    </cfRule>
  </conditionalFormatting>
  <conditionalFormatting sqref="R132">
    <cfRule type="cellIs" dxfId="787" priority="1449" operator="greaterThan">
      <formula>0</formula>
    </cfRule>
  </conditionalFormatting>
  <conditionalFormatting sqref="W130 S130:T130">
    <cfRule type="cellIs" dxfId="786" priority="1448" operator="greaterThan">
      <formula>0</formula>
    </cfRule>
  </conditionalFormatting>
  <conditionalFormatting sqref="Q130:R130 Q131:Q132">
    <cfRule type="cellIs" dxfId="785" priority="1443" operator="greaterThan">
      <formula>0</formula>
    </cfRule>
  </conditionalFormatting>
  <conditionalFormatting sqref="A129">
    <cfRule type="cellIs" dxfId="784" priority="1453" operator="greaterThan">
      <formula>0</formula>
    </cfRule>
  </conditionalFormatting>
  <conditionalFormatting sqref="Q129:T129 S132:T132">
    <cfRule type="cellIs" dxfId="783" priority="1450" operator="greaterThan">
      <formula>0</formula>
    </cfRule>
  </conditionalFormatting>
  <conditionalFormatting sqref="W130">
    <cfRule type="cellIs" dxfId="782" priority="1445" operator="greaterThan">
      <formula>0</formula>
    </cfRule>
  </conditionalFormatting>
  <conditionalFormatting sqref="A130:A136">
    <cfRule type="cellIs" dxfId="781" priority="1447" operator="greaterThan">
      <formula>0</formula>
    </cfRule>
  </conditionalFormatting>
  <conditionalFormatting sqref="A130:A136">
    <cfRule type="cellIs" dxfId="780" priority="1446" operator="greaterThan">
      <formula>0</formula>
    </cfRule>
  </conditionalFormatting>
  <conditionalFormatting sqref="T130">
    <cfRule type="cellIs" dxfId="779" priority="1444" operator="greaterThan">
      <formula>0</formula>
    </cfRule>
  </conditionalFormatting>
  <conditionalFormatting sqref="T134">
    <cfRule type="cellIs" dxfId="778" priority="1419" operator="greaterThan">
      <formula>0</formula>
    </cfRule>
  </conditionalFormatting>
  <conditionalFormatting sqref="W131">
    <cfRule type="cellIs" dxfId="777" priority="1432" operator="greaterThan">
      <formula>0</formula>
    </cfRule>
  </conditionalFormatting>
  <conditionalFormatting sqref="T131">
    <cfRule type="cellIs" dxfId="776" priority="1431" operator="greaterThan">
      <formula>0</formula>
    </cfRule>
  </conditionalFormatting>
  <conditionalFormatting sqref="R131">
    <cfRule type="cellIs" dxfId="775" priority="1430" operator="greaterThan">
      <formula>0</formula>
    </cfRule>
  </conditionalFormatting>
  <conditionalFormatting sqref="W131 S131:T131">
    <cfRule type="cellIs" dxfId="774" priority="1435" operator="greaterThan">
      <formula>0</formula>
    </cfRule>
  </conditionalFormatting>
  <conditionalFormatting sqref="R137">
    <cfRule type="cellIs" dxfId="773" priority="1412" operator="greaterThan">
      <formula>0</formula>
    </cfRule>
  </conditionalFormatting>
  <conditionalFormatting sqref="W133 W138">
    <cfRule type="cellIs" dxfId="772" priority="1427" operator="greaterThan">
      <formula>0</formula>
    </cfRule>
  </conditionalFormatting>
  <conditionalFormatting sqref="A138">
    <cfRule type="cellIs" dxfId="771" priority="1426" operator="greaterThan">
      <formula>0</formula>
    </cfRule>
  </conditionalFormatting>
  <conditionalFormatting sqref="R138">
    <cfRule type="cellIs" dxfId="770" priority="1424" operator="greaterThan">
      <formula>0</formula>
    </cfRule>
  </conditionalFormatting>
  <conditionalFormatting sqref="W134 S134:T134">
    <cfRule type="cellIs" dxfId="769" priority="1423" operator="greaterThan">
      <formula>0</formula>
    </cfRule>
  </conditionalFormatting>
  <conditionalFormatting sqref="Q134:R134">
    <cfRule type="cellIs" dxfId="768" priority="1418" operator="greaterThan">
      <formula>0</formula>
    </cfRule>
  </conditionalFormatting>
  <conditionalFormatting sqref="Q133:T133 S138:T138">
    <cfRule type="cellIs" dxfId="767" priority="1425" operator="greaterThan">
      <formula>0</formula>
    </cfRule>
  </conditionalFormatting>
  <conditionalFormatting sqref="W134">
    <cfRule type="cellIs" dxfId="766" priority="1420" operator="greaterThan">
      <formula>0</formula>
    </cfRule>
  </conditionalFormatting>
  <conditionalFormatting sqref="W137">
    <cfRule type="cellIs" dxfId="765" priority="1414" operator="greaterThan">
      <formula>0</formula>
    </cfRule>
  </conditionalFormatting>
  <conditionalFormatting sqref="A137">
    <cfRule type="cellIs" dxfId="764" priority="1416" operator="greaterThan">
      <formula>0</formula>
    </cfRule>
  </conditionalFormatting>
  <conditionalFormatting sqref="T137">
    <cfRule type="cellIs" dxfId="763" priority="1413" operator="greaterThan">
      <formula>0</formula>
    </cfRule>
  </conditionalFormatting>
  <conditionalFormatting sqref="R141">
    <cfRule type="cellIs" dxfId="762" priority="1382" operator="greaterThan">
      <formula>0</formula>
    </cfRule>
  </conditionalFormatting>
  <conditionalFormatting sqref="W137 S137:T137">
    <cfRule type="cellIs" dxfId="761" priority="1417" operator="greaterThan">
      <formula>0</formula>
    </cfRule>
  </conditionalFormatting>
  <conditionalFormatting sqref="A137">
    <cfRule type="cellIs" dxfId="760" priority="1415" operator="greaterThan">
      <formula>0</formula>
    </cfRule>
  </conditionalFormatting>
  <conditionalFormatting sqref="T136">
    <cfRule type="cellIs" dxfId="759" priority="1407" operator="greaterThan">
      <formula>0</formula>
    </cfRule>
  </conditionalFormatting>
  <conditionalFormatting sqref="W136 S136:T136">
    <cfRule type="cellIs" dxfId="758" priority="1411" operator="greaterThan">
      <formula>0</formula>
    </cfRule>
  </conditionalFormatting>
  <conditionalFormatting sqref="R136">
    <cfRule type="cellIs" dxfId="757" priority="1406" operator="greaterThan">
      <formula>0</formula>
    </cfRule>
  </conditionalFormatting>
  <conditionalFormatting sqref="W136">
    <cfRule type="cellIs" dxfId="756" priority="1408" operator="greaterThan">
      <formula>0</formula>
    </cfRule>
  </conditionalFormatting>
  <conditionalFormatting sqref="W139 W142">
    <cfRule type="cellIs" dxfId="755" priority="1404" operator="greaterThan">
      <formula>0</formula>
    </cfRule>
  </conditionalFormatting>
  <conditionalFormatting sqref="A142">
    <cfRule type="cellIs" dxfId="754" priority="1403" operator="greaterThan">
      <formula>0</formula>
    </cfRule>
  </conditionalFormatting>
  <conditionalFormatting sqref="R142">
    <cfRule type="cellIs" dxfId="753" priority="1401" operator="greaterThan">
      <formula>0</formula>
    </cfRule>
  </conditionalFormatting>
  <conditionalFormatting sqref="A139">
    <cfRule type="cellIs" dxfId="752" priority="1405" operator="greaterThan">
      <formula>0</formula>
    </cfRule>
  </conditionalFormatting>
  <conditionalFormatting sqref="Q139:T139 S142:T142">
    <cfRule type="cellIs" dxfId="751" priority="1402" operator="greaterThan">
      <formula>0</formula>
    </cfRule>
  </conditionalFormatting>
  <conditionalFormatting sqref="W141 S141:T141">
    <cfRule type="cellIs" dxfId="750" priority="1387" operator="greaterThan">
      <formula>0</formula>
    </cfRule>
  </conditionalFormatting>
  <conditionalFormatting sqref="W141">
    <cfRule type="cellIs" dxfId="749" priority="1384" operator="greaterThan">
      <formula>0</formula>
    </cfRule>
  </conditionalFormatting>
  <conditionalFormatting sqref="A141">
    <cfRule type="cellIs" dxfId="748" priority="1386" operator="greaterThan">
      <formula>0</formula>
    </cfRule>
  </conditionalFormatting>
  <conditionalFormatting sqref="T141">
    <cfRule type="cellIs" dxfId="747" priority="1383" operator="greaterThan">
      <formula>0</formula>
    </cfRule>
  </conditionalFormatting>
  <conditionalFormatting sqref="R144">
    <cfRule type="cellIs" dxfId="746" priority="1370" operator="greaterThan">
      <formula>0</formula>
    </cfRule>
  </conditionalFormatting>
  <conditionalFormatting sqref="A141">
    <cfRule type="cellIs" dxfId="745" priority="1385" operator="greaterThan">
      <formula>0</formula>
    </cfRule>
  </conditionalFormatting>
  <conditionalFormatting sqref="W143 W145">
    <cfRule type="cellIs" dxfId="744" priority="1380" operator="greaterThan">
      <formula>0</formula>
    </cfRule>
  </conditionalFormatting>
  <conditionalFormatting sqref="A145">
    <cfRule type="cellIs" dxfId="743" priority="1379" operator="greaterThan">
      <formula>0</formula>
    </cfRule>
  </conditionalFormatting>
  <conditionalFormatting sqref="R145">
    <cfRule type="cellIs" dxfId="742" priority="1377" operator="greaterThan">
      <formula>0</formula>
    </cfRule>
  </conditionalFormatting>
  <conditionalFormatting sqref="A143">
    <cfRule type="cellIs" dxfId="741" priority="1381" operator="greaterThan">
      <formula>0</formula>
    </cfRule>
  </conditionalFormatting>
  <conditionalFormatting sqref="Q143:T143 S145:T145">
    <cfRule type="cellIs" dxfId="740" priority="1378" operator="greaterThan">
      <formula>0</formula>
    </cfRule>
  </conditionalFormatting>
  <conditionalFormatting sqref="Q144:Q145">
    <cfRule type="cellIs" dxfId="739" priority="1376" operator="greaterThan">
      <formula>0</formula>
    </cfRule>
  </conditionalFormatting>
  <conditionalFormatting sqref="W144">
    <cfRule type="cellIs" dxfId="738" priority="1372" operator="greaterThan">
      <formula>0</formula>
    </cfRule>
  </conditionalFormatting>
  <conditionalFormatting sqref="A144">
    <cfRule type="cellIs" dxfId="737" priority="1374" operator="greaterThan">
      <formula>0</formula>
    </cfRule>
  </conditionalFormatting>
  <conditionalFormatting sqref="T144">
    <cfRule type="cellIs" dxfId="736" priority="1371" operator="greaterThan">
      <formula>0</formula>
    </cfRule>
  </conditionalFormatting>
  <conditionalFormatting sqref="W144 S144:T144">
    <cfRule type="cellIs" dxfId="735" priority="1375" operator="greaterThan">
      <formula>0</formula>
    </cfRule>
  </conditionalFormatting>
  <conditionalFormatting sqref="A144">
    <cfRule type="cellIs" dxfId="734" priority="1373" operator="greaterThan">
      <formula>0</formula>
    </cfRule>
  </conditionalFormatting>
  <conditionalFormatting sqref="T135">
    <cfRule type="cellIs" dxfId="733" priority="1365" operator="greaterThan">
      <formula>0</formula>
    </cfRule>
  </conditionalFormatting>
  <conditionalFormatting sqref="W135 S135:T135">
    <cfRule type="cellIs" dxfId="732" priority="1369" operator="greaterThan">
      <formula>0</formula>
    </cfRule>
  </conditionalFormatting>
  <conditionalFormatting sqref="R135">
    <cfRule type="cellIs" dxfId="731" priority="1364" operator="greaterThan">
      <formula>0</formula>
    </cfRule>
  </conditionalFormatting>
  <conditionalFormatting sqref="W135">
    <cfRule type="cellIs" dxfId="730" priority="1366" operator="greaterThan">
      <formula>0</formula>
    </cfRule>
  </conditionalFormatting>
  <conditionalFormatting sqref="T140">
    <cfRule type="cellIs" dxfId="729" priority="1359" operator="greaterThan">
      <formula>0</formula>
    </cfRule>
  </conditionalFormatting>
  <conditionalFormatting sqref="W140 S140:T140">
    <cfRule type="cellIs" dxfId="728" priority="1363" operator="greaterThan">
      <formula>0</formula>
    </cfRule>
  </conditionalFormatting>
  <conditionalFormatting sqref="R140">
    <cfRule type="cellIs" dxfId="727" priority="1358" operator="greaterThan">
      <formula>0</formula>
    </cfRule>
  </conditionalFormatting>
  <conditionalFormatting sqref="W140">
    <cfRule type="cellIs" dxfId="726" priority="1360" operator="greaterThan">
      <formula>0</formula>
    </cfRule>
  </conditionalFormatting>
  <conditionalFormatting sqref="A140">
    <cfRule type="cellIs" dxfId="725" priority="1362" operator="greaterThan">
      <formula>0</formula>
    </cfRule>
  </conditionalFormatting>
  <conditionalFormatting sqref="A140">
    <cfRule type="cellIs" dxfId="724" priority="1361" operator="greaterThan">
      <formula>0</formula>
    </cfRule>
  </conditionalFormatting>
  <conditionalFormatting sqref="Q135:Q138">
    <cfRule type="cellIs" dxfId="723" priority="1357" operator="greaterThan">
      <formula>0</formula>
    </cfRule>
  </conditionalFormatting>
  <conditionalFormatting sqref="Q140:Q142">
    <cfRule type="cellIs" dxfId="722" priority="1356" operator="greaterThan">
      <formula>0</formula>
    </cfRule>
  </conditionalFormatting>
  <conditionalFormatting sqref="W160 W165">
    <cfRule type="cellIs" dxfId="721" priority="1354" operator="greaterThan">
      <formula>0</formula>
    </cfRule>
  </conditionalFormatting>
  <conditionalFormatting sqref="A165">
    <cfRule type="cellIs" dxfId="720" priority="1353" operator="greaterThan">
      <formula>0</formula>
    </cfRule>
  </conditionalFormatting>
  <conditionalFormatting sqref="R165">
    <cfRule type="cellIs" dxfId="719" priority="1351" operator="greaterThan">
      <formula>0</formula>
    </cfRule>
  </conditionalFormatting>
  <conditionalFormatting sqref="W161 S161:T161">
    <cfRule type="cellIs" dxfId="718" priority="1350" operator="greaterThan">
      <formula>0</formula>
    </cfRule>
  </conditionalFormatting>
  <conditionalFormatting sqref="Q161:R161 Q162:Q165">
    <cfRule type="cellIs" dxfId="717" priority="1345" operator="greaterThan">
      <formula>0</formula>
    </cfRule>
  </conditionalFormatting>
  <conditionalFormatting sqref="W162 S162:T162">
    <cfRule type="cellIs" dxfId="716" priority="1344" operator="greaterThan">
      <formula>0</formula>
    </cfRule>
  </conditionalFormatting>
  <conditionalFormatting sqref="W162">
    <cfRule type="cellIs" dxfId="715" priority="1341" operator="greaterThan">
      <formula>0</formula>
    </cfRule>
  </conditionalFormatting>
  <conditionalFormatting sqref="R162">
    <cfRule type="cellIs" dxfId="714" priority="1339" operator="greaterThan">
      <formula>0</formula>
    </cfRule>
  </conditionalFormatting>
  <conditionalFormatting sqref="A160">
    <cfRule type="cellIs" dxfId="713" priority="1355" operator="greaterThan">
      <formula>0</formula>
    </cfRule>
  </conditionalFormatting>
  <conditionalFormatting sqref="Q160:T160 S165:T165">
    <cfRule type="cellIs" dxfId="712" priority="1352" operator="greaterThan">
      <formula>0</formula>
    </cfRule>
  </conditionalFormatting>
  <conditionalFormatting sqref="W161">
    <cfRule type="cellIs" dxfId="711" priority="1347" operator="greaterThan">
      <formula>0</formula>
    </cfRule>
  </conditionalFormatting>
  <conditionalFormatting sqref="A161">
    <cfRule type="cellIs" dxfId="710" priority="1349" operator="greaterThan">
      <formula>0</formula>
    </cfRule>
  </conditionalFormatting>
  <conditionalFormatting sqref="A161">
    <cfRule type="cellIs" dxfId="709" priority="1348" operator="greaterThan">
      <formula>0</formula>
    </cfRule>
  </conditionalFormatting>
  <conditionalFormatting sqref="T161">
    <cfRule type="cellIs" dxfId="708" priority="1346" operator="greaterThan">
      <formula>0</formula>
    </cfRule>
  </conditionalFormatting>
  <conditionalFormatting sqref="A162">
    <cfRule type="cellIs" dxfId="707" priority="1343" operator="greaterThan">
      <formula>0</formula>
    </cfRule>
  </conditionalFormatting>
  <conditionalFormatting sqref="A162">
    <cfRule type="cellIs" dxfId="706" priority="1342" operator="greaterThan">
      <formula>0</formula>
    </cfRule>
  </conditionalFormatting>
  <conditionalFormatting sqref="T162">
    <cfRule type="cellIs" dxfId="705" priority="1340" operator="greaterThan">
      <formula>0</formula>
    </cfRule>
  </conditionalFormatting>
  <conditionalFormatting sqref="A190">
    <cfRule type="cellIs" dxfId="704" priority="1264" operator="greaterThan">
      <formula>0</formula>
    </cfRule>
  </conditionalFormatting>
  <conditionalFormatting sqref="W189 S189:T189">
    <cfRule type="cellIs" dxfId="703" priority="1255" operator="greaterThan">
      <formula>0</formula>
    </cfRule>
  </conditionalFormatting>
  <conditionalFormatting sqref="W188 S188:T188">
    <cfRule type="cellIs" dxfId="702" priority="1261" operator="greaterThan">
      <formula>0</formula>
    </cfRule>
  </conditionalFormatting>
  <conditionalFormatting sqref="Q187:T187 S190:T190">
    <cfRule type="cellIs" dxfId="701" priority="1263" operator="greaterThan">
      <formula>0</formula>
    </cfRule>
  </conditionalFormatting>
  <conditionalFormatting sqref="W187 W190">
    <cfRule type="cellIs" dxfId="700" priority="1265" operator="greaterThan">
      <formula>0</formula>
    </cfRule>
  </conditionalFormatting>
  <conditionalFormatting sqref="Q188:R188">
    <cfRule type="cellIs" dxfId="699" priority="1256" operator="greaterThan">
      <formula>0</formula>
    </cfRule>
  </conditionalFormatting>
  <conditionalFormatting sqref="R189">
    <cfRule type="cellIs" dxfId="698" priority="1250" operator="greaterThan">
      <formula>0</formula>
    </cfRule>
  </conditionalFormatting>
  <conditionalFormatting sqref="Q189:Q190">
    <cfRule type="cellIs" dxfId="697" priority="1267" operator="greaterThan">
      <formula>0</formula>
    </cfRule>
  </conditionalFormatting>
  <conditionalFormatting sqref="R190">
    <cfRule type="cellIs" dxfId="696" priority="1262" operator="greaterThan">
      <formula>0</formula>
    </cfRule>
  </conditionalFormatting>
  <conditionalFormatting sqref="W189">
    <cfRule type="cellIs" dxfId="695" priority="1252" operator="greaterThan">
      <formula>0</formula>
    </cfRule>
  </conditionalFormatting>
  <conditionalFormatting sqref="A187">
    <cfRule type="cellIs" dxfId="694" priority="1266" operator="greaterThan">
      <formula>0</formula>
    </cfRule>
  </conditionalFormatting>
  <conditionalFormatting sqref="W188">
    <cfRule type="cellIs" dxfId="693" priority="1258" operator="greaterThan">
      <formula>0</formula>
    </cfRule>
  </conditionalFormatting>
  <conditionalFormatting sqref="A188">
    <cfRule type="cellIs" dxfId="692" priority="1260" operator="greaterThan">
      <formula>0</formula>
    </cfRule>
  </conditionalFormatting>
  <conditionalFormatting sqref="A188">
    <cfRule type="cellIs" dxfId="691" priority="1259" operator="greaterThan">
      <formula>0</formula>
    </cfRule>
  </conditionalFormatting>
  <conditionalFormatting sqref="T188">
    <cfRule type="cellIs" dxfId="690" priority="1257" operator="greaterThan">
      <formula>0</formula>
    </cfRule>
  </conditionalFormatting>
  <conditionalFormatting sqref="A189">
    <cfRule type="cellIs" dxfId="689" priority="1254" operator="greaterThan">
      <formula>0</formula>
    </cfRule>
  </conditionalFormatting>
  <conditionalFormatting sqref="A189">
    <cfRule type="cellIs" dxfId="688" priority="1253" operator="greaterThan">
      <formula>0</formula>
    </cfRule>
  </conditionalFormatting>
  <conditionalFormatting sqref="T189">
    <cfRule type="cellIs" dxfId="687" priority="1251" operator="greaterThan">
      <formula>0</formula>
    </cfRule>
  </conditionalFormatting>
  <conditionalFormatting sqref="A147">
    <cfRule type="cellIs" dxfId="686" priority="1123" operator="greaterThan">
      <formula>0</formula>
    </cfRule>
  </conditionalFormatting>
  <conditionalFormatting sqref="W147">
    <cfRule type="cellIs" dxfId="685" priority="1122" operator="greaterThan">
      <formula>0</formula>
    </cfRule>
  </conditionalFormatting>
  <conditionalFormatting sqref="Q147:T147">
    <cfRule type="cellIs" dxfId="684" priority="1121" operator="greaterThan">
      <formula>0</formula>
    </cfRule>
  </conditionalFormatting>
  <conditionalFormatting sqref="A148:A151">
    <cfRule type="cellIs" dxfId="683" priority="1120" operator="greaterThan">
      <formula>0</formula>
    </cfRule>
  </conditionalFormatting>
  <conditionalFormatting sqref="W148:W151">
    <cfRule type="cellIs" dxfId="682" priority="1119" operator="greaterThan">
      <formula>0</formula>
    </cfRule>
  </conditionalFormatting>
  <conditionalFormatting sqref="Q148:T151">
    <cfRule type="cellIs" dxfId="681" priority="1118" operator="greaterThan">
      <formula>0</formula>
    </cfRule>
  </conditionalFormatting>
  <conditionalFormatting sqref="W152:W156">
    <cfRule type="cellIs" dxfId="680" priority="721" operator="greaterThan">
      <formula>0</formula>
    </cfRule>
  </conditionalFormatting>
  <conditionalFormatting sqref="Q152:T156">
    <cfRule type="cellIs" dxfId="679" priority="720" operator="greaterThan">
      <formula>0</formula>
    </cfRule>
  </conditionalFormatting>
  <conditionalFormatting sqref="A152:A156">
    <cfRule type="cellIs" dxfId="678" priority="722" operator="greaterThan">
      <formula>0</formula>
    </cfRule>
  </conditionalFormatting>
  <conditionalFormatting sqref="A35">
    <cfRule type="cellIs" dxfId="677" priority="680" operator="greaterThan">
      <formula>0</formula>
    </cfRule>
  </conditionalFormatting>
  <conditionalFormatting sqref="A35">
    <cfRule type="cellIs" dxfId="676" priority="679" operator="greaterThan">
      <formula>0</formula>
    </cfRule>
  </conditionalFormatting>
  <conditionalFormatting sqref="Q259:T260 W259:W260">
    <cfRule type="cellIs" dxfId="675" priority="533" operator="greaterThan">
      <formula>0</formula>
    </cfRule>
  </conditionalFormatting>
  <conditionalFormatting sqref="A259:A260">
    <cfRule type="cellIs" dxfId="674" priority="532" operator="greaterThan">
      <formula>0</formula>
    </cfRule>
  </conditionalFormatting>
  <conditionalFormatting sqref="W263:W264">
    <cfRule type="cellIs" dxfId="673" priority="531" operator="greaterThan">
      <formula>0</formula>
    </cfRule>
  </conditionalFormatting>
  <conditionalFormatting sqref="A263:A264">
    <cfRule type="cellIs" dxfId="672" priority="530" operator="greaterThan">
      <formula>0</formula>
    </cfRule>
  </conditionalFormatting>
  <conditionalFormatting sqref="W265:W266">
    <cfRule type="cellIs" dxfId="671" priority="529" operator="greaterThan">
      <formula>0</formula>
    </cfRule>
  </conditionalFormatting>
  <conditionalFormatting sqref="A265:A266">
    <cfRule type="cellIs" dxfId="670" priority="528" operator="greaterThan">
      <formula>0</formula>
    </cfRule>
  </conditionalFormatting>
  <conditionalFormatting sqref="A18:A19">
    <cfRule type="cellIs" dxfId="669" priority="518" operator="greaterThan">
      <formula>0</formula>
    </cfRule>
  </conditionalFormatting>
  <conditionalFormatting sqref="W18:W19">
    <cfRule type="cellIs" dxfId="668" priority="517" operator="greaterThan">
      <formula>0</formula>
    </cfRule>
  </conditionalFormatting>
  <conditionalFormatting sqref="W13">
    <cfRule type="cellIs" dxfId="667" priority="520" operator="greaterThan">
      <formula>0</formula>
    </cfRule>
  </conditionalFormatting>
  <conditionalFormatting sqref="Q18:T19">
    <cfRule type="cellIs" dxfId="666" priority="516" operator="greaterThan">
      <formula>0</formula>
    </cfRule>
  </conditionalFormatting>
  <conditionalFormatting sqref="A13">
    <cfRule type="cellIs" dxfId="665" priority="521" operator="greaterThan">
      <formula>0</formula>
    </cfRule>
  </conditionalFormatting>
  <conditionalFormatting sqref="Q13:T13">
    <cfRule type="cellIs" dxfId="664" priority="519" operator="greaterThan">
      <formula>0</formula>
    </cfRule>
  </conditionalFormatting>
  <conditionalFormatting sqref="A20 A29">
    <cfRule type="cellIs" dxfId="663" priority="515" operator="greaterThan">
      <formula>0</formula>
    </cfRule>
  </conditionalFormatting>
  <conditionalFormatting sqref="W20 W29">
    <cfRule type="cellIs" dxfId="662" priority="514" operator="greaterThan">
      <formula>0</formula>
    </cfRule>
  </conditionalFormatting>
  <conditionalFormatting sqref="Q20:T20 Q29:T29">
    <cfRule type="cellIs" dxfId="661" priority="513" operator="greaterThan">
      <formula>0</formula>
    </cfRule>
  </conditionalFormatting>
  <conditionalFormatting sqref="R168">
    <cfRule type="cellIs" dxfId="660" priority="489" operator="greaterThan">
      <formula>0</formula>
    </cfRule>
  </conditionalFormatting>
  <conditionalFormatting sqref="W164 S164:T164">
    <cfRule type="cellIs" dxfId="659" priority="511" operator="greaterThan">
      <formula>0</formula>
    </cfRule>
  </conditionalFormatting>
  <conditionalFormatting sqref="W164">
    <cfRule type="cellIs" dxfId="658" priority="508" operator="greaterThan">
      <formula>0</formula>
    </cfRule>
  </conditionalFormatting>
  <conditionalFormatting sqref="R164">
    <cfRule type="cellIs" dxfId="657" priority="506" operator="greaterThan">
      <formula>0</formula>
    </cfRule>
  </conditionalFormatting>
  <conditionalFormatting sqref="A164">
    <cfRule type="cellIs" dxfId="656" priority="510" operator="greaterThan">
      <formula>0</formula>
    </cfRule>
  </conditionalFormatting>
  <conditionalFormatting sqref="A164">
    <cfRule type="cellIs" dxfId="655" priority="509" operator="greaterThan">
      <formula>0</formula>
    </cfRule>
  </conditionalFormatting>
  <conditionalFormatting sqref="T164">
    <cfRule type="cellIs" dxfId="654" priority="507" operator="greaterThan">
      <formula>0</formula>
    </cfRule>
  </conditionalFormatting>
  <conditionalFormatting sqref="W166 W171 W182:W186">
    <cfRule type="cellIs" dxfId="653" priority="504" operator="greaterThan">
      <formula>0</formula>
    </cfRule>
  </conditionalFormatting>
  <conditionalFormatting sqref="A171 A182:A186">
    <cfRule type="cellIs" dxfId="652" priority="503" operator="greaterThan">
      <formula>0</formula>
    </cfRule>
  </conditionalFormatting>
  <conditionalFormatting sqref="R171 R182:R186">
    <cfRule type="cellIs" dxfId="651" priority="501" operator="greaterThan">
      <formula>0</formula>
    </cfRule>
  </conditionalFormatting>
  <conditionalFormatting sqref="W167 S167:T167">
    <cfRule type="cellIs" dxfId="650" priority="500" operator="greaterThan">
      <formula>0</formula>
    </cfRule>
  </conditionalFormatting>
  <conditionalFormatting sqref="Q167:R167 Q168:Q171 Q182:Q186">
    <cfRule type="cellIs" dxfId="649" priority="495" operator="greaterThan">
      <formula>0</formula>
    </cfRule>
  </conditionalFormatting>
  <conditionalFormatting sqref="W168 S168:T168">
    <cfRule type="cellIs" dxfId="648" priority="494" operator="greaterThan">
      <formula>0</formula>
    </cfRule>
  </conditionalFormatting>
  <conditionalFormatting sqref="W168">
    <cfRule type="cellIs" dxfId="647" priority="491" operator="greaterThan">
      <formula>0</formula>
    </cfRule>
  </conditionalFormatting>
  <conditionalFormatting sqref="W173">
    <cfRule type="cellIs" dxfId="646" priority="453" operator="greaterThan">
      <formula>0</formula>
    </cfRule>
  </conditionalFormatting>
  <conditionalFormatting sqref="A166">
    <cfRule type="cellIs" dxfId="645" priority="505" operator="greaterThan">
      <formula>0</formula>
    </cfRule>
  </conditionalFormatting>
  <conditionalFormatting sqref="Q166:T166 S171:T171 S182:T186">
    <cfRule type="cellIs" dxfId="644" priority="502" operator="greaterThan">
      <formula>0</formula>
    </cfRule>
  </conditionalFormatting>
  <conditionalFormatting sqref="W167">
    <cfRule type="cellIs" dxfId="643" priority="497" operator="greaterThan">
      <formula>0</formula>
    </cfRule>
  </conditionalFormatting>
  <conditionalFormatting sqref="A167">
    <cfRule type="cellIs" dxfId="642" priority="499" operator="greaterThan">
      <formula>0</formula>
    </cfRule>
  </conditionalFormatting>
  <conditionalFormatting sqref="A167">
    <cfRule type="cellIs" dxfId="641" priority="498" operator="greaterThan">
      <formula>0</formula>
    </cfRule>
  </conditionalFormatting>
  <conditionalFormatting sqref="T167">
    <cfRule type="cellIs" dxfId="640" priority="496" operator="greaterThan">
      <formula>0</formula>
    </cfRule>
  </conditionalFormatting>
  <conditionalFormatting sqref="A168">
    <cfRule type="cellIs" dxfId="639" priority="493" operator="greaterThan">
      <formula>0</formula>
    </cfRule>
  </conditionalFormatting>
  <conditionalFormatting sqref="A168">
    <cfRule type="cellIs" dxfId="638" priority="492" operator="greaterThan">
      <formula>0</formula>
    </cfRule>
  </conditionalFormatting>
  <conditionalFormatting sqref="T168">
    <cfRule type="cellIs" dxfId="637" priority="490" operator="greaterThan">
      <formula>0</formula>
    </cfRule>
  </conditionalFormatting>
  <conditionalFormatting sqref="W170 S170:T170">
    <cfRule type="cellIs" dxfId="636" priority="474" operator="greaterThan">
      <formula>0</formula>
    </cfRule>
  </conditionalFormatting>
  <conditionalFormatting sqref="W170">
    <cfRule type="cellIs" dxfId="635" priority="471" operator="greaterThan">
      <formula>0</formula>
    </cfRule>
  </conditionalFormatting>
  <conditionalFormatting sqref="R170">
    <cfRule type="cellIs" dxfId="634" priority="469" operator="greaterThan">
      <formula>0</formula>
    </cfRule>
  </conditionalFormatting>
  <conditionalFormatting sqref="A170">
    <cfRule type="cellIs" dxfId="633" priority="473" operator="greaterThan">
      <formula>0</formula>
    </cfRule>
  </conditionalFormatting>
  <conditionalFormatting sqref="A170">
    <cfRule type="cellIs" dxfId="632" priority="472" operator="greaterThan">
      <formula>0</formula>
    </cfRule>
  </conditionalFormatting>
  <conditionalFormatting sqref="T170">
    <cfRule type="cellIs" dxfId="631" priority="470" operator="greaterThan">
      <formula>0</formula>
    </cfRule>
  </conditionalFormatting>
  <conditionalFormatting sqref="W163 S163:T163">
    <cfRule type="cellIs" dxfId="630" priority="481" operator="greaterThan">
      <formula>0</formula>
    </cfRule>
  </conditionalFormatting>
  <conditionalFormatting sqref="W163">
    <cfRule type="cellIs" dxfId="629" priority="478" operator="greaterThan">
      <formula>0</formula>
    </cfRule>
  </conditionalFormatting>
  <conditionalFormatting sqref="R163">
    <cfRule type="cellIs" dxfId="628" priority="476" operator="greaterThan">
      <formula>0</formula>
    </cfRule>
  </conditionalFormatting>
  <conditionalFormatting sqref="A163">
    <cfRule type="cellIs" dxfId="627" priority="480" operator="greaterThan">
      <formula>0</formula>
    </cfRule>
  </conditionalFormatting>
  <conditionalFormatting sqref="A163">
    <cfRule type="cellIs" dxfId="626" priority="479" operator="greaterThan">
      <formula>0</formula>
    </cfRule>
  </conditionalFormatting>
  <conditionalFormatting sqref="T163">
    <cfRule type="cellIs" dxfId="625" priority="477" operator="greaterThan">
      <formula>0</formula>
    </cfRule>
  </conditionalFormatting>
  <conditionalFormatting sqref="T174">
    <cfRule type="cellIs" dxfId="624" priority="446" operator="greaterThan">
      <formula>0</formula>
    </cfRule>
  </conditionalFormatting>
  <conditionalFormatting sqref="R174">
    <cfRule type="cellIs" dxfId="623" priority="445" operator="greaterThan">
      <formula>0</formula>
    </cfRule>
  </conditionalFormatting>
  <conditionalFormatting sqref="W169 S169:T169">
    <cfRule type="cellIs" dxfId="622" priority="467" operator="greaterThan">
      <formula>0</formula>
    </cfRule>
  </conditionalFormatting>
  <conditionalFormatting sqref="W169">
    <cfRule type="cellIs" dxfId="621" priority="464" operator="greaterThan">
      <formula>0</formula>
    </cfRule>
  </conditionalFormatting>
  <conditionalFormatting sqref="R169">
    <cfRule type="cellIs" dxfId="620" priority="462" operator="greaterThan">
      <formula>0</formula>
    </cfRule>
  </conditionalFormatting>
  <conditionalFormatting sqref="A169">
    <cfRule type="cellIs" dxfId="619" priority="466" operator="greaterThan">
      <formula>0</formula>
    </cfRule>
  </conditionalFormatting>
  <conditionalFormatting sqref="A169">
    <cfRule type="cellIs" dxfId="618" priority="465" operator="greaterThan">
      <formula>0</formula>
    </cfRule>
  </conditionalFormatting>
  <conditionalFormatting sqref="T169">
    <cfRule type="cellIs" dxfId="617" priority="463" operator="greaterThan">
      <formula>0</formula>
    </cfRule>
  </conditionalFormatting>
  <conditionalFormatting sqref="W172 W176">
    <cfRule type="cellIs" dxfId="616" priority="460" operator="greaterThan">
      <formula>0</formula>
    </cfRule>
  </conditionalFormatting>
  <conditionalFormatting sqref="A176">
    <cfRule type="cellIs" dxfId="615" priority="459" operator="greaterThan">
      <formula>0</formula>
    </cfRule>
  </conditionalFormatting>
  <conditionalFormatting sqref="R176">
    <cfRule type="cellIs" dxfId="614" priority="457" operator="greaterThan">
      <formula>0</formula>
    </cfRule>
  </conditionalFormatting>
  <conditionalFormatting sqref="W173 S173:T173">
    <cfRule type="cellIs" dxfId="613" priority="456" operator="greaterThan">
      <formula>0</formula>
    </cfRule>
  </conditionalFormatting>
  <conditionalFormatting sqref="Q173:R173">
    <cfRule type="cellIs" dxfId="612" priority="451" operator="greaterThan">
      <formula>0</formula>
    </cfRule>
  </conditionalFormatting>
  <conditionalFormatting sqref="W174 S174:T174">
    <cfRule type="cellIs" dxfId="611" priority="450" operator="greaterThan">
      <formula>0</formula>
    </cfRule>
  </conditionalFormatting>
  <conditionalFormatting sqref="W174">
    <cfRule type="cellIs" dxfId="610" priority="447" operator="greaterThan">
      <formula>0</formula>
    </cfRule>
  </conditionalFormatting>
  <conditionalFormatting sqref="A172">
    <cfRule type="cellIs" dxfId="609" priority="461" operator="greaterThan">
      <formula>0</formula>
    </cfRule>
  </conditionalFormatting>
  <conditionalFormatting sqref="Q172:T172 S176:T176">
    <cfRule type="cellIs" dxfId="608" priority="458" operator="greaterThan">
      <formula>0</formula>
    </cfRule>
  </conditionalFormatting>
  <conditionalFormatting sqref="A173">
    <cfRule type="cellIs" dxfId="607" priority="455" operator="greaterThan">
      <formula>0</formula>
    </cfRule>
  </conditionalFormatting>
  <conditionalFormatting sqref="A173">
    <cfRule type="cellIs" dxfId="606" priority="454" operator="greaterThan">
      <formula>0</formula>
    </cfRule>
  </conditionalFormatting>
  <conditionalFormatting sqref="T173">
    <cfRule type="cellIs" dxfId="605" priority="452" operator="greaterThan">
      <formula>0</formula>
    </cfRule>
  </conditionalFormatting>
  <conditionalFormatting sqref="A174">
    <cfRule type="cellIs" dxfId="604" priority="449" operator="greaterThan">
      <formula>0</formula>
    </cfRule>
  </conditionalFormatting>
  <conditionalFormatting sqref="A174">
    <cfRule type="cellIs" dxfId="603" priority="448" operator="greaterThan">
      <formula>0</formula>
    </cfRule>
  </conditionalFormatting>
  <conditionalFormatting sqref="W175 S175:T175">
    <cfRule type="cellIs" dxfId="602" priority="438" operator="greaterThan">
      <formula>0</formula>
    </cfRule>
  </conditionalFormatting>
  <conditionalFormatting sqref="W175">
    <cfRule type="cellIs" dxfId="601" priority="435" operator="greaterThan">
      <formula>0</formula>
    </cfRule>
  </conditionalFormatting>
  <conditionalFormatting sqref="R175">
    <cfRule type="cellIs" dxfId="600" priority="433" operator="greaterThan">
      <formula>0</formula>
    </cfRule>
  </conditionalFormatting>
  <conditionalFormatting sqref="A175">
    <cfRule type="cellIs" dxfId="599" priority="437" operator="greaterThan">
      <formula>0</formula>
    </cfRule>
  </conditionalFormatting>
  <conditionalFormatting sqref="A175">
    <cfRule type="cellIs" dxfId="598" priority="436" operator="greaterThan">
      <formula>0</formula>
    </cfRule>
  </conditionalFormatting>
  <conditionalFormatting sqref="T175">
    <cfRule type="cellIs" dxfId="597" priority="434" operator="greaterThan">
      <formula>0</formula>
    </cfRule>
  </conditionalFormatting>
  <conditionalFormatting sqref="Q179:Q181">
    <cfRule type="cellIs" dxfId="596" priority="432" operator="greaterThan">
      <formula>0</formula>
    </cfRule>
  </conditionalFormatting>
  <conditionalFormatting sqref="W178">
    <cfRule type="cellIs" dxfId="595" priority="423" operator="greaterThan">
      <formula>0</formula>
    </cfRule>
  </conditionalFormatting>
  <conditionalFormatting sqref="T179">
    <cfRule type="cellIs" dxfId="594" priority="416" operator="greaterThan">
      <formula>0</formula>
    </cfRule>
  </conditionalFormatting>
  <conditionalFormatting sqref="R179">
    <cfRule type="cellIs" dxfId="593" priority="415" operator="greaterThan">
      <formula>0</formula>
    </cfRule>
  </conditionalFormatting>
  <conditionalFormatting sqref="W177 W181">
    <cfRule type="cellIs" dxfId="592" priority="430" operator="greaterThan">
      <formula>0</formula>
    </cfRule>
  </conditionalFormatting>
  <conditionalFormatting sqref="A181">
    <cfRule type="cellIs" dxfId="591" priority="429" operator="greaterThan">
      <formula>0</formula>
    </cfRule>
  </conditionalFormatting>
  <conditionalFormatting sqref="R181">
    <cfRule type="cellIs" dxfId="590" priority="427" operator="greaterThan">
      <formula>0</formula>
    </cfRule>
  </conditionalFormatting>
  <conditionalFormatting sqref="W178 S178:T178">
    <cfRule type="cellIs" dxfId="589" priority="426" operator="greaterThan">
      <formula>0</formula>
    </cfRule>
  </conditionalFormatting>
  <conditionalFormatting sqref="Q178:R178">
    <cfRule type="cellIs" dxfId="588" priority="421" operator="greaterThan">
      <formula>0</formula>
    </cfRule>
  </conditionalFormatting>
  <conditionalFormatting sqref="W179 S179:T179">
    <cfRule type="cellIs" dxfId="587" priority="420" operator="greaterThan">
      <formula>0</formula>
    </cfRule>
  </conditionalFormatting>
  <conditionalFormatting sqref="W179">
    <cfRule type="cellIs" dxfId="586" priority="417" operator="greaterThan">
      <formula>0</formula>
    </cfRule>
  </conditionalFormatting>
  <conditionalFormatting sqref="A177">
    <cfRule type="cellIs" dxfId="585" priority="431" operator="greaterThan">
      <formula>0</formula>
    </cfRule>
  </conditionalFormatting>
  <conditionalFormatting sqref="Q177:T177 S181:T181">
    <cfRule type="cellIs" dxfId="584" priority="428" operator="greaterThan">
      <formula>0</formula>
    </cfRule>
  </conditionalFormatting>
  <conditionalFormatting sqref="A178">
    <cfRule type="cellIs" dxfId="583" priority="425" operator="greaterThan">
      <formula>0</formula>
    </cfRule>
  </conditionalFormatting>
  <conditionalFormatting sqref="A178">
    <cfRule type="cellIs" dxfId="582" priority="424" operator="greaterThan">
      <formula>0</formula>
    </cfRule>
  </conditionalFormatting>
  <conditionalFormatting sqref="T178">
    <cfRule type="cellIs" dxfId="581" priority="422" operator="greaterThan">
      <formula>0</formula>
    </cfRule>
  </conditionalFormatting>
  <conditionalFormatting sqref="A179">
    <cfRule type="cellIs" dxfId="580" priority="419" operator="greaterThan">
      <formula>0</formula>
    </cfRule>
  </conditionalFormatting>
  <conditionalFormatting sqref="A179">
    <cfRule type="cellIs" dxfId="579" priority="418" operator="greaterThan">
      <formula>0</formula>
    </cfRule>
  </conditionalFormatting>
  <conditionalFormatting sqref="W180 S180:T180">
    <cfRule type="cellIs" dxfId="578" priority="414" operator="greaterThan">
      <formula>0</formula>
    </cfRule>
  </conditionalFormatting>
  <conditionalFormatting sqref="W180">
    <cfRule type="cellIs" dxfId="577" priority="411" operator="greaterThan">
      <formula>0</formula>
    </cfRule>
  </conditionalFormatting>
  <conditionalFormatting sqref="R180">
    <cfRule type="cellIs" dxfId="576" priority="409" operator="greaterThan">
      <formula>0</formula>
    </cfRule>
  </conditionalFormatting>
  <conditionalFormatting sqref="A180">
    <cfRule type="cellIs" dxfId="575" priority="413" operator="greaterThan">
      <formula>0</formula>
    </cfRule>
  </conditionalFormatting>
  <conditionalFormatting sqref="A180">
    <cfRule type="cellIs" dxfId="574" priority="412" operator="greaterThan">
      <formula>0</formula>
    </cfRule>
  </conditionalFormatting>
  <conditionalFormatting sqref="T180">
    <cfRule type="cellIs" dxfId="573" priority="410" operator="greaterThan">
      <formula>0</formula>
    </cfRule>
  </conditionalFormatting>
  <conditionalFormatting sqref="A194">
    <cfRule type="cellIs" dxfId="572" priority="405" operator="greaterThan">
      <formula>0</formula>
    </cfRule>
  </conditionalFormatting>
  <conditionalFormatting sqref="W193 S193:T193">
    <cfRule type="cellIs" dxfId="571" priority="396" operator="greaterThan">
      <formula>0</formula>
    </cfRule>
  </conditionalFormatting>
  <conditionalFormatting sqref="W192 S192:T192">
    <cfRule type="cellIs" dxfId="570" priority="402" operator="greaterThan">
      <formula>0</formula>
    </cfRule>
  </conditionalFormatting>
  <conditionalFormatting sqref="Q191:T191 S194:T194">
    <cfRule type="cellIs" dxfId="569" priority="404" operator="greaterThan">
      <formula>0</formula>
    </cfRule>
  </conditionalFormatting>
  <conditionalFormatting sqref="W191 W194">
    <cfRule type="cellIs" dxfId="568" priority="406" operator="greaterThan">
      <formula>0</formula>
    </cfRule>
  </conditionalFormatting>
  <conditionalFormatting sqref="Q192:R192">
    <cfRule type="cellIs" dxfId="567" priority="397" operator="greaterThan">
      <formula>0</formula>
    </cfRule>
  </conditionalFormatting>
  <conditionalFormatting sqref="R193">
    <cfRule type="cellIs" dxfId="566" priority="391" operator="greaterThan">
      <formula>0</formula>
    </cfRule>
  </conditionalFormatting>
  <conditionalFormatting sqref="Q193:Q194">
    <cfRule type="cellIs" dxfId="565" priority="408" operator="greaterThan">
      <formula>0</formula>
    </cfRule>
  </conditionalFormatting>
  <conditionalFormatting sqref="R194">
    <cfRule type="cellIs" dxfId="564" priority="403" operator="greaterThan">
      <formula>0</formula>
    </cfRule>
  </conditionalFormatting>
  <conditionalFormatting sqref="W193">
    <cfRule type="cellIs" dxfId="563" priority="393" operator="greaterThan">
      <formula>0</formula>
    </cfRule>
  </conditionalFormatting>
  <conditionalFormatting sqref="A191">
    <cfRule type="cellIs" dxfId="562" priority="407" operator="greaterThan">
      <formula>0</formula>
    </cfRule>
  </conditionalFormatting>
  <conditionalFormatting sqref="W192">
    <cfRule type="cellIs" dxfId="561" priority="399" operator="greaterThan">
      <formula>0</formula>
    </cfRule>
  </conditionalFormatting>
  <conditionalFormatting sqref="A192">
    <cfRule type="cellIs" dxfId="560" priority="401" operator="greaterThan">
      <formula>0</formula>
    </cfRule>
  </conditionalFormatting>
  <conditionalFormatting sqref="A192">
    <cfRule type="cellIs" dxfId="559" priority="400" operator="greaterThan">
      <formula>0</formula>
    </cfRule>
  </conditionalFormatting>
  <conditionalFormatting sqref="T192">
    <cfRule type="cellIs" dxfId="558" priority="398" operator="greaterThan">
      <formula>0</formula>
    </cfRule>
  </conditionalFormatting>
  <conditionalFormatting sqref="A193">
    <cfRule type="cellIs" dxfId="557" priority="395" operator="greaterThan">
      <formula>0</formula>
    </cfRule>
  </conditionalFormatting>
  <conditionalFormatting sqref="A193">
    <cfRule type="cellIs" dxfId="556" priority="394" operator="greaterThan">
      <formula>0</formula>
    </cfRule>
  </conditionalFormatting>
  <conditionalFormatting sqref="T193">
    <cfRule type="cellIs" dxfId="555" priority="392" operator="greaterThan">
      <formula>0</formula>
    </cfRule>
  </conditionalFormatting>
  <conditionalFormatting sqref="A198">
    <cfRule type="cellIs" dxfId="554" priority="387" operator="greaterThan">
      <formula>0</formula>
    </cfRule>
  </conditionalFormatting>
  <conditionalFormatting sqref="W197 S197:T197">
    <cfRule type="cellIs" dxfId="553" priority="378" operator="greaterThan">
      <formula>0</formula>
    </cfRule>
  </conditionalFormatting>
  <conditionalFormatting sqref="W196 S196:T196">
    <cfRule type="cellIs" dxfId="552" priority="384" operator="greaterThan">
      <formula>0</formula>
    </cfRule>
  </conditionalFormatting>
  <conditionalFormatting sqref="Q195:T195 S198:T198">
    <cfRule type="cellIs" dxfId="551" priority="386" operator="greaterThan">
      <formula>0</formula>
    </cfRule>
  </conditionalFormatting>
  <conditionalFormatting sqref="W195 W198">
    <cfRule type="cellIs" dxfId="550" priority="388" operator="greaterThan">
      <formula>0</formula>
    </cfRule>
  </conditionalFormatting>
  <conditionalFormatting sqref="Q196:R196">
    <cfRule type="cellIs" dxfId="549" priority="379" operator="greaterThan">
      <formula>0</formula>
    </cfRule>
  </conditionalFormatting>
  <conditionalFormatting sqref="R197">
    <cfRule type="cellIs" dxfId="548" priority="373" operator="greaterThan">
      <formula>0</formula>
    </cfRule>
  </conditionalFormatting>
  <conditionalFormatting sqref="Q197:Q198">
    <cfRule type="cellIs" dxfId="547" priority="390" operator="greaterThan">
      <formula>0</formula>
    </cfRule>
  </conditionalFormatting>
  <conditionalFormatting sqref="R198">
    <cfRule type="cellIs" dxfId="546" priority="385" operator="greaterThan">
      <formula>0</formula>
    </cfRule>
  </conditionalFormatting>
  <conditionalFormatting sqref="W197">
    <cfRule type="cellIs" dxfId="545" priority="375" operator="greaterThan">
      <formula>0</formula>
    </cfRule>
  </conditionalFormatting>
  <conditionalFormatting sqref="A195">
    <cfRule type="cellIs" dxfId="544" priority="389" operator="greaterThan">
      <formula>0</formula>
    </cfRule>
  </conditionalFormatting>
  <conditionalFormatting sqref="W196">
    <cfRule type="cellIs" dxfId="543" priority="381" operator="greaterThan">
      <formula>0</formula>
    </cfRule>
  </conditionalFormatting>
  <conditionalFormatting sqref="A196">
    <cfRule type="cellIs" dxfId="542" priority="383" operator="greaterThan">
      <formula>0</formula>
    </cfRule>
  </conditionalFormatting>
  <conditionalFormatting sqref="A196">
    <cfRule type="cellIs" dxfId="541" priority="382" operator="greaterThan">
      <formula>0</formula>
    </cfRule>
  </conditionalFormatting>
  <conditionalFormatting sqref="T196">
    <cfRule type="cellIs" dxfId="540" priority="380" operator="greaterThan">
      <formula>0</formula>
    </cfRule>
  </conditionalFormatting>
  <conditionalFormatting sqref="A197">
    <cfRule type="cellIs" dxfId="539" priority="377" operator="greaterThan">
      <formula>0</formula>
    </cfRule>
  </conditionalFormatting>
  <conditionalFormatting sqref="A197">
    <cfRule type="cellIs" dxfId="538" priority="376" operator="greaterThan">
      <formula>0</formula>
    </cfRule>
  </conditionalFormatting>
  <conditionalFormatting sqref="T197">
    <cfRule type="cellIs" dxfId="537" priority="374" operator="greaterThan">
      <formula>0</formula>
    </cfRule>
  </conditionalFormatting>
  <conditionalFormatting sqref="Q15">
    <cfRule type="cellIs" dxfId="536" priority="353" operator="greaterThan">
      <formula>0</formula>
    </cfRule>
  </conditionalFormatting>
  <conditionalFormatting sqref="R15">
    <cfRule type="cellIs" dxfId="535" priority="348" operator="greaterThan">
      <formula>0</formula>
    </cfRule>
  </conditionalFormatting>
  <conditionalFormatting sqref="W14:W15">
    <cfRule type="cellIs" dxfId="534" priority="351" operator="greaterThan">
      <formula>0</formula>
    </cfRule>
  </conditionalFormatting>
  <conditionalFormatting sqref="A15">
    <cfRule type="cellIs" dxfId="533" priority="350" operator="greaterThan">
      <formula>0</formula>
    </cfRule>
  </conditionalFormatting>
  <conditionalFormatting sqref="A14">
    <cfRule type="cellIs" dxfId="532" priority="352" operator="greaterThan">
      <formula>0</formula>
    </cfRule>
  </conditionalFormatting>
  <conditionalFormatting sqref="Q14:T14 S15:T15">
    <cfRule type="cellIs" dxfId="531" priority="349" operator="greaterThan">
      <formula>0</formula>
    </cfRule>
  </conditionalFormatting>
  <conditionalFormatting sqref="Q15">
    <cfRule type="cellIs" dxfId="530" priority="347" operator="greaterThan">
      <formula>0</formula>
    </cfRule>
  </conditionalFormatting>
  <conditionalFormatting sqref="Q17">
    <cfRule type="cellIs" dxfId="529" priority="346" operator="greaterThan">
      <formula>0</formula>
    </cfRule>
  </conditionalFormatting>
  <conditionalFormatting sqref="R17">
    <cfRule type="cellIs" dxfId="528" priority="341" operator="greaterThan">
      <formula>0</formula>
    </cfRule>
  </conditionalFormatting>
  <conditionalFormatting sqref="W16:W17">
    <cfRule type="cellIs" dxfId="527" priority="344" operator="greaterThan">
      <formula>0</formula>
    </cfRule>
  </conditionalFormatting>
  <conditionalFormatting sqref="A17">
    <cfRule type="cellIs" dxfId="526" priority="343" operator="greaterThan">
      <formula>0</formula>
    </cfRule>
  </conditionalFormatting>
  <conditionalFormatting sqref="A16">
    <cfRule type="cellIs" dxfId="525" priority="345" operator="greaterThan">
      <formula>0</formula>
    </cfRule>
  </conditionalFormatting>
  <conditionalFormatting sqref="Q16:T16 S17:T17">
    <cfRule type="cellIs" dxfId="524" priority="342" operator="greaterThan">
      <formula>0</formula>
    </cfRule>
  </conditionalFormatting>
  <conditionalFormatting sqref="Q17">
    <cfRule type="cellIs" dxfId="523" priority="340" operator="greaterThan">
      <formula>0</formula>
    </cfRule>
  </conditionalFormatting>
  <conditionalFormatting sqref="T38:T39 Q38:R40">
    <cfRule type="cellIs" dxfId="522" priority="210" operator="greaterThan">
      <formula>0</formula>
    </cfRule>
  </conditionalFormatting>
  <conditionalFormatting sqref="A37:A38">
    <cfRule type="cellIs" dxfId="521" priority="209" operator="greaterThan">
      <formula>0</formula>
    </cfRule>
  </conditionalFormatting>
  <conditionalFormatting sqref="W38">
    <cfRule type="cellIs" dxfId="520" priority="205" operator="greaterThan">
      <formula>0</formula>
    </cfRule>
  </conditionalFormatting>
  <conditionalFormatting sqref="W37 W40">
    <cfRule type="cellIs" dxfId="519" priority="208" operator="greaterThan">
      <formula>0</formula>
    </cfRule>
  </conditionalFormatting>
  <conditionalFormatting sqref="A40">
    <cfRule type="cellIs" dxfId="518" priority="207" operator="greaterThan">
      <formula>0</formula>
    </cfRule>
  </conditionalFormatting>
  <conditionalFormatting sqref="Q37:T37 S40:T40">
    <cfRule type="cellIs" dxfId="517" priority="206" operator="greaterThan">
      <formula>0</formula>
    </cfRule>
  </conditionalFormatting>
  <conditionalFormatting sqref="W38">
    <cfRule type="cellIs" dxfId="516" priority="204" operator="greaterThan">
      <formula>0</formula>
    </cfRule>
  </conditionalFormatting>
  <conditionalFormatting sqref="T38">
    <cfRule type="cellIs" dxfId="515" priority="203" operator="greaterThan">
      <formula>0</formula>
    </cfRule>
  </conditionalFormatting>
  <conditionalFormatting sqref="W39">
    <cfRule type="cellIs" dxfId="514" priority="201" operator="greaterThan">
      <formula>0</formula>
    </cfRule>
  </conditionalFormatting>
  <conditionalFormatting sqref="W39">
    <cfRule type="cellIs" dxfId="513" priority="202" operator="greaterThan">
      <formula>0</formula>
    </cfRule>
  </conditionalFormatting>
  <conditionalFormatting sqref="T39">
    <cfRule type="cellIs" dxfId="512" priority="200" operator="greaterThan">
      <formula>0</formula>
    </cfRule>
  </conditionalFormatting>
  <conditionalFormatting sqref="A39">
    <cfRule type="cellIs" dxfId="511" priority="199" operator="greaterThan">
      <formula>0</formula>
    </cfRule>
  </conditionalFormatting>
  <conditionalFormatting sqref="A39">
    <cfRule type="cellIs" dxfId="510" priority="198" operator="greaterThan">
      <formula>0</formula>
    </cfRule>
  </conditionalFormatting>
  <conditionalFormatting sqref="T50:T51 Q50:R56">
    <cfRule type="cellIs" dxfId="509" priority="197" operator="greaterThan">
      <formula>0</formula>
    </cfRule>
  </conditionalFormatting>
  <conditionalFormatting sqref="A49:A50">
    <cfRule type="cellIs" dxfId="508" priority="196" operator="greaterThan">
      <formula>0</formula>
    </cfRule>
  </conditionalFormatting>
  <conditionalFormatting sqref="W50">
    <cfRule type="cellIs" dxfId="507" priority="192" operator="greaterThan">
      <formula>0</formula>
    </cfRule>
  </conditionalFormatting>
  <conditionalFormatting sqref="W49 W52:W56">
    <cfRule type="cellIs" dxfId="506" priority="195" operator="greaterThan">
      <formula>0</formula>
    </cfRule>
  </conditionalFormatting>
  <conditionalFormatting sqref="A52:A56">
    <cfRule type="cellIs" dxfId="505" priority="194" operator="greaterThan">
      <formula>0</formula>
    </cfRule>
  </conditionalFormatting>
  <conditionalFormatting sqref="Q49:T49 S52:T56">
    <cfRule type="cellIs" dxfId="504" priority="193" operator="greaterThan">
      <formula>0</formula>
    </cfRule>
  </conditionalFormatting>
  <conditionalFormatting sqref="W50">
    <cfRule type="cellIs" dxfId="503" priority="191" operator="greaterThan">
      <formula>0</formula>
    </cfRule>
  </conditionalFormatting>
  <conditionalFormatting sqref="T50">
    <cfRule type="cellIs" dxfId="502" priority="190" operator="greaterThan">
      <formula>0</formula>
    </cfRule>
  </conditionalFormatting>
  <conditionalFormatting sqref="W51">
    <cfRule type="cellIs" dxfId="501" priority="188" operator="greaterThan">
      <formula>0</formula>
    </cfRule>
  </conditionalFormatting>
  <conditionalFormatting sqref="W51">
    <cfRule type="cellIs" dxfId="500" priority="189" operator="greaterThan">
      <formula>0</formula>
    </cfRule>
  </conditionalFormatting>
  <conditionalFormatting sqref="T51">
    <cfRule type="cellIs" dxfId="499" priority="187" operator="greaterThan">
      <formula>0</formula>
    </cfRule>
  </conditionalFormatting>
  <conditionalFormatting sqref="A51">
    <cfRule type="cellIs" dxfId="498" priority="186" operator="greaterThan">
      <formula>0</formula>
    </cfRule>
  </conditionalFormatting>
  <conditionalFormatting sqref="A51">
    <cfRule type="cellIs" dxfId="497" priority="185" operator="greaterThan">
      <formula>0</formula>
    </cfRule>
  </conditionalFormatting>
  <conditionalFormatting sqref="T58:T59 Q58:R60">
    <cfRule type="cellIs" dxfId="496" priority="184" operator="greaterThan">
      <formula>0</formula>
    </cfRule>
  </conditionalFormatting>
  <conditionalFormatting sqref="A57:A58">
    <cfRule type="cellIs" dxfId="495" priority="183" operator="greaterThan">
      <formula>0</formula>
    </cfRule>
  </conditionalFormatting>
  <conditionalFormatting sqref="W58">
    <cfRule type="cellIs" dxfId="494" priority="179" operator="greaterThan">
      <formula>0</formula>
    </cfRule>
  </conditionalFormatting>
  <conditionalFormatting sqref="W57 W60">
    <cfRule type="cellIs" dxfId="493" priority="182" operator="greaterThan">
      <formula>0</formula>
    </cfRule>
  </conditionalFormatting>
  <conditionalFormatting sqref="A60">
    <cfRule type="cellIs" dxfId="492" priority="181" operator="greaterThan">
      <formula>0</formula>
    </cfRule>
  </conditionalFormatting>
  <conditionalFormatting sqref="Q57:T57 S60:T60">
    <cfRule type="cellIs" dxfId="491" priority="180" operator="greaterThan">
      <formula>0</formula>
    </cfRule>
  </conditionalFormatting>
  <conditionalFormatting sqref="W58">
    <cfRule type="cellIs" dxfId="490" priority="178" operator="greaterThan">
      <formula>0</formula>
    </cfRule>
  </conditionalFormatting>
  <conditionalFormatting sqref="T58">
    <cfRule type="cellIs" dxfId="489" priority="177" operator="greaterThan">
      <formula>0</formula>
    </cfRule>
  </conditionalFormatting>
  <conditionalFormatting sqref="W59">
    <cfRule type="cellIs" dxfId="488" priority="175" operator="greaterThan">
      <formula>0</formula>
    </cfRule>
  </conditionalFormatting>
  <conditionalFormatting sqref="W59">
    <cfRule type="cellIs" dxfId="487" priority="176" operator="greaterThan">
      <formula>0</formula>
    </cfRule>
  </conditionalFormatting>
  <conditionalFormatting sqref="T59">
    <cfRule type="cellIs" dxfId="486" priority="174" operator="greaterThan">
      <formula>0</formula>
    </cfRule>
  </conditionalFormatting>
  <conditionalFormatting sqref="A59">
    <cfRule type="cellIs" dxfId="485" priority="173" operator="greaterThan">
      <formula>0</formula>
    </cfRule>
  </conditionalFormatting>
  <conditionalFormatting sqref="A59">
    <cfRule type="cellIs" dxfId="484" priority="172" operator="greaterThan">
      <formula>0</formula>
    </cfRule>
  </conditionalFormatting>
  <conditionalFormatting sqref="T21 Q21:R21 Q28:R28 T28">
    <cfRule type="cellIs" dxfId="483" priority="171" operator="greaterThan">
      <formula>0</formula>
    </cfRule>
  </conditionalFormatting>
  <conditionalFormatting sqref="W21 W28">
    <cfRule type="cellIs" dxfId="482" priority="170" operator="greaterThan">
      <formula>0</formula>
    </cfRule>
  </conditionalFormatting>
  <conditionalFormatting sqref="A21 A28">
    <cfRule type="cellIs" dxfId="481" priority="169" operator="greaterThan">
      <formula>0</formula>
    </cfRule>
  </conditionalFormatting>
  <conditionalFormatting sqref="A21 A28">
    <cfRule type="cellIs" dxfId="480" priority="167" operator="greaterThan">
      <formula>0</formula>
    </cfRule>
  </conditionalFormatting>
  <conditionalFormatting sqref="W21 W28">
    <cfRule type="cellIs" dxfId="479" priority="168" operator="greaterThan">
      <formula>0</formula>
    </cfRule>
  </conditionalFormatting>
  <conditionalFormatting sqref="T42">
    <cfRule type="cellIs" dxfId="478" priority="166" operator="greaterThan">
      <formula>0</formula>
    </cfRule>
  </conditionalFormatting>
  <conditionalFormatting sqref="A41:A42">
    <cfRule type="cellIs" dxfId="477" priority="165" operator="greaterThan">
      <formula>0</formula>
    </cfRule>
  </conditionalFormatting>
  <conditionalFormatting sqref="W42">
    <cfRule type="cellIs" dxfId="476" priority="161" operator="greaterThan">
      <formula>0</formula>
    </cfRule>
  </conditionalFormatting>
  <conditionalFormatting sqref="W41 W43">
    <cfRule type="cellIs" dxfId="475" priority="164" operator="greaterThan">
      <formula>0</formula>
    </cfRule>
  </conditionalFormatting>
  <conditionalFormatting sqref="A43">
    <cfRule type="cellIs" dxfId="474" priority="163" operator="greaterThan">
      <formula>0</formula>
    </cfRule>
  </conditionalFormatting>
  <conditionalFormatting sqref="Q41:T41 S43:T43">
    <cfRule type="cellIs" dxfId="473" priority="162" operator="greaterThan">
      <formula>0</formula>
    </cfRule>
  </conditionalFormatting>
  <conditionalFormatting sqref="W42">
    <cfRule type="cellIs" dxfId="472" priority="160" operator="greaterThan">
      <formula>0</formula>
    </cfRule>
  </conditionalFormatting>
  <conditionalFormatting sqref="T42">
    <cfRule type="cellIs" dxfId="471" priority="159" operator="greaterThan">
      <formula>0</formula>
    </cfRule>
  </conditionalFormatting>
  <conditionalFormatting sqref="T62:T63 Q62:R64">
    <cfRule type="cellIs" dxfId="470" priority="153" operator="greaterThan">
      <formula>0</formula>
    </cfRule>
  </conditionalFormatting>
  <conditionalFormatting sqref="A61:A62">
    <cfRule type="cellIs" dxfId="469" priority="152" operator="greaterThan">
      <formula>0</formula>
    </cfRule>
  </conditionalFormatting>
  <conditionalFormatting sqref="W62">
    <cfRule type="cellIs" dxfId="468" priority="148" operator="greaterThan">
      <formula>0</formula>
    </cfRule>
  </conditionalFormatting>
  <conditionalFormatting sqref="W61 W64">
    <cfRule type="cellIs" dxfId="467" priority="151" operator="greaterThan">
      <formula>0</formula>
    </cfRule>
  </conditionalFormatting>
  <conditionalFormatting sqref="A64">
    <cfRule type="cellIs" dxfId="466" priority="150" operator="greaterThan">
      <formula>0</formula>
    </cfRule>
  </conditionalFormatting>
  <conditionalFormatting sqref="Q61:T61 S64:T64">
    <cfRule type="cellIs" dxfId="465" priority="149" operator="greaterThan">
      <formula>0</formula>
    </cfRule>
  </conditionalFormatting>
  <conditionalFormatting sqref="W62">
    <cfRule type="cellIs" dxfId="464" priority="147" operator="greaterThan">
      <formula>0</formula>
    </cfRule>
  </conditionalFormatting>
  <conditionalFormatting sqref="T62">
    <cfRule type="cellIs" dxfId="463" priority="146" operator="greaterThan">
      <formula>0</formula>
    </cfRule>
  </conditionalFormatting>
  <conditionalFormatting sqref="W63">
    <cfRule type="cellIs" dxfId="462" priority="144" operator="greaterThan">
      <formula>0</formula>
    </cfRule>
  </conditionalFormatting>
  <conditionalFormatting sqref="W63">
    <cfRule type="cellIs" dxfId="461" priority="145" operator="greaterThan">
      <formula>0</formula>
    </cfRule>
  </conditionalFormatting>
  <conditionalFormatting sqref="T63">
    <cfRule type="cellIs" dxfId="460" priority="143" operator="greaterThan">
      <formula>0</formula>
    </cfRule>
  </conditionalFormatting>
  <conditionalFormatting sqref="A63">
    <cfRule type="cellIs" dxfId="459" priority="142" operator="greaterThan">
      <formula>0</formula>
    </cfRule>
  </conditionalFormatting>
  <conditionalFormatting sqref="A63">
    <cfRule type="cellIs" dxfId="458" priority="141" operator="greaterThan">
      <formula>0</formula>
    </cfRule>
  </conditionalFormatting>
  <conditionalFormatting sqref="Q65:R68">
    <cfRule type="cellIs" dxfId="457" priority="140" operator="greaterThan">
      <formula>0</formula>
    </cfRule>
  </conditionalFormatting>
  <conditionalFormatting sqref="W65:W68">
    <cfRule type="cellIs" dxfId="456" priority="139" operator="greaterThan">
      <formula>0</formula>
    </cfRule>
  </conditionalFormatting>
  <conditionalFormatting sqref="A65:A68">
    <cfRule type="cellIs" dxfId="455" priority="138" operator="greaterThan">
      <formula>0</formula>
    </cfRule>
  </conditionalFormatting>
  <conditionalFormatting sqref="S65:T68">
    <cfRule type="cellIs" dxfId="454" priority="137" operator="greaterThan">
      <formula>0</formula>
    </cfRule>
  </conditionalFormatting>
  <conditionalFormatting sqref="T66:T67 Q66:R68">
    <cfRule type="cellIs" dxfId="453" priority="136" operator="greaterThan">
      <formula>0</formula>
    </cfRule>
  </conditionalFormatting>
  <conditionalFormatting sqref="A65:A66">
    <cfRule type="cellIs" dxfId="452" priority="135" operator="greaterThan">
      <formula>0</formula>
    </cfRule>
  </conditionalFormatting>
  <conditionalFormatting sqref="W66">
    <cfRule type="cellIs" dxfId="451" priority="131" operator="greaterThan">
      <formula>0</formula>
    </cfRule>
  </conditionalFormatting>
  <conditionalFormatting sqref="W65 W68">
    <cfRule type="cellIs" dxfId="450" priority="134" operator="greaterThan">
      <formula>0</formula>
    </cfRule>
  </conditionalFormatting>
  <conditionalFormatting sqref="A68">
    <cfRule type="cellIs" dxfId="449" priority="133" operator="greaterThan">
      <formula>0</formula>
    </cfRule>
  </conditionalFormatting>
  <conditionalFormatting sqref="Q65:T65 S68:T68">
    <cfRule type="cellIs" dxfId="448" priority="132" operator="greaterThan">
      <formula>0</formula>
    </cfRule>
  </conditionalFormatting>
  <conditionalFormatting sqref="W66">
    <cfRule type="cellIs" dxfId="447" priority="130" operator="greaterThan">
      <formula>0</formula>
    </cfRule>
  </conditionalFormatting>
  <conditionalFormatting sqref="T66">
    <cfRule type="cellIs" dxfId="446" priority="129" operator="greaterThan">
      <formula>0</formula>
    </cfRule>
  </conditionalFormatting>
  <conditionalFormatting sqref="W67">
    <cfRule type="cellIs" dxfId="445" priority="127" operator="greaterThan">
      <formula>0</formula>
    </cfRule>
  </conditionalFormatting>
  <conditionalFormatting sqref="W67">
    <cfRule type="cellIs" dxfId="444" priority="128" operator="greaterThan">
      <formula>0</formula>
    </cfRule>
  </conditionalFormatting>
  <conditionalFormatting sqref="T67">
    <cfRule type="cellIs" dxfId="443" priority="126" operator="greaterThan">
      <formula>0</formula>
    </cfRule>
  </conditionalFormatting>
  <conditionalFormatting sqref="A67">
    <cfRule type="cellIs" dxfId="442" priority="125" operator="greaterThan">
      <formula>0</formula>
    </cfRule>
  </conditionalFormatting>
  <conditionalFormatting sqref="A67">
    <cfRule type="cellIs" dxfId="441" priority="124" operator="greaterThan">
      <formula>0</formula>
    </cfRule>
  </conditionalFormatting>
  <conditionalFormatting sqref="Q69:R72">
    <cfRule type="cellIs" dxfId="440" priority="123" operator="greaterThan">
      <formula>0</formula>
    </cfRule>
  </conditionalFormatting>
  <conditionalFormatting sqref="W69:W72">
    <cfRule type="cellIs" dxfId="439" priority="122" operator="greaterThan">
      <formula>0</formula>
    </cfRule>
  </conditionalFormatting>
  <conditionalFormatting sqref="A69:A72">
    <cfRule type="cellIs" dxfId="438" priority="121" operator="greaterThan">
      <formula>0</formula>
    </cfRule>
  </conditionalFormatting>
  <conditionalFormatting sqref="S69:T72">
    <cfRule type="cellIs" dxfId="437" priority="120" operator="greaterThan">
      <formula>0</formula>
    </cfRule>
  </conditionalFormatting>
  <conditionalFormatting sqref="T70:T71 Q70:R72">
    <cfRule type="cellIs" dxfId="436" priority="119" operator="greaterThan">
      <formula>0</formula>
    </cfRule>
  </conditionalFormatting>
  <conditionalFormatting sqref="A69:A70">
    <cfRule type="cellIs" dxfId="435" priority="118" operator="greaterThan">
      <formula>0</formula>
    </cfRule>
  </conditionalFormatting>
  <conditionalFormatting sqref="W70">
    <cfRule type="cellIs" dxfId="434" priority="114" operator="greaterThan">
      <formula>0</formula>
    </cfRule>
  </conditionalFormatting>
  <conditionalFormatting sqref="W69 W72">
    <cfRule type="cellIs" dxfId="433" priority="117" operator="greaterThan">
      <formula>0</formula>
    </cfRule>
  </conditionalFormatting>
  <conditionalFormatting sqref="A72">
    <cfRule type="cellIs" dxfId="432" priority="116" operator="greaterThan">
      <formula>0</formula>
    </cfRule>
  </conditionalFormatting>
  <conditionalFormatting sqref="Q69:T69 S72:T72">
    <cfRule type="cellIs" dxfId="431" priority="115" operator="greaterThan">
      <formula>0</formula>
    </cfRule>
  </conditionalFormatting>
  <conditionalFormatting sqref="W70">
    <cfRule type="cellIs" dxfId="430" priority="113" operator="greaterThan">
      <formula>0</formula>
    </cfRule>
  </conditionalFormatting>
  <conditionalFormatting sqref="T70">
    <cfRule type="cellIs" dxfId="429" priority="112" operator="greaterThan">
      <formula>0</formula>
    </cfRule>
  </conditionalFormatting>
  <conditionalFormatting sqref="W71">
    <cfRule type="cellIs" dxfId="428" priority="110" operator="greaterThan">
      <formula>0</formula>
    </cfRule>
  </conditionalFormatting>
  <conditionalFormatting sqref="W71">
    <cfRule type="cellIs" dxfId="427" priority="111" operator="greaterThan">
      <formula>0</formula>
    </cfRule>
  </conditionalFormatting>
  <conditionalFormatting sqref="T71">
    <cfRule type="cellIs" dxfId="426" priority="109" operator="greaterThan">
      <formula>0</formula>
    </cfRule>
  </conditionalFormatting>
  <conditionalFormatting sqref="A71">
    <cfRule type="cellIs" dxfId="425" priority="108" operator="greaterThan">
      <formula>0</formula>
    </cfRule>
  </conditionalFormatting>
  <conditionalFormatting sqref="A71">
    <cfRule type="cellIs" dxfId="424" priority="107" operator="greaterThan">
      <formula>0</formula>
    </cfRule>
  </conditionalFormatting>
  <conditionalFormatting sqref="T54:T55 Q54:R56">
    <cfRule type="cellIs" dxfId="423" priority="106" operator="greaterThan">
      <formula>0</formula>
    </cfRule>
  </conditionalFormatting>
  <conditionalFormatting sqref="A53:A54">
    <cfRule type="cellIs" dxfId="422" priority="105" operator="greaterThan">
      <formula>0</formula>
    </cfRule>
  </conditionalFormatting>
  <conditionalFormatting sqref="W54">
    <cfRule type="cellIs" dxfId="421" priority="101" operator="greaterThan">
      <formula>0</formula>
    </cfRule>
  </conditionalFormatting>
  <conditionalFormatting sqref="W53 W56">
    <cfRule type="cellIs" dxfId="420" priority="104" operator="greaterThan">
      <formula>0</formula>
    </cfRule>
  </conditionalFormatting>
  <conditionalFormatting sqref="A56">
    <cfRule type="cellIs" dxfId="419" priority="103" operator="greaterThan">
      <formula>0</formula>
    </cfRule>
  </conditionalFormatting>
  <conditionalFormatting sqref="Q53:T53 S56:T56">
    <cfRule type="cellIs" dxfId="418" priority="102" operator="greaterThan">
      <formula>0</formula>
    </cfRule>
  </conditionalFormatting>
  <conditionalFormatting sqref="W54">
    <cfRule type="cellIs" dxfId="417" priority="100" operator="greaterThan">
      <formula>0</formula>
    </cfRule>
  </conditionalFormatting>
  <conditionalFormatting sqref="T54">
    <cfRule type="cellIs" dxfId="416" priority="99" operator="greaterThan">
      <formula>0</formula>
    </cfRule>
  </conditionalFormatting>
  <conditionalFormatting sqref="W55">
    <cfRule type="cellIs" dxfId="415" priority="97" operator="greaterThan">
      <formula>0</formula>
    </cfRule>
  </conditionalFormatting>
  <conditionalFormatting sqref="W55">
    <cfRule type="cellIs" dxfId="414" priority="98" operator="greaterThan">
      <formula>0</formula>
    </cfRule>
  </conditionalFormatting>
  <conditionalFormatting sqref="T55">
    <cfRule type="cellIs" dxfId="413" priority="96" operator="greaterThan">
      <formula>0</formula>
    </cfRule>
  </conditionalFormatting>
  <conditionalFormatting sqref="A55">
    <cfRule type="cellIs" dxfId="412" priority="95" operator="greaterThan">
      <formula>0</formula>
    </cfRule>
  </conditionalFormatting>
  <conditionalFormatting sqref="A55">
    <cfRule type="cellIs" dxfId="411" priority="94" operator="greaterThan">
      <formula>0</formula>
    </cfRule>
  </conditionalFormatting>
  <conditionalFormatting sqref="T74">
    <cfRule type="cellIs" dxfId="410" priority="89" operator="greaterThan">
      <formula>0</formula>
    </cfRule>
  </conditionalFormatting>
  <conditionalFormatting sqref="A73:A74">
    <cfRule type="cellIs" dxfId="409" priority="88" operator="greaterThan">
      <formula>0</formula>
    </cfRule>
  </conditionalFormatting>
  <conditionalFormatting sqref="W74">
    <cfRule type="cellIs" dxfId="408" priority="84" operator="greaterThan">
      <formula>0</formula>
    </cfRule>
  </conditionalFormatting>
  <conditionalFormatting sqref="W73 W75">
    <cfRule type="cellIs" dxfId="407" priority="87" operator="greaterThan">
      <formula>0</formula>
    </cfRule>
  </conditionalFormatting>
  <conditionalFormatting sqref="A75">
    <cfRule type="cellIs" dxfId="406" priority="86" operator="greaterThan">
      <formula>0</formula>
    </cfRule>
  </conditionalFormatting>
  <conditionalFormatting sqref="Q73:T73 S75:T75">
    <cfRule type="cellIs" dxfId="405" priority="85" operator="greaterThan">
      <formula>0</formula>
    </cfRule>
  </conditionalFormatting>
  <conditionalFormatting sqref="W74">
    <cfRule type="cellIs" dxfId="404" priority="83" operator="greaterThan">
      <formula>0</formula>
    </cfRule>
  </conditionalFormatting>
  <conditionalFormatting sqref="T74">
    <cfRule type="cellIs" dxfId="403" priority="82" operator="greaterThan">
      <formula>0</formula>
    </cfRule>
  </conditionalFormatting>
  <conditionalFormatting sqref="Q74:Q75">
    <cfRule type="cellIs" dxfId="402" priority="76" operator="greaterThan">
      <formula>0</formula>
    </cfRule>
  </conditionalFormatting>
  <conditionalFormatting sqref="Q74:Q75">
    <cfRule type="cellIs" dxfId="401" priority="75" operator="greaterThan">
      <formula>0</formula>
    </cfRule>
  </conditionalFormatting>
  <conditionalFormatting sqref="W76:W78 S76:T78 Q76:R76 R77:R78 R89:T90 W89:W90">
    <cfRule type="cellIs" dxfId="400" priority="74" operator="greaterThan">
      <formula>0</formula>
    </cfRule>
  </conditionalFormatting>
  <conditionalFormatting sqref="A76:A78 A89:A90">
    <cfRule type="cellIs" dxfId="399" priority="73" operator="greaterThan">
      <formula>0</formula>
    </cfRule>
  </conditionalFormatting>
  <conditionalFormatting sqref="T77">
    <cfRule type="cellIs" dxfId="398" priority="72" operator="greaterThan">
      <formula>0</formula>
    </cfRule>
  </conditionalFormatting>
  <conditionalFormatting sqref="A76:A77">
    <cfRule type="cellIs" dxfId="397" priority="71" operator="greaterThan">
      <formula>0</formula>
    </cfRule>
  </conditionalFormatting>
  <conditionalFormatting sqref="W77">
    <cfRule type="cellIs" dxfId="396" priority="67" operator="greaterThan">
      <formula>0</formula>
    </cfRule>
  </conditionalFormatting>
  <conditionalFormatting sqref="W76 W78 W89:W90">
    <cfRule type="cellIs" dxfId="395" priority="70" operator="greaterThan">
      <formula>0</formula>
    </cfRule>
  </conditionalFormatting>
  <conditionalFormatting sqref="A78 A89:A90">
    <cfRule type="cellIs" dxfId="394" priority="69" operator="greaterThan">
      <formula>0</formula>
    </cfRule>
  </conditionalFormatting>
  <conditionalFormatting sqref="Q76:T76 S78:T78 S89:T90">
    <cfRule type="cellIs" dxfId="393" priority="68" operator="greaterThan">
      <formula>0</formula>
    </cfRule>
  </conditionalFormatting>
  <conditionalFormatting sqref="W77">
    <cfRule type="cellIs" dxfId="392" priority="66" operator="greaterThan">
      <formula>0</formula>
    </cfRule>
  </conditionalFormatting>
  <conditionalFormatting sqref="T77">
    <cfRule type="cellIs" dxfId="391" priority="65" operator="greaterThan">
      <formula>0</formula>
    </cfRule>
  </conditionalFormatting>
  <conditionalFormatting sqref="Q77:Q78 Q89:Q90">
    <cfRule type="cellIs" dxfId="390" priority="64" operator="greaterThan">
      <formula>0</formula>
    </cfRule>
  </conditionalFormatting>
  <conditionalFormatting sqref="Q77:Q78 Q89:Q90">
    <cfRule type="cellIs" dxfId="389" priority="63" operator="greaterThan">
      <formula>0</formula>
    </cfRule>
  </conditionalFormatting>
  <conditionalFormatting sqref="A22:A23">
    <cfRule type="cellIs" dxfId="388" priority="62" operator="greaterThan">
      <formula>0</formula>
    </cfRule>
  </conditionalFormatting>
  <conditionalFormatting sqref="W22:W23">
    <cfRule type="cellIs" dxfId="387" priority="61" operator="greaterThan">
      <formula>0</formula>
    </cfRule>
  </conditionalFormatting>
  <conditionalFormatting sqref="Q22:T23">
    <cfRule type="cellIs" dxfId="386" priority="60" operator="greaterThan">
      <formula>0</formula>
    </cfRule>
  </conditionalFormatting>
  <conditionalFormatting sqref="T24:T25 Q24:R25">
    <cfRule type="cellIs" dxfId="385" priority="59" operator="greaterThan">
      <formula>0</formula>
    </cfRule>
  </conditionalFormatting>
  <conditionalFormatting sqref="W24:W25">
    <cfRule type="cellIs" dxfId="384" priority="58" operator="greaterThan">
      <formula>0</formula>
    </cfRule>
  </conditionalFormatting>
  <conditionalFormatting sqref="A24:A25">
    <cfRule type="cellIs" dxfId="383" priority="57" operator="greaterThan">
      <formula>0</formula>
    </cfRule>
  </conditionalFormatting>
  <conditionalFormatting sqref="A24:A25">
    <cfRule type="cellIs" dxfId="382" priority="55" operator="greaterThan">
      <formula>0</formula>
    </cfRule>
  </conditionalFormatting>
  <conditionalFormatting sqref="W24:W25">
    <cfRule type="cellIs" dxfId="381" priority="56" operator="greaterThan">
      <formula>0</formula>
    </cfRule>
  </conditionalFormatting>
  <conditionalFormatting sqref="T26 Q26:R26">
    <cfRule type="cellIs" dxfId="380" priority="54" operator="greaterThan">
      <formula>0</formula>
    </cfRule>
  </conditionalFormatting>
  <conditionalFormatting sqref="W26">
    <cfRule type="cellIs" dxfId="379" priority="53" operator="greaterThan">
      <formula>0</formula>
    </cfRule>
  </conditionalFormatting>
  <conditionalFormatting sqref="A26">
    <cfRule type="cellIs" dxfId="378" priority="52" operator="greaterThan">
      <formula>0</formula>
    </cfRule>
  </conditionalFormatting>
  <conditionalFormatting sqref="A26">
    <cfRule type="cellIs" dxfId="377" priority="50" operator="greaterThan">
      <formula>0</formula>
    </cfRule>
  </conditionalFormatting>
  <conditionalFormatting sqref="W26">
    <cfRule type="cellIs" dxfId="376" priority="51" operator="greaterThan">
      <formula>0</formula>
    </cfRule>
  </conditionalFormatting>
  <conditionalFormatting sqref="T27 Q27:R27">
    <cfRule type="cellIs" dxfId="375" priority="49" operator="greaterThan">
      <formula>0</formula>
    </cfRule>
  </conditionalFormatting>
  <conditionalFormatting sqref="W27">
    <cfRule type="cellIs" dxfId="374" priority="48" operator="greaterThan">
      <formula>0</formula>
    </cfRule>
  </conditionalFormatting>
  <conditionalFormatting sqref="A27">
    <cfRule type="cellIs" dxfId="373" priority="47" operator="greaterThan">
      <formula>0</formula>
    </cfRule>
  </conditionalFormatting>
  <conditionalFormatting sqref="A27">
    <cfRule type="cellIs" dxfId="372" priority="45" operator="greaterThan">
      <formula>0</formula>
    </cfRule>
  </conditionalFormatting>
  <conditionalFormatting sqref="W27">
    <cfRule type="cellIs" dxfId="371" priority="46" operator="greaterThan">
      <formula>0</formula>
    </cfRule>
  </conditionalFormatting>
  <conditionalFormatting sqref="Q79:R82 Q86:R88">
    <cfRule type="cellIs" dxfId="370" priority="44" operator="greaterThan">
      <formula>0</formula>
    </cfRule>
  </conditionalFormatting>
  <conditionalFormatting sqref="W79:W82 W86:W88">
    <cfRule type="cellIs" dxfId="369" priority="43" operator="greaterThan">
      <formula>0</formula>
    </cfRule>
  </conditionalFormatting>
  <conditionalFormatting sqref="A79:A82 A86:A88">
    <cfRule type="cellIs" dxfId="368" priority="42" operator="greaterThan">
      <formula>0</formula>
    </cfRule>
  </conditionalFormatting>
  <conditionalFormatting sqref="S79:T82 S86:T88">
    <cfRule type="cellIs" dxfId="367" priority="41" operator="greaterThan">
      <formula>0</formula>
    </cfRule>
  </conditionalFormatting>
  <conditionalFormatting sqref="T80:T81 Q80:R82 Q86:R88">
    <cfRule type="cellIs" dxfId="366" priority="40" operator="greaterThan">
      <formula>0</formula>
    </cfRule>
  </conditionalFormatting>
  <conditionalFormatting sqref="A79:A80">
    <cfRule type="cellIs" dxfId="365" priority="39" operator="greaterThan">
      <formula>0</formula>
    </cfRule>
  </conditionalFormatting>
  <conditionalFormatting sqref="W80">
    <cfRule type="cellIs" dxfId="364" priority="35" operator="greaterThan">
      <formula>0</formula>
    </cfRule>
  </conditionalFormatting>
  <conditionalFormatting sqref="W79 W82 W86:W88">
    <cfRule type="cellIs" dxfId="363" priority="38" operator="greaterThan">
      <formula>0</formula>
    </cfRule>
  </conditionalFormatting>
  <conditionalFormatting sqref="A82 A86:A88">
    <cfRule type="cellIs" dxfId="362" priority="37" operator="greaterThan">
      <formula>0</formula>
    </cfRule>
  </conditionalFormatting>
  <conditionalFormatting sqref="Q79:T79 S82:T82 S86:T88">
    <cfRule type="cellIs" dxfId="361" priority="36" operator="greaterThan">
      <formula>0</formula>
    </cfRule>
  </conditionalFormatting>
  <conditionalFormatting sqref="W80">
    <cfRule type="cellIs" dxfId="360" priority="34" operator="greaterThan">
      <formula>0</formula>
    </cfRule>
  </conditionalFormatting>
  <conditionalFormatting sqref="T80">
    <cfRule type="cellIs" dxfId="359" priority="33" operator="greaterThan">
      <formula>0</formula>
    </cfRule>
  </conditionalFormatting>
  <conditionalFormatting sqref="W81">
    <cfRule type="cellIs" dxfId="358" priority="31" operator="greaterThan">
      <formula>0</formula>
    </cfRule>
  </conditionalFormatting>
  <conditionalFormatting sqref="W81">
    <cfRule type="cellIs" dxfId="357" priority="32" operator="greaterThan">
      <formula>0</formula>
    </cfRule>
  </conditionalFormatting>
  <conditionalFormatting sqref="T81">
    <cfRule type="cellIs" dxfId="356" priority="30" operator="greaterThan">
      <formula>0</formula>
    </cfRule>
  </conditionalFormatting>
  <conditionalFormatting sqref="A81">
    <cfRule type="cellIs" dxfId="355" priority="29" operator="greaterThan">
      <formula>0</formula>
    </cfRule>
  </conditionalFormatting>
  <conditionalFormatting sqref="A81">
    <cfRule type="cellIs" dxfId="354" priority="28" operator="greaterThan">
      <formula>0</formula>
    </cfRule>
  </conditionalFormatting>
  <conditionalFormatting sqref="A91">
    <cfRule type="cellIs" dxfId="353" priority="27" operator="greaterThan">
      <formula>0</formula>
    </cfRule>
  </conditionalFormatting>
  <conditionalFormatting sqref="W91">
    <cfRule type="cellIs" dxfId="352" priority="26" operator="greaterThan">
      <formula>0</formula>
    </cfRule>
  </conditionalFormatting>
  <conditionalFormatting sqref="Q91:T91">
    <cfRule type="cellIs" dxfId="351" priority="25" operator="greaterThan">
      <formula>0</formula>
    </cfRule>
  </conditionalFormatting>
  <conditionalFormatting sqref="A92:A93">
    <cfRule type="cellIs" dxfId="350" priority="24" operator="greaterThan">
      <formula>0</formula>
    </cfRule>
  </conditionalFormatting>
  <conditionalFormatting sqref="W92:W93">
    <cfRule type="cellIs" dxfId="349" priority="23" operator="greaterThan">
      <formula>0</formula>
    </cfRule>
  </conditionalFormatting>
  <conditionalFormatting sqref="Q92:T93">
    <cfRule type="cellIs" dxfId="348" priority="22" operator="greaterThan">
      <formula>0</formula>
    </cfRule>
  </conditionalFormatting>
  <conditionalFormatting sqref="Q95:R96">
    <cfRule type="cellIs" dxfId="347" priority="21" operator="greaterThan">
      <formula>0</formula>
    </cfRule>
  </conditionalFormatting>
  <conditionalFormatting sqref="T95">
    <cfRule type="cellIs" dxfId="346" priority="20" operator="greaterThan">
      <formula>0</formula>
    </cfRule>
  </conditionalFormatting>
  <conditionalFormatting sqref="A94:A95">
    <cfRule type="cellIs" dxfId="345" priority="19" operator="greaterThan">
      <formula>0</formula>
    </cfRule>
  </conditionalFormatting>
  <conditionalFormatting sqref="W95">
    <cfRule type="cellIs" dxfId="344" priority="15" operator="greaterThan">
      <formula>0</formula>
    </cfRule>
  </conditionalFormatting>
  <conditionalFormatting sqref="W94 W96">
    <cfRule type="cellIs" dxfId="343" priority="18" operator="greaterThan">
      <formula>0</formula>
    </cfRule>
  </conditionalFormatting>
  <conditionalFormatting sqref="A96">
    <cfRule type="cellIs" dxfId="342" priority="17" operator="greaterThan">
      <formula>0</formula>
    </cfRule>
  </conditionalFormatting>
  <conditionalFormatting sqref="Q94:T94 S96:T96">
    <cfRule type="cellIs" dxfId="341" priority="16" operator="greaterThan">
      <formula>0</formula>
    </cfRule>
  </conditionalFormatting>
  <conditionalFormatting sqref="W95">
    <cfRule type="cellIs" dxfId="340" priority="14" operator="greaterThan">
      <formula>0</formula>
    </cfRule>
  </conditionalFormatting>
  <conditionalFormatting sqref="T95">
    <cfRule type="cellIs" dxfId="339" priority="13" operator="greaterThan">
      <formula>0</formula>
    </cfRule>
  </conditionalFormatting>
  <conditionalFormatting sqref="W83:W85 S83:T85 Q83:R83 R84:R85">
    <cfRule type="cellIs" dxfId="338" priority="12" operator="greaterThan">
      <formula>0</formula>
    </cfRule>
  </conditionalFormatting>
  <conditionalFormatting sqref="A83:A85">
    <cfRule type="cellIs" dxfId="337" priority="11" operator="greaterThan">
      <formula>0</formula>
    </cfRule>
  </conditionalFormatting>
  <conditionalFormatting sqref="T84">
    <cfRule type="cellIs" dxfId="336" priority="10" operator="greaterThan">
      <formula>0</formula>
    </cfRule>
  </conditionalFormatting>
  <conditionalFormatting sqref="A83:A84">
    <cfRule type="cellIs" dxfId="335" priority="9" operator="greaterThan">
      <formula>0</formula>
    </cfRule>
  </conditionalFormatting>
  <conditionalFormatting sqref="W84">
    <cfRule type="cellIs" dxfId="334" priority="5" operator="greaterThan">
      <formula>0</formula>
    </cfRule>
  </conditionalFormatting>
  <conditionalFormatting sqref="W83 W85">
    <cfRule type="cellIs" dxfId="333" priority="8" operator="greaterThan">
      <formula>0</formula>
    </cfRule>
  </conditionalFormatting>
  <conditionalFormatting sqref="A85">
    <cfRule type="cellIs" dxfId="332" priority="7" operator="greaterThan">
      <formula>0</formula>
    </cfRule>
  </conditionalFormatting>
  <conditionalFormatting sqref="Q83:T83 S85:T85">
    <cfRule type="cellIs" dxfId="331" priority="6" operator="greaterThan">
      <formula>0</formula>
    </cfRule>
  </conditionalFormatting>
  <conditionalFormatting sqref="W84">
    <cfRule type="cellIs" dxfId="330" priority="4" operator="greaterThan">
      <formula>0</formula>
    </cfRule>
  </conditionalFormatting>
  <conditionalFormatting sqref="T84">
    <cfRule type="cellIs" dxfId="329" priority="3" operator="greaterThan">
      <formula>0</formula>
    </cfRule>
  </conditionalFormatting>
  <conditionalFormatting sqref="Q84:Q85">
    <cfRule type="cellIs" dxfId="328" priority="2" operator="greaterThan">
      <formula>0</formula>
    </cfRule>
  </conditionalFormatting>
  <conditionalFormatting sqref="Q84:Q85">
    <cfRule type="cellIs" dxfId="327" priority="1" operator="greaterThan">
      <formula>0</formula>
    </cfRule>
  </conditionalFormatting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00B0F0"/>
    <pageSetUpPr fitToPage="1"/>
  </sheetPr>
  <dimension ref="B2:K14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G18" sqref="G18"/>
    </sheetView>
  </sheetViews>
  <sheetFormatPr defaultColWidth="9.140625" defaultRowHeight="15" x14ac:dyDescent="0.25"/>
  <cols>
    <col min="2" max="2" width="9.42578125" style="15" customWidth="1"/>
    <col min="3" max="3" width="8.5703125" style="15" customWidth="1"/>
    <col min="4" max="4" width="6.85546875" style="3" customWidth="1"/>
    <col min="5" max="5" width="4.140625" style="3" customWidth="1"/>
    <col min="6" max="6" width="7.140625" style="3" customWidth="1"/>
    <col min="7" max="7" width="7.85546875" style="3" customWidth="1"/>
    <col min="8" max="11" width="9.140625" style="3"/>
    <col min="12" max="12" width="16.85546875" customWidth="1"/>
  </cols>
  <sheetData>
    <row r="2" spans="2:11" x14ac:dyDescent="0.25">
      <c r="B2" s="262" t="s">
        <v>225</v>
      </c>
      <c r="C2" s="262"/>
      <c r="D2" s="262"/>
      <c r="E2" s="262"/>
      <c r="F2" s="262"/>
      <c r="G2" s="262"/>
      <c r="H2" s="262"/>
      <c r="I2" s="262"/>
      <c r="J2" s="262"/>
      <c r="K2" s="262"/>
    </row>
    <row r="3" spans="2:11" ht="16.5" x14ac:dyDescent="0.25">
      <c r="B3" s="263" t="s">
        <v>0</v>
      </c>
      <c r="C3" s="263" t="s">
        <v>42</v>
      </c>
      <c r="D3" s="263" t="s">
        <v>2</v>
      </c>
      <c r="E3" s="263"/>
      <c r="F3" s="263"/>
      <c r="G3" s="263" t="s">
        <v>226</v>
      </c>
      <c r="H3" s="263" t="s">
        <v>4</v>
      </c>
      <c r="I3" s="263"/>
      <c r="J3" s="263" t="s">
        <v>5</v>
      </c>
      <c r="K3" s="264" t="s">
        <v>227</v>
      </c>
    </row>
    <row r="4" spans="2:11" ht="17.25" customHeight="1" x14ac:dyDescent="0.25">
      <c r="B4" s="263"/>
      <c r="C4" s="263"/>
      <c r="D4" s="263"/>
      <c r="E4" s="263"/>
      <c r="F4" s="263"/>
      <c r="G4" s="263"/>
      <c r="H4" s="108" t="s">
        <v>6</v>
      </c>
      <c r="I4" s="108" t="s">
        <v>7</v>
      </c>
      <c r="J4" s="263"/>
      <c r="K4" s="265"/>
    </row>
    <row r="5" spans="2:11" ht="6.75" customHeight="1" x14ac:dyDescent="0.25">
      <c r="B5" s="108"/>
      <c r="C5" s="108"/>
      <c r="D5" s="141"/>
      <c r="E5" s="139"/>
      <c r="F5" s="142"/>
      <c r="G5" s="108"/>
      <c r="H5" s="108"/>
      <c r="I5" s="108"/>
      <c r="J5" s="108"/>
      <c r="K5" s="140"/>
    </row>
    <row r="6" spans="2:11" ht="16.5" customHeight="1" x14ac:dyDescent="0.25">
      <c r="B6" s="109">
        <v>101</v>
      </c>
      <c r="C6" s="110">
        <f ca="1">SUMIF(Здание!B$2:B$9876,B6,Здание!C$2:C$9876)</f>
        <v>21</v>
      </c>
      <c r="D6" s="259" t="s">
        <v>85</v>
      </c>
      <c r="E6" s="260"/>
      <c r="F6" s="261"/>
      <c r="G6" s="108">
        <f>9820-80-20-10-10-60+(80)</f>
        <v>9720</v>
      </c>
      <c r="H6" s="111">
        <f t="shared" ref="H6" si="0">G6/1000*K6</f>
        <v>348.17040000000003</v>
      </c>
      <c r="I6" s="111">
        <f t="shared" ref="I6:I7" ca="1" si="1">H6*C6</f>
        <v>7311.5784000000003</v>
      </c>
      <c r="J6" s="115"/>
      <c r="K6" s="112">
        <f>SUMIF(Металл!E$3:E$324,D6,Металл!A$3:A$324)</f>
        <v>35.82</v>
      </c>
    </row>
    <row r="7" spans="2:11" ht="16.5" customHeight="1" x14ac:dyDescent="0.25">
      <c r="B7" s="109">
        <f t="shared" ref="B7" si="2">B6+1</f>
        <v>102</v>
      </c>
      <c r="C7" s="110">
        <f ca="1">SUMIF(Здание!B$2:B$9876,B7,Здание!C$2:C$9876)</f>
        <v>12</v>
      </c>
      <c r="D7" s="113">
        <v>20</v>
      </c>
      <c r="E7" s="139" t="s">
        <v>9</v>
      </c>
      <c r="F7" s="114">
        <v>300</v>
      </c>
      <c r="G7" s="108">
        <v>420</v>
      </c>
      <c r="H7" s="111">
        <f t="shared" ref="H7" si="3">7.85/1000000*(F7*G7*D7)</f>
        <v>19.782</v>
      </c>
      <c r="I7" s="111">
        <f t="shared" ca="1" si="1"/>
        <v>237.38400000000001</v>
      </c>
      <c r="J7" s="115"/>
      <c r="K7" s="112">
        <f>SUMIF(Металл!E$3:E$324,D7,Металл!A$3:A$324)</f>
        <v>0</v>
      </c>
    </row>
    <row r="8" spans="2:11" ht="16.5" customHeight="1" x14ac:dyDescent="0.25">
      <c r="B8" s="109">
        <f t="shared" ref="B8:B27" si="4">B7+1</f>
        <v>103</v>
      </c>
      <c r="C8" s="110">
        <f ca="1">SUMIF(Здание!B$2:B$9876,B8,Здание!C$2:C$9876)</f>
        <v>21</v>
      </c>
      <c r="D8" s="113">
        <v>10</v>
      </c>
      <c r="E8" s="139" t="s">
        <v>9</v>
      </c>
      <c r="F8" s="114">
        <v>220</v>
      </c>
      <c r="G8" s="108">
        <v>640</v>
      </c>
      <c r="H8" s="111">
        <f t="shared" ref="H8" si="5">7.85/1000000*(F8*G8*D8)</f>
        <v>11.0528</v>
      </c>
      <c r="I8" s="111">
        <f t="shared" ref="I8" ca="1" si="6">H8*C8</f>
        <v>232.1088</v>
      </c>
      <c r="J8" s="115"/>
      <c r="K8" s="112">
        <f>SUMIF(Металл!E$3:E$324,D8,Металл!A$3:A$324)</f>
        <v>0</v>
      </c>
    </row>
    <row r="9" spans="2:11" ht="16.5" customHeight="1" x14ac:dyDescent="0.25">
      <c r="B9" s="109">
        <f t="shared" si="4"/>
        <v>104</v>
      </c>
      <c r="C9" s="110">
        <f ca="1">SUMIF(Здание!B$2:B$9876,B9,Здание!C$2:C$9876)</f>
        <v>9</v>
      </c>
      <c r="D9" s="113">
        <v>20</v>
      </c>
      <c r="E9" s="139" t="s">
        <v>9</v>
      </c>
      <c r="F9" s="114">
        <v>360</v>
      </c>
      <c r="G9" s="108">
        <v>360</v>
      </c>
      <c r="H9" s="111">
        <f t="shared" ref="H9" si="7">7.85/1000000*(F9*G9*D9)</f>
        <v>20.347199999999997</v>
      </c>
      <c r="I9" s="111">
        <f t="shared" ref="I9" ca="1" si="8">H9*C9</f>
        <v>183.12479999999996</v>
      </c>
      <c r="J9" s="115"/>
      <c r="K9" s="112">
        <f>SUMIF(Металл!E$3:E$324,D9,Металл!A$3:A$324)</f>
        <v>0</v>
      </c>
    </row>
    <row r="10" spans="2:11" ht="16.5" customHeight="1" x14ac:dyDescent="0.25">
      <c r="B10" s="109">
        <f t="shared" si="4"/>
        <v>105</v>
      </c>
      <c r="C10" s="110">
        <f ca="1">SUMIF(Здание!B$2:B$9876,B10,Здание!C$2:C$9876)</f>
        <v>14</v>
      </c>
      <c r="D10" s="113">
        <v>12</v>
      </c>
      <c r="E10" s="139" t="s">
        <v>9</v>
      </c>
      <c r="F10" s="114">
        <v>200</v>
      </c>
      <c r="G10" s="108">
        <v>200</v>
      </c>
      <c r="H10" s="111">
        <f t="shared" ref="H10" si="9">7.85/1000000*(F10*G10*D10)</f>
        <v>3.7679999999999998</v>
      </c>
      <c r="I10" s="111">
        <f t="shared" ref="I10" ca="1" si="10">H10*C10</f>
        <v>52.751999999999995</v>
      </c>
      <c r="J10" s="115"/>
      <c r="K10" s="112">
        <f>SUMIF(Металл!E$3:E$324,D10,Металл!A$3:A$324)</f>
        <v>0</v>
      </c>
    </row>
    <row r="11" spans="2:11" ht="16.5" customHeight="1" x14ac:dyDescent="0.25">
      <c r="B11" s="109">
        <f t="shared" si="4"/>
        <v>106</v>
      </c>
      <c r="C11" s="110">
        <f ca="1">SUMIF(Здание!B$2:B$9876,B11,Здание!C$2:C$9876)</f>
        <v>49</v>
      </c>
      <c r="D11" s="113">
        <v>4</v>
      </c>
      <c r="E11" s="139" t="s">
        <v>9</v>
      </c>
      <c r="F11" s="114">
        <v>95</v>
      </c>
      <c r="G11" s="108">
        <v>95</v>
      </c>
      <c r="H11" s="111">
        <f t="shared" ref="H11" si="11">7.85/1000000*(F11*G11*D11)</f>
        <v>0.283385</v>
      </c>
      <c r="I11" s="111">
        <f t="shared" ref="I11:I12" ca="1" si="12">H11*C11</f>
        <v>13.885864999999999</v>
      </c>
      <c r="J11" s="115"/>
      <c r="K11" s="112">
        <f>SUMIF(Металл!E$3:E$324,D11,Металл!A$3:A$324)</f>
        <v>0</v>
      </c>
    </row>
    <row r="12" spans="2:11" ht="16.5" customHeight="1" x14ac:dyDescent="0.25">
      <c r="B12" s="109">
        <f t="shared" si="4"/>
        <v>107</v>
      </c>
      <c r="C12" s="110">
        <f ca="1">SUMIF(Здание!B$2:B$9876,B12,Здание!C$2:C$9876)</f>
        <v>5.9999999999999991</v>
      </c>
      <c r="D12" s="259" t="s">
        <v>71</v>
      </c>
      <c r="E12" s="260"/>
      <c r="F12" s="261"/>
      <c r="G12" s="108">
        <f>2100-4-12</f>
        <v>2084</v>
      </c>
      <c r="H12" s="111">
        <f t="shared" ref="H12" si="13">G12/1000*K12</f>
        <v>24.445320000000002</v>
      </c>
      <c r="I12" s="111">
        <f t="shared" ca="1" si="12"/>
        <v>146.67192</v>
      </c>
      <c r="J12" s="115"/>
      <c r="K12" s="112">
        <f>SUMIF(Металл!E$3:E$324,D12,Металл!A$3:A$324)</f>
        <v>11.73</v>
      </c>
    </row>
    <row r="13" spans="2:11" ht="16.5" customHeight="1" x14ac:dyDescent="0.25">
      <c r="B13" s="109">
        <f t="shared" si="4"/>
        <v>108</v>
      </c>
      <c r="C13" s="110">
        <f ca="1">SUMIF(Здание!B$2:B$9876,B13,Здание!C$2:C$9876)</f>
        <v>3</v>
      </c>
      <c r="D13" s="113">
        <v>12</v>
      </c>
      <c r="E13" s="139" t="s">
        <v>9</v>
      </c>
      <c r="F13" s="114">
        <v>150</v>
      </c>
      <c r="G13" s="108">
        <v>280</v>
      </c>
      <c r="H13" s="111">
        <f t="shared" ref="H13" si="14">7.85/1000000*(F13*G13*D13)</f>
        <v>3.9563999999999995</v>
      </c>
      <c r="I13" s="111">
        <f t="shared" ref="I13:I16" ca="1" si="15">H13*C13</f>
        <v>11.869199999999999</v>
      </c>
      <c r="J13" s="115"/>
      <c r="K13" s="112">
        <f>SUMIF(Металл!E$3:E$324,D13,Металл!A$3:A$324)</f>
        <v>0</v>
      </c>
    </row>
    <row r="14" spans="2:11" ht="16.5" customHeight="1" x14ac:dyDescent="0.25">
      <c r="B14" s="109">
        <f t="shared" si="4"/>
        <v>109</v>
      </c>
      <c r="C14" s="110">
        <f ca="1">SUMIF(Здание!B$2:B$9876,B14,Здание!C$2:C$9876)</f>
        <v>1</v>
      </c>
      <c r="D14" s="259" t="s">
        <v>71</v>
      </c>
      <c r="E14" s="260"/>
      <c r="F14" s="261"/>
      <c r="G14" s="108">
        <f>6752-12-4-10-6</f>
        <v>6720</v>
      </c>
      <c r="H14" s="111">
        <f t="shared" ref="H14:H15" si="16">G14/1000*K14</f>
        <v>78.825599999999994</v>
      </c>
      <c r="I14" s="111">
        <f t="shared" ca="1" si="15"/>
        <v>78.825599999999994</v>
      </c>
      <c r="J14" s="115"/>
      <c r="K14" s="112">
        <f>SUMIF(Металл!E$3:E$324,D14,Металл!A$3:A$324)</f>
        <v>11.73</v>
      </c>
    </row>
    <row r="15" spans="2:11" ht="16.5" customHeight="1" x14ac:dyDescent="0.25">
      <c r="B15" s="109">
        <f t="shared" si="4"/>
        <v>110</v>
      </c>
      <c r="C15" s="110">
        <f ca="1">SUMIF(Здание!B$2:B$9876,B15,Здание!C$2:C$9876)</f>
        <v>1</v>
      </c>
      <c r="D15" s="259" t="s">
        <v>85</v>
      </c>
      <c r="E15" s="260"/>
      <c r="F15" s="261"/>
      <c r="G15" s="108">
        <v>7992</v>
      </c>
      <c r="H15" s="111">
        <f t="shared" si="16"/>
        <v>286.27343999999999</v>
      </c>
      <c r="I15" s="111">
        <f t="shared" ca="1" si="15"/>
        <v>286.27343999999999</v>
      </c>
      <c r="J15" s="115"/>
      <c r="K15" s="112">
        <f>SUMIF(Металл!E$3:E$324,D15,Металл!A$3:A$324)</f>
        <v>35.82</v>
      </c>
    </row>
    <row r="16" spans="2:11" ht="16.5" customHeight="1" x14ac:dyDescent="0.25">
      <c r="B16" s="109">
        <f t="shared" si="4"/>
        <v>111</v>
      </c>
      <c r="C16" s="110">
        <f ca="1">SUMIF(Здание!B$2:B$9876,B16,Здание!C$2:C$9876)</f>
        <v>2</v>
      </c>
      <c r="D16" s="113">
        <v>4</v>
      </c>
      <c r="E16" s="139" t="s">
        <v>9</v>
      </c>
      <c r="F16" s="114">
        <v>190</v>
      </c>
      <c r="G16" s="108">
        <v>190</v>
      </c>
      <c r="H16" s="111">
        <f t="shared" ref="H16" si="17">7.85/1000000*(F16*G16*D16)</f>
        <v>1.13354</v>
      </c>
      <c r="I16" s="111">
        <f t="shared" ca="1" si="15"/>
        <v>2.26708</v>
      </c>
      <c r="J16" s="115"/>
      <c r="K16" s="112">
        <f>SUMIF(Металл!E$3:E$324,D16,Металл!A$3:A$324)</f>
        <v>0</v>
      </c>
    </row>
    <row r="17" spans="2:11" ht="16.5" customHeight="1" x14ac:dyDescent="0.25">
      <c r="B17" s="109">
        <f t="shared" si="4"/>
        <v>112</v>
      </c>
      <c r="C17" s="110">
        <f ca="1">SUMIF(Здание!B$2:B$9876,B17,Здание!C$2:C$9876)</f>
        <v>1</v>
      </c>
      <c r="D17" s="259" t="s">
        <v>71</v>
      </c>
      <c r="E17" s="260"/>
      <c r="F17" s="261"/>
      <c r="G17" s="108">
        <v>5050</v>
      </c>
      <c r="H17" s="111">
        <f t="shared" ref="H17" si="18">G17/1000*K17</f>
        <v>59.236499999999999</v>
      </c>
      <c r="I17" s="111">
        <f t="shared" ref="I17:I19" ca="1" si="19">H17*C17</f>
        <v>59.236499999999999</v>
      </c>
      <c r="J17" s="115"/>
      <c r="K17" s="112">
        <f>SUMIF(Металл!E$3:E$324,D17,Металл!A$3:A$324)</f>
        <v>11.73</v>
      </c>
    </row>
    <row r="18" spans="2:11" ht="16.5" customHeight="1" x14ac:dyDescent="0.25">
      <c r="B18" s="109">
        <f t="shared" si="4"/>
        <v>113</v>
      </c>
      <c r="C18" s="110">
        <f ca="1">SUMIF(Здание!B$2:B$9876,B18,Здание!C$2:C$9876)</f>
        <v>32</v>
      </c>
      <c r="D18" s="113">
        <v>10</v>
      </c>
      <c r="E18" s="139" t="s">
        <v>9</v>
      </c>
      <c r="F18" s="114">
        <v>180</v>
      </c>
      <c r="G18" s="108">
        <v>280</v>
      </c>
      <c r="H18" s="111">
        <f t="shared" ref="H18:H19" si="20">7.85/1000000*(F18*G18*D18)</f>
        <v>3.9563999999999995</v>
      </c>
      <c r="I18" s="111">
        <f t="shared" ca="1" si="19"/>
        <v>126.60479999999998</v>
      </c>
      <c r="J18" s="115"/>
      <c r="K18" s="112">
        <f>SUMIF(Металл!E$3:E$324,D18,Металл!A$3:A$324)</f>
        <v>0</v>
      </c>
    </row>
    <row r="19" spans="2:11" ht="16.5" customHeight="1" x14ac:dyDescent="0.25">
      <c r="B19" s="109">
        <f t="shared" si="4"/>
        <v>114</v>
      </c>
      <c r="C19" s="110">
        <f ca="1">SUMIF(Здание!B$2:B$9876,B19,Здание!C$2:C$9876)</f>
        <v>32</v>
      </c>
      <c r="D19" s="113">
        <v>4</v>
      </c>
      <c r="E19" s="139" t="s">
        <v>9</v>
      </c>
      <c r="F19" s="114">
        <v>120</v>
      </c>
      <c r="G19" s="108">
        <v>310</v>
      </c>
      <c r="H19" s="111">
        <f t="shared" si="20"/>
        <v>1.16808</v>
      </c>
      <c r="I19" s="111">
        <f t="shared" ca="1" si="19"/>
        <v>37.37856</v>
      </c>
      <c r="J19" s="115"/>
      <c r="K19" s="112">
        <f>SUMIF(Металл!E$3:E$324,D19,Металл!A$3:A$324)</f>
        <v>0</v>
      </c>
    </row>
    <row r="20" spans="2:11" ht="16.5" customHeight="1" x14ac:dyDescent="0.25">
      <c r="B20" s="109">
        <f t="shared" si="4"/>
        <v>115</v>
      </c>
      <c r="C20" s="110">
        <f ca="1">SUMIF(Здание!B$2:B$9876,B20,Здание!C$2:C$9876)</f>
        <v>32</v>
      </c>
      <c r="D20" s="259" t="s">
        <v>71</v>
      </c>
      <c r="E20" s="260"/>
      <c r="F20" s="261"/>
      <c r="G20" s="108">
        <f>1830-10-34</f>
        <v>1786</v>
      </c>
      <c r="H20" s="111">
        <f t="shared" ref="H20:H21" si="21">G20/1000*K20</f>
        <v>20.949780000000001</v>
      </c>
      <c r="I20" s="111">
        <f t="shared" ref="I20:I21" ca="1" si="22">H20*C20</f>
        <v>670.39296000000002</v>
      </c>
      <c r="J20" s="115"/>
      <c r="K20" s="112">
        <f>SUMIF(Металл!E$3:E$324,D20,Металл!A$3:A$324)</f>
        <v>11.73</v>
      </c>
    </row>
    <row r="21" spans="2:11" ht="16.5" customHeight="1" x14ac:dyDescent="0.25">
      <c r="B21" s="109">
        <f t="shared" si="4"/>
        <v>116</v>
      </c>
      <c r="C21" s="110">
        <f ca="1">SUMIF(Здание!B$2:B$9876,B21,Здание!C$2:C$9876)</f>
        <v>1</v>
      </c>
      <c r="D21" s="259" t="s">
        <v>71</v>
      </c>
      <c r="E21" s="260"/>
      <c r="F21" s="261"/>
      <c r="G21" s="108">
        <f>5148-12-4-10-6</f>
        <v>5116</v>
      </c>
      <c r="H21" s="111">
        <f t="shared" si="21"/>
        <v>60.010680000000001</v>
      </c>
      <c r="I21" s="111">
        <f t="shared" ca="1" si="22"/>
        <v>60.010680000000001</v>
      </c>
      <c r="J21" s="115"/>
      <c r="K21" s="112">
        <f>SUMIF(Металл!E$3:E$324,D21,Металл!A$3:A$324)</f>
        <v>11.73</v>
      </c>
    </row>
    <row r="22" spans="2:11" ht="16.5" customHeight="1" x14ac:dyDescent="0.25">
      <c r="B22" s="109">
        <f t="shared" si="4"/>
        <v>117</v>
      </c>
      <c r="C22" s="110">
        <f ca="1">SUMIF(Здание!B$2:B$9876,B22,Здание!C$2:C$9876)</f>
        <v>8</v>
      </c>
      <c r="D22" s="259" t="s">
        <v>71</v>
      </c>
      <c r="E22" s="260"/>
      <c r="F22" s="261"/>
      <c r="G22" s="108">
        <f>6000-100-12-4+(80)</f>
        <v>5964</v>
      </c>
      <c r="H22" s="111">
        <f t="shared" ref="H22" si="23">G22/1000*K22</f>
        <v>69.957720000000009</v>
      </c>
      <c r="I22" s="111">
        <f t="shared" ref="I22" ca="1" si="24">H22*C22</f>
        <v>559.66176000000007</v>
      </c>
      <c r="J22" s="115"/>
      <c r="K22" s="112">
        <f>SUMIF(Металл!E$3:E$324,D22,Металл!A$3:A$324)</f>
        <v>11.73</v>
      </c>
    </row>
    <row r="23" spans="2:11" ht="16.5" customHeight="1" x14ac:dyDescent="0.25">
      <c r="B23" s="109">
        <f t="shared" si="4"/>
        <v>118</v>
      </c>
      <c r="C23" s="110">
        <f ca="1">SUMIF(Здание!B$2:B$9876,B23,Здание!C$2:C$9876)</f>
        <v>8</v>
      </c>
      <c r="D23" s="259" t="s">
        <v>71</v>
      </c>
      <c r="E23" s="260"/>
      <c r="F23" s="261"/>
      <c r="G23" s="216">
        <f>4382+210</f>
        <v>4592</v>
      </c>
      <c r="H23" s="111">
        <f t="shared" ref="H23" si="25">G23/1000*K23</f>
        <v>53.864159999999998</v>
      </c>
      <c r="I23" s="111">
        <f t="shared" ref="I23" ca="1" si="26">H23*C23</f>
        <v>430.91327999999999</v>
      </c>
      <c r="J23" s="115"/>
      <c r="K23" s="112">
        <f>SUMIF(Металл!E$3:E$324,D23,Металл!A$3:A$324)</f>
        <v>11.73</v>
      </c>
    </row>
    <row r="24" spans="2:11" ht="16.5" customHeight="1" x14ac:dyDescent="0.25">
      <c r="B24" s="109">
        <f t="shared" si="4"/>
        <v>119</v>
      </c>
      <c r="C24" s="110">
        <f ca="1">SUMIF(Здание!B$2:B$9876,B24,Здание!C$2:C$9876)</f>
        <v>8</v>
      </c>
      <c r="D24" s="259" t="s">
        <v>71</v>
      </c>
      <c r="E24" s="260"/>
      <c r="F24" s="261"/>
      <c r="G24" s="108">
        <v>500</v>
      </c>
      <c r="H24" s="111">
        <f t="shared" ref="H24:H25" si="27">G24/1000*K24</f>
        <v>5.8650000000000002</v>
      </c>
      <c r="I24" s="111">
        <f t="shared" ref="I24:I25" ca="1" si="28">H24*C24</f>
        <v>46.92</v>
      </c>
      <c r="J24" s="115"/>
      <c r="K24" s="112">
        <f>SUMIF(Металл!E$3:E$324,D24,Металл!A$3:A$324)</f>
        <v>11.73</v>
      </c>
    </row>
    <row r="25" spans="2:11" ht="16.5" customHeight="1" x14ac:dyDescent="0.25">
      <c r="B25" s="109">
        <f t="shared" si="4"/>
        <v>120</v>
      </c>
      <c r="C25" s="110">
        <f ca="1">SUMIF(Здание!B$2:B$9876,B25,Здание!C$2:C$9876)</f>
        <v>0</v>
      </c>
      <c r="D25" s="259" t="s">
        <v>71</v>
      </c>
      <c r="E25" s="260"/>
      <c r="F25" s="261"/>
      <c r="G25" s="108">
        <f>4290-12-4-10</f>
        <v>4264</v>
      </c>
      <c r="H25" s="111">
        <f t="shared" si="27"/>
        <v>50.016720000000007</v>
      </c>
      <c r="I25" s="111">
        <f t="shared" ca="1" si="28"/>
        <v>0</v>
      </c>
      <c r="J25" s="115"/>
      <c r="K25" s="112">
        <f>SUMIF(Металл!E$3:E$324,D25,Металл!A$3:A$324)</f>
        <v>11.73</v>
      </c>
    </row>
    <row r="26" spans="2:11" ht="16.5" customHeight="1" x14ac:dyDescent="0.25">
      <c r="B26" s="109">
        <f t="shared" si="4"/>
        <v>121</v>
      </c>
      <c r="C26" s="110">
        <f ca="1">SUMIF(Здание!B$2:B$9876,B26,Здание!C$2:C$9876)</f>
        <v>32</v>
      </c>
      <c r="D26" s="259" t="s">
        <v>71</v>
      </c>
      <c r="E26" s="260"/>
      <c r="F26" s="261"/>
      <c r="G26" s="205">
        <v>1180</v>
      </c>
      <c r="H26" s="111">
        <f t="shared" ref="H26" si="29">G26/1000*K26</f>
        <v>13.8414</v>
      </c>
      <c r="I26" s="111">
        <f t="shared" ref="I26:I27" ca="1" si="30">H26*C26</f>
        <v>442.9248</v>
      </c>
      <c r="J26" s="115"/>
      <c r="K26" s="112">
        <f>SUMIF(Металл!E$3:E$324,D26,Металл!A$3:A$324)</f>
        <v>11.73</v>
      </c>
    </row>
    <row r="27" spans="2:11" ht="16.5" customHeight="1" x14ac:dyDescent="0.25">
      <c r="B27" s="109">
        <f t="shared" si="4"/>
        <v>122</v>
      </c>
      <c r="C27" s="110">
        <f ca="1">SUMIF(Здание!B$2:B$9876,B27,Здание!C$2:C$9876)</f>
        <v>64</v>
      </c>
      <c r="D27" s="113">
        <v>10</v>
      </c>
      <c r="E27" s="206" t="s">
        <v>9</v>
      </c>
      <c r="F27" s="114">
        <v>110</v>
      </c>
      <c r="G27" s="205">
        <v>120</v>
      </c>
      <c r="H27" s="111">
        <f t="shared" ref="H27" si="31">7.85/1000000*(F27*G27*D27)</f>
        <v>1.0362</v>
      </c>
      <c r="I27" s="111">
        <f t="shared" ca="1" si="30"/>
        <v>66.316800000000001</v>
      </c>
      <c r="J27" s="115"/>
      <c r="K27" s="112">
        <f>SUMIF(Металл!E$3:E$324,D27,Металл!A$3:A$324)</f>
        <v>0</v>
      </c>
    </row>
    <row r="28" spans="2:11" ht="16.5" customHeight="1" x14ac:dyDescent="0.25">
      <c r="B28" s="190"/>
      <c r="C28" s="191"/>
      <c r="D28" s="192"/>
      <c r="E28" s="192"/>
      <c r="F28" s="192"/>
      <c r="G28" s="192"/>
      <c r="H28" s="193"/>
      <c r="I28" s="193"/>
      <c r="J28" s="194"/>
      <c r="K28" s="195"/>
    </row>
    <row r="29" spans="2:11" ht="16.5" customHeight="1" x14ac:dyDescent="0.25">
      <c r="B29" s="190"/>
      <c r="C29" s="191"/>
      <c r="D29" s="192"/>
      <c r="E29" s="192"/>
      <c r="F29" s="192"/>
      <c r="G29" s="192"/>
      <c r="H29" s="193"/>
      <c r="I29" s="193"/>
      <c r="J29" s="194"/>
      <c r="K29" s="195"/>
    </row>
    <row r="30" spans="2:11" ht="16.5" customHeight="1" x14ac:dyDescent="0.25">
      <c r="B30" s="190"/>
      <c r="C30" s="191"/>
      <c r="D30" s="192"/>
      <c r="E30" s="192"/>
      <c r="F30" s="192"/>
      <c r="G30" s="192"/>
      <c r="H30" s="193"/>
      <c r="I30" s="193"/>
      <c r="J30" s="194"/>
      <c r="K30" s="195"/>
    </row>
    <row r="31" spans="2:11" ht="16.5" customHeight="1" x14ac:dyDescent="0.25">
      <c r="B31" s="190"/>
      <c r="C31" s="191"/>
      <c r="D31" s="192"/>
      <c r="E31" s="192"/>
      <c r="F31" s="192"/>
      <c r="G31" s="192"/>
      <c r="H31" s="193"/>
      <c r="I31" s="193"/>
      <c r="J31" s="194"/>
      <c r="K31" s="195"/>
    </row>
    <row r="32" spans="2:11" ht="16.5" customHeight="1" x14ac:dyDescent="0.25">
      <c r="B32" s="190"/>
      <c r="C32" s="191"/>
      <c r="D32" s="192"/>
      <c r="E32" s="192"/>
      <c r="F32" s="192"/>
      <c r="G32" s="192"/>
      <c r="H32" s="193"/>
      <c r="I32" s="193"/>
      <c r="J32" s="194"/>
      <c r="K32" s="195"/>
    </row>
    <row r="33" spans="2:11" ht="16.5" customHeight="1" x14ac:dyDescent="0.25">
      <c r="B33" s="190"/>
      <c r="C33" s="191"/>
      <c r="D33" s="192"/>
      <c r="E33" s="192"/>
      <c r="F33" s="192"/>
      <c r="G33" s="192"/>
      <c r="H33" s="193"/>
      <c r="I33" s="193"/>
      <c r="J33" s="194"/>
      <c r="K33" s="195"/>
    </row>
    <row r="35" spans="2:11" ht="16.5" customHeight="1" x14ac:dyDescent="0.25">
      <c r="B35" s="109">
        <v>201</v>
      </c>
      <c r="C35" s="110">
        <f>SUMIF(Здание!B$2:B$9876,B35,Здание!C$2:C$9876)</f>
        <v>0</v>
      </c>
      <c r="D35" s="113">
        <v>20</v>
      </c>
      <c r="E35" s="139" t="s">
        <v>9</v>
      </c>
      <c r="F35" s="114">
        <v>300</v>
      </c>
      <c r="G35" s="108">
        <v>1</v>
      </c>
      <c r="H35" s="111">
        <f>7.85/1000000*(F35*G35*D35)</f>
        <v>4.7099999999999996E-2</v>
      </c>
      <c r="I35" s="111">
        <f t="shared" ref="I35:I36" si="32">H35*C35</f>
        <v>0</v>
      </c>
      <c r="J35" s="115" t="s">
        <v>345</v>
      </c>
      <c r="K35" s="112">
        <f>SUMIF(Металл!E$3:E$324,D35,Металл!A$3:A$324)</f>
        <v>0</v>
      </c>
    </row>
    <row r="36" spans="2:11" ht="16.5" customHeight="1" x14ac:dyDescent="0.25">
      <c r="B36" s="109">
        <f t="shared" ref="B36:B60" si="33">B35+1</f>
        <v>202</v>
      </c>
      <c r="C36" s="110">
        <f>SUMIF(Здание!B$2:B$9876,B36,Здание!C$2:C$9876)</f>
        <v>0</v>
      </c>
      <c r="D36" s="113">
        <v>20</v>
      </c>
      <c r="E36" s="139" t="s">
        <v>9</v>
      </c>
      <c r="F36" s="114">
        <v>255</v>
      </c>
      <c r="G36" s="108">
        <v>1</v>
      </c>
      <c r="H36" s="111">
        <f t="shared" ref="H36" si="34">7.85/1000000*(F36*G36*D36)</f>
        <v>4.0034999999999994E-2</v>
      </c>
      <c r="I36" s="111">
        <f t="shared" si="32"/>
        <v>0</v>
      </c>
      <c r="J36" s="115" t="s">
        <v>345</v>
      </c>
      <c r="K36" s="112">
        <f>SUMIF(Металл!E$3:E$324,D36,Металл!A$3:A$324)</f>
        <v>0</v>
      </c>
    </row>
    <row r="37" spans="2:11" ht="16.5" customHeight="1" x14ac:dyDescent="0.25">
      <c r="B37" s="109">
        <f t="shared" si="33"/>
        <v>203</v>
      </c>
      <c r="C37" s="110">
        <f>SUMIF(Здание!B$2:B$9876,B37,Здание!C$2:C$9876)</f>
        <v>0</v>
      </c>
      <c r="D37" s="113">
        <v>20</v>
      </c>
      <c r="E37" s="139" t="s">
        <v>9</v>
      </c>
      <c r="F37" s="114">
        <v>220</v>
      </c>
      <c r="G37" s="108">
        <v>1</v>
      </c>
      <c r="H37" s="111">
        <f t="shared" ref="H37:H41" si="35">7.85/1000000*(F37*G37*D37)</f>
        <v>3.4539999999999994E-2</v>
      </c>
      <c r="I37" s="111">
        <f t="shared" ref="I37:I42" si="36">H37*C37</f>
        <v>0</v>
      </c>
      <c r="J37" s="115" t="s">
        <v>345</v>
      </c>
      <c r="K37" s="112">
        <f>SUMIF(Металл!E$3:E$324,D37,Металл!A$3:A$324)</f>
        <v>0</v>
      </c>
    </row>
    <row r="38" spans="2:11" ht="16.5" customHeight="1" x14ac:dyDescent="0.25">
      <c r="B38" s="109">
        <f t="shared" si="33"/>
        <v>204</v>
      </c>
      <c r="C38" s="110">
        <f>SUMIF(Здание!B$2:B$9876,B38,Здание!C$2:C$9876)</f>
        <v>0</v>
      </c>
      <c r="D38" s="113">
        <v>30</v>
      </c>
      <c r="E38" s="139" t="s">
        <v>9</v>
      </c>
      <c r="F38" s="114">
        <v>320</v>
      </c>
      <c r="G38" s="108">
        <v>1</v>
      </c>
      <c r="H38" s="111">
        <f t="shared" si="35"/>
        <v>7.5359999999999996E-2</v>
      </c>
      <c r="I38" s="111">
        <f t="shared" si="36"/>
        <v>0</v>
      </c>
      <c r="J38" s="115" t="s">
        <v>345</v>
      </c>
      <c r="K38" s="112">
        <f>SUMIF(Металл!E$3:E$324,D38,Металл!A$3:A$324)</f>
        <v>0</v>
      </c>
    </row>
    <row r="39" spans="2:11" ht="16.5" customHeight="1" x14ac:dyDescent="0.25">
      <c r="B39" s="109">
        <f t="shared" si="33"/>
        <v>205</v>
      </c>
      <c r="C39" s="110">
        <f>SUMIF(Здание!B$2:B$9876,B39,Здание!C$2:C$9876)</f>
        <v>0</v>
      </c>
      <c r="D39" s="113">
        <v>6</v>
      </c>
      <c r="E39" s="139" t="s">
        <v>9</v>
      </c>
      <c r="F39" s="114">
        <v>125</v>
      </c>
      <c r="G39" s="108">
        <v>1</v>
      </c>
      <c r="H39" s="111">
        <f t="shared" si="35"/>
        <v>5.8874999999999995E-3</v>
      </c>
      <c r="I39" s="111">
        <f t="shared" si="36"/>
        <v>0</v>
      </c>
      <c r="J39" s="115"/>
      <c r="K39" s="112">
        <f>SUMIF(Металл!E$3:E$324,D39,Металл!A$3:A$324)</f>
        <v>0</v>
      </c>
    </row>
    <row r="40" spans="2:11" ht="16.5" customHeight="1" x14ac:dyDescent="0.25">
      <c r="B40" s="109">
        <f t="shared" si="33"/>
        <v>206</v>
      </c>
      <c r="C40" s="110">
        <f>SUMIF(Здание!B$2:B$9876,B40,Здание!C$2:C$9876)</f>
        <v>0</v>
      </c>
      <c r="D40" s="113">
        <v>6</v>
      </c>
      <c r="E40" s="139" t="s">
        <v>9</v>
      </c>
      <c r="F40" s="114">
        <v>135</v>
      </c>
      <c r="G40" s="108">
        <v>1</v>
      </c>
      <c r="H40" s="111">
        <f t="shared" si="35"/>
        <v>6.3584999999999996E-3</v>
      </c>
      <c r="I40" s="111">
        <f t="shared" si="36"/>
        <v>0</v>
      </c>
      <c r="J40" s="115"/>
      <c r="K40" s="112">
        <f>SUMIF(Металл!E$3:E$324,D40,Металл!A$3:A$324)</f>
        <v>0</v>
      </c>
    </row>
    <row r="41" spans="2:11" ht="16.5" customHeight="1" x14ac:dyDescent="0.25">
      <c r="B41" s="109">
        <f t="shared" si="33"/>
        <v>207</v>
      </c>
      <c r="C41" s="110">
        <f>SUMIF(Здание!B$2:B$9876,B41,Здание!C$2:C$9876)</f>
        <v>0</v>
      </c>
      <c r="D41" s="113">
        <v>10</v>
      </c>
      <c r="E41" s="139" t="s">
        <v>9</v>
      </c>
      <c r="F41" s="114">
        <v>175</v>
      </c>
      <c r="G41" s="108">
        <v>1</v>
      </c>
      <c r="H41" s="111">
        <f t="shared" si="35"/>
        <v>1.37375E-2</v>
      </c>
      <c r="I41" s="111">
        <f t="shared" ref="I41" si="37">H41*C41</f>
        <v>0</v>
      </c>
      <c r="J41" s="115"/>
      <c r="K41" s="112">
        <f>SUMIF(Металл!E$3:E$324,D41,Металл!A$3:A$324)</f>
        <v>0</v>
      </c>
    </row>
    <row r="42" spans="2:11" ht="16.5" customHeight="1" x14ac:dyDescent="0.25">
      <c r="B42" s="109">
        <f t="shared" si="33"/>
        <v>208</v>
      </c>
      <c r="C42" s="110">
        <f>SUMIF(Здание!B$2:B$9876,B42,Здание!C$2:C$9876)</f>
        <v>0</v>
      </c>
      <c r="D42" s="113">
        <v>10</v>
      </c>
      <c r="E42" s="139" t="s">
        <v>9</v>
      </c>
      <c r="F42" s="114">
        <v>68</v>
      </c>
      <c r="G42" s="108">
        <v>1</v>
      </c>
      <c r="H42" s="111">
        <f t="shared" ref="H42" si="38">7.85/1000000*(F42*G42*D42)</f>
        <v>5.3379999999999999E-3</v>
      </c>
      <c r="I42" s="111">
        <f t="shared" si="36"/>
        <v>0</v>
      </c>
      <c r="J42" s="115"/>
      <c r="K42" s="112">
        <f>SUMIF(Металл!E$3:E$324,D42,Металл!A$3:A$324)</f>
        <v>0</v>
      </c>
    </row>
    <row r="43" spans="2:11" ht="16.5" customHeight="1" x14ac:dyDescent="0.25">
      <c r="B43" s="109">
        <f t="shared" si="33"/>
        <v>209</v>
      </c>
      <c r="C43" s="110">
        <f>SUMIF(Здание!B$2:B$9876,B43,Здание!C$2:C$9876)</f>
        <v>0</v>
      </c>
      <c r="D43" s="113">
        <v>10</v>
      </c>
      <c r="E43" s="139" t="s">
        <v>9</v>
      </c>
      <c r="F43" s="114">
        <v>100</v>
      </c>
      <c r="G43" s="108">
        <v>1</v>
      </c>
      <c r="H43" s="111">
        <f t="shared" ref="H43:H44" si="39">7.85/1000000*(F43*G43*D43)</f>
        <v>7.8499999999999993E-3</v>
      </c>
      <c r="I43" s="111">
        <f t="shared" ref="I43:I46" si="40">H43*C43</f>
        <v>0</v>
      </c>
      <c r="J43" s="115"/>
      <c r="K43" s="112">
        <f>SUMIF(Металл!E$3:E$324,D43,Металл!A$3:A$324)</f>
        <v>0</v>
      </c>
    </row>
    <row r="44" spans="2:11" ht="16.5" customHeight="1" x14ac:dyDescent="0.25">
      <c r="B44" s="109">
        <f t="shared" si="33"/>
        <v>210</v>
      </c>
      <c r="C44" s="110">
        <f ca="1">SUMIF(Здание!B$2:B$9876,B44,Здание!C$2:C$9876)</f>
        <v>0</v>
      </c>
      <c r="D44" s="113">
        <v>10</v>
      </c>
      <c r="E44" s="139" t="s">
        <v>9</v>
      </c>
      <c r="F44" s="114">
        <v>208</v>
      </c>
      <c r="G44" s="108">
        <v>1</v>
      </c>
      <c r="H44" s="111">
        <f t="shared" si="39"/>
        <v>1.6327999999999999E-2</v>
      </c>
      <c r="I44" s="111">
        <f t="shared" ca="1" si="40"/>
        <v>0</v>
      </c>
      <c r="J44" s="115"/>
      <c r="K44" s="112">
        <f>SUMIF(Металл!E$3:E$324,D44,Металл!A$3:A$324)</f>
        <v>0</v>
      </c>
    </row>
    <row r="45" spans="2:11" ht="16.5" customHeight="1" x14ac:dyDescent="0.25">
      <c r="B45" s="109">
        <f t="shared" si="33"/>
        <v>211</v>
      </c>
      <c r="C45" s="110">
        <f ca="1">SUMIF(Здание!B$2:B$9876,B45,Здание!C$2:C$9876)</f>
        <v>0</v>
      </c>
      <c r="D45" s="259" t="s">
        <v>86</v>
      </c>
      <c r="E45" s="260"/>
      <c r="F45" s="261"/>
      <c r="G45" s="108">
        <v>1</v>
      </c>
      <c r="H45" s="111">
        <f t="shared" ref="H45:H46" si="41">G45/1000*K45</f>
        <v>9.8699999999999986E-3</v>
      </c>
      <c r="I45" s="111">
        <f t="shared" ca="1" si="40"/>
        <v>0</v>
      </c>
      <c r="J45" s="115"/>
      <c r="K45" s="112">
        <f>SUMIF(Металл!E$3:E$324,D45,Металл!A$3:A$324)</f>
        <v>9.8699999999999992</v>
      </c>
    </row>
    <row r="46" spans="2:11" ht="16.5" customHeight="1" x14ac:dyDescent="0.25">
      <c r="B46" s="109">
        <f t="shared" si="33"/>
        <v>212</v>
      </c>
      <c r="C46" s="110">
        <f>SUMIF(Здание!B$2:B$9876,B46,Здание!C$2:C$9876)</f>
        <v>0</v>
      </c>
      <c r="D46" s="259" t="s">
        <v>245</v>
      </c>
      <c r="E46" s="260"/>
      <c r="F46" s="261"/>
      <c r="G46" s="108">
        <v>1</v>
      </c>
      <c r="H46" s="111">
        <f t="shared" si="41"/>
        <v>4.6509999999999996E-2</v>
      </c>
      <c r="I46" s="111">
        <f t="shared" si="40"/>
        <v>0</v>
      </c>
      <c r="J46" s="115"/>
      <c r="K46" s="112">
        <f>SUMIF(Металл!E$3:E$324,D46,Металл!A$3:A$324)</f>
        <v>46.51</v>
      </c>
    </row>
    <row r="47" spans="2:11" ht="16.5" customHeight="1" x14ac:dyDescent="0.25">
      <c r="B47" s="109">
        <f t="shared" si="33"/>
        <v>213</v>
      </c>
      <c r="C47" s="110">
        <f>SUMIF(Здание!B$2:B$9876,B47,Здание!C$2:C$9876)</f>
        <v>0</v>
      </c>
      <c r="D47" s="259" t="s">
        <v>348</v>
      </c>
      <c r="E47" s="260"/>
      <c r="F47" s="261"/>
      <c r="G47" s="108">
        <v>1</v>
      </c>
      <c r="H47" s="111">
        <f t="shared" ref="H47" si="42">G47/1000*K47</f>
        <v>2.383E-2</v>
      </c>
      <c r="I47" s="111">
        <f t="shared" ref="I47" si="43">H47*C47</f>
        <v>0</v>
      </c>
      <c r="J47" s="115"/>
      <c r="K47" s="112">
        <f>SUMIF(Металл!E$3:E$324,D47,Металл!A$3:A$324)</f>
        <v>23.83</v>
      </c>
    </row>
    <row r="48" spans="2:11" ht="16.5" customHeight="1" x14ac:dyDescent="0.25">
      <c r="B48" s="109">
        <f t="shared" si="33"/>
        <v>214</v>
      </c>
      <c r="C48" s="110">
        <f>SUMIF(Здание!B$2:B$9876,B48,Здание!C$2:C$9876)</f>
        <v>0</v>
      </c>
      <c r="D48" s="259" t="s">
        <v>176</v>
      </c>
      <c r="E48" s="260"/>
      <c r="F48" s="261"/>
      <c r="G48" s="108">
        <v>1</v>
      </c>
      <c r="H48" s="111">
        <f t="shared" ref="H48" si="44">G48/1000*K48</f>
        <v>2.069E-2</v>
      </c>
      <c r="I48" s="111">
        <f t="shared" ref="I48" si="45">H48*C48</f>
        <v>0</v>
      </c>
      <c r="J48" s="115"/>
      <c r="K48" s="112">
        <f>SUMIF(Металл!E$3:E$324,D48,Металл!A$3:A$324)</f>
        <v>20.69</v>
      </c>
    </row>
    <row r="49" spans="2:11" ht="16.5" customHeight="1" x14ac:dyDescent="0.25">
      <c r="B49" s="109">
        <f t="shared" si="33"/>
        <v>215</v>
      </c>
      <c r="C49" s="110">
        <f>SUMIF(Здание!B$2:B$9876,B49,Здание!C$2:C$9876)</f>
        <v>0</v>
      </c>
      <c r="D49" s="259" t="s">
        <v>71</v>
      </c>
      <c r="E49" s="260"/>
      <c r="F49" s="261"/>
      <c r="G49" s="108">
        <v>1</v>
      </c>
      <c r="H49" s="111">
        <f t="shared" ref="H49:H50" si="46">G49/1000*K49</f>
        <v>1.1730000000000001E-2</v>
      </c>
      <c r="I49" s="111">
        <f t="shared" ref="I49:I50" si="47">H49*C49</f>
        <v>0</v>
      </c>
      <c r="J49" s="115"/>
      <c r="K49" s="112">
        <f>SUMIF(Металл!E$3:E$324,D49,Металл!A$3:A$324)</f>
        <v>11.73</v>
      </c>
    </row>
    <row r="50" spans="2:11" ht="16.5" customHeight="1" x14ac:dyDescent="0.25">
      <c r="B50" s="109">
        <f t="shared" si="33"/>
        <v>216</v>
      </c>
      <c r="C50" s="110">
        <f>SUMIF(Здание!B$2:B$9876,B50,Здание!C$2:C$9876)</f>
        <v>0</v>
      </c>
      <c r="D50" s="259" t="s">
        <v>71</v>
      </c>
      <c r="E50" s="260"/>
      <c r="F50" s="261"/>
      <c r="G50" s="108">
        <v>1</v>
      </c>
      <c r="H50" s="111">
        <f t="shared" si="46"/>
        <v>1.1730000000000001E-2</v>
      </c>
      <c r="I50" s="111">
        <f t="shared" si="47"/>
        <v>0</v>
      </c>
      <c r="J50" s="115"/>
      <c r="K50" s="112">
        <f>SUMIF(Металл!E$3:E$324,D50,Металл!A$3:A$324)</f>
        <v>11.73</v>
      </c>
    </row>
    <row r="51" spans="2:11" ht="16.5" customHeight="1" x14ac:dyDescent="0.25">
      <c r="B51" s="109">
        <f t="shared" si="33"/>
        <v>217</v>
      </c>
      <c r="C51" s="110">
        <f>SUMIF(Здание!B$2:B$9876,B51,Здание!C$2:C$9876)</f>
        <v>0</v>
      </c>
      <c r="D51" s="259" t="s">
        <v>71</v>
      </c>
      <c r="E51" s="260"/>
      <c r="F51" s="261"/>
      <c r="G51" s="108">
        <v>1</v>
      </c>
      <c r="H51" s="111">
        <f t="shared" ref="H51" si="48">G51/1000*K51</f>
        <v>1.1730000000000001E-2</v>
      </c>
      <c r="I51" s="111">
        <f t="shared" ref="I51" si="49">H51*C51</f>
        <v>0</v>
      </c>
      <c r="J51" s="115"/>
      <c r="K51" s="112">
        <f>SUMIF(Металл!E$3:E$324,D51,Металл!A$3:A$324)</f>
        <v>11.73</v>
      </c>
    </row>
    <row r="52" spans="2:11" ht="16.5" customHeight="1" x14ac:dyDescent="0.25">
      <c r="B52" s="109">
        <f t="shared" si="33"/>
        <v>218</v>
      </c>
      <c r="C52" s="110">
        <f>SUMIF(Здание!B$2:B$9876,B52,Здание!C$2:C$9876)</f>
        <v>0</v>
      </c>
      <c r="D52" s="259" t="s">
        <v>71</v>
      </c>
      <c r="E52" s="260"/>
      <c r="F52" s="261"/>
      <c r="G52" s="108">
        <v>1</v>
      </c>
      <c r="H52" s="111">
        <f t="shared" ref="H52:H55" si="50">G52/1000*K52</f>
        <v>1.1730000000000001E-2</v>
      </c>
      <c r="I52" s="111">
        <f t="shared" ref="I52:I55" si="51">H52*C52</f>
        <v>0</v>
      </c>
      <c r="J52" s="115"/>
      <c r="K52" s="112">
        <f>SUMIF(Металл!E$3:E$324,D52,Металл!A$3:A$324)</f>
        <v>11.73</v>
      </c>
    </row>
    <row r="53" spans="2:11" ht="16.5" customHeight="1" x14ac:dyDescent="0.25">
      <c r="B53" s="109">
        <f t="shared" si="33"/>
        <v>219</v>
      </c>
      <c r="C53" s="110">
        <f>SUMIF(Здание!B$2:B$9876,B53,Здание!C$2:C$9876)</f>
        <v>0</v>
      </c>
      <c r="D53" s="259" t="s">
        <v>71</v>
      </c>
      <c r="E53" s="260"/>
      <c r="F53" s="261"/>
      <c r="G53" s="108">
        <v>1</v>
      </c>
      <c r="H53" s="111">
        <f t="shared" si="50"/>
        <v>1.1730000000000001E-2</v>
      </c>
      <c r="I53" s="111">
        <f t="shared" si="51"/>
        <v>0</v>
      </c>
      <c r="J53" s="115"/>
      <c r="K53" s="112">
        <f>SUMIF(Металл!E$3:E$324,D53,Металл!A$3:A$324)</f>
        <v>11.73</v>
      </c>
    </row>
    <row r="54" spans="2:11" ht="16.5" customHeight="1" x14ac:dyDescent="0.25">
      <c r="B54" s="109">
        <f t="shared" si="33"/>
        <v>220</v>
      </c>
      <c r="C54" s="110">
        <f>SUMIF(Здание!B$2:B$9876,B54,Здание!C$2:C$9876)</f>
        <v>0</v>
      </c>
      <c r="D54" s="259" t="s">
        <v>71</v>
      </c>
      <c r="E54" s="260"/>
      <c r="F54" s="261"/>
      <c r="G54" s="108">
        <v>1</v>
      </c>
      <c r="H54" s="111">
        <f t="shared" si="50"/>
        <v>1.1730000000000001E-2</v>
      </c>
      <c r="I54" s="111">
        <f t="shared" si="51"/>
        <v>0</v>
      </c>
      <c r="J54" s="115"/>
      <c r="K54" s="112">
        <f>SUMIF(Металл!E$3:E$324,D54,Металл!A$3:A$324)</f>
        <v>11.73</v>
      </c>
    </row>
    <row r="55" spans="2:11" ht="16.5" customHeight="1" x14ac:dyDescent="0.25">
      <c r="B55" s="109">
        <f t="shared" si="33"/>
        <v>221</v>
      </c>
      <c r="C55" s="110">
        <f>SUMIF(Здание!B$2:B$9876,B55,Здание!C$2:C$9876)</f>
        <v>0</v>
      </c>
      <c r="D55" s="259" t="s">
        <v>71</v>
      </c>
      <c r="E55" s="260"/>
      <c r="F55" s="261"/>
      <c r="G55" s="108">
        <v>1</v>
      </c>
      <c r="H55" s="111">
        <f t="shared" si="50"/>
        <v>1.1730000000000001E-2</v>
      </c>
      <c r="I55" s="111">
        <f t="shared" si="51"/>
        <v>0</v>
      </c>
      <c r="J55" s="115"/>
      <c r="K55" s="112">
        <f>SUMIF(Металл!E$3:E$324,D55,Металл!A$3:A$324)</f>
        <v>11.73</v>
      </c>
    </row>
    <row r="56" spans="2:11" ht="16.5" customHeight="1" x14ac:dyDescent="0.25">
      <c r="B56" s="109">
        <f t="shared" si="33"/>
        <v>222</v>
      </c>
      <c r="C56" s="110">
        <f>SUMIF(Здание!B$2:B$9876,B56,Здание!C$2:C$9876)</f>
        <v>0</v>
      </c>
      <c r="D56" s="259" t="s">
        <v>71</v>
      </c>
      <c r="E56" s="260"/>
      <c r="F56" s="261"/>
      <c r="G56" s="108">
        <v>1</v>
      </c>
      <c r="H56" s="111">
        <f t="shared" ref="H56" si="52">G56/1000*K56</f>
        <v>1.1730000000000001E-2</v>
      </c>
      <c r="I56" s="111">
        <f t="shared" ref="I56" si="53">H56*C56</f>
        <v>0</v>
      </c>
      <c r="J56" s="115"/>
      <c r="K56" s="112">
        <f>SUMIF(Металл!E$3:E$324,D56,Металл!A$3:A$324)</f>
        <v>11.73</v>
      </c>
    </row>
    <row r="57" spans="2:11" ht="16.5" customHeight="1" x14ac:dyDescent="0.25">
      <c r="B57" s="109">
        <f t="shared" si="33"/>
        <v>223</v>
      </c>
      <c r="C57" s="110">
        <f ca="1">SUMIF(Здание!B$2:B$9876,B57,Здание!C$2:C$9876)</f>
        <v>0</v>
      </c>
      <c r="D57" s="259" t="s">
        <v>45</v>
      </c>
      <c r="E57" s="260"/>
      <c r="F57" s="261"/>
      <c r="G57" s="108">
        <v>1</v>
      </c>
      <c r="H57" s="111">
        <f t="shared" ref="H57" si="54">G57/1000*K57</f>
        <v>2.5700000000000001E-2</v>
      </c>
      <c r="I57" s="111">
        <f t="shared" ref="I57:I58" ca="1" si="55">H57*C57</f>
        <v>0</v>
      </c>
      <c r="J57" s="115"/>
      <c r="K57" s="112">
        <f>SUMIF(Металл!E$3:E$324,D57,Металл!A$3:A$324)</f>
        <v>25.7</v>
      </c>
    </row>
    <row r="58" spans="2:11" ht="16.5" customHeight="1" x14ac:dyDescent="0.25">
      <c r="B58" s="109">
        <f t="shared" si="33"/>
        <v>224</v>
      </c>
      <c r="C58" s="110">
        <f ca="1">SUMIF(Здание!B$2:B$9876,B58,Здание!C$2:C$9876)</f>
        <v>0</v>
      </c>
      <c r="D58" s="113">
        <v>10</v>
      </c>
      <c r="E58" s="139" t="s">
        <v>9</v>
      </c>
      <c r="F58" s="114">
        <v>197</v>
      </c>
      <c r="G58" s="108">
        <v>1</v>
      </c>
      <c r="H58" s="111">
        <f t="shared" ref="H58" si="56">7.85/1000000*(F58*G58*D58)</f>
        <v>1.5464499999999999E-2</v>
      </c>
      <c r="I58" s="111">
        <f t="shared" ca="1" si="55"/>
        <v>0</v>
      </c>
      <c r="J58" s="115"/>
      <c r="K58" s="112">
        <f>SUMIF(Металл!E$3:E$324,D58,Металл!A$3:A$324)</f>
        <v>0</v>
      </c>
    </row>
    <row r="59" spans="2:11" ht="16.5" customHeight="1" x14ac:dyDescent="0.25">
      <c r="B59" s="109">
        <f t="shared" si="33"/>
        <v>225</v>
      </c>
      <c r="C59" s="110">
        <f ca="1">SUMIF(Здание!B$2:B$9876,B59,Здание!C$2:C$9876)</f>
        <v>0</v>
      </c>
      <c r="D59" s="259" t="s">
        <v>268</v>
      </c>
      <c r="E59" s="260"/>
      <c r="F59" s="261"/>
      <c r="G59" s="108">
        <v>1</v>
      </c>
      <c r="H59" s="111">
        <f t="shared" ref="H59" si="57">G59/1000*K59</f>
        <v>5.6600000000000004E-2</v>
      </c>
      <c r="I59" s="111">
        <f t="shared" ref="I59:I60" ca="1" si="58">H59*C59</f>
        <v>0</v>
      </c>
      <c r="J59" s="115"/>
      <c r="K59" s="112">
        <f>SUMIF(Металл!E$3:E$324,D59,Металл!A$3:A$324)</f>
        <v>56.6</v>
      </c>
    </row>
    <row r="60" spans="2:11" ht="16.5" customHeight="1" x14ac:dyDescent="0.25">
      <c r="B60" s="109">
        <f t="shared" si="33"/>
        <v>226</v>
      </c>
      <c r="C60" s="110">
        <f ca="1">SUMIF(Здание!B$2:B$9876,B60,Здание!C$2:C$9876)</f>
        <v>0</v>
      </c>
      <c r="D60" s="113">
        <v>10</v>
      </c>
      <c r="E60" s="139" t="s">
        <v>9</v>
      </c>
      <c r="F60" s="114">
        <v>59</v>
      </c>
      <c r="G60" s="108">
        <v>1</v>
      </c>
      <c r="H60" s="111">
        <f t="shared" ref="H60" si="59">7.85/1000000*(F60*G60*D60)</f>
        <v>4.6314999999999993E-3</v>
      </c>
      <c r="I60" s="111">
        <f t="shared" ca="1" si="58"/>
        <v>0</v>
      </c>
      <c r="J60" s="115"/>
      <c r="K60" s="112">
        <f>SUMIF(Металл!E$3:E$324,D60,Металл!A$3:A$324)</f>
        <v>0</v>
      </c>
    </row>
    <row r="73" spans="2:11" ht="16.5" customHeight="1" x14ac:dyDescent="0.25">
      <c r="B73" s="109">
        <v>301</v>
      </c>
      <c r="C73" s="110">
        <f ca="1">SUMIF(Здание!B$2:B$9876,B73,Здание!C$2:C$9876)</f>
        <v>0</v>
      </c>
      <c r="D73" s="113">
        <v>8</v>
      </c>
      <c r="E73" s="139" t="s">
        <v>9</v>
      </c>
      <c r="F73" s="114">
        <v>180</v>
      </c>
      <c r="G73" s="108">
        <v>300</v>
      </c>
      <c r="H73" s="111">
        <f t="shared" ref="H73" si="60">7.85/1000000*(F73*G73*D73)</f>
        <v>3.3911999999999995</v>
      </c>
      <c r="I73" s="111">
        <f t="shared" ref="I73" ca="1" si="61">H73*C73</f>
        <v>0</v>
      </c>
      <c r="J73" s="115"/>
      <c r="K73" s="112">
        <f>SUMIF(Металл!E$3:E$324,D73,Металл!A$3:A$324)</f>
        <v>0</v>
      </c>
    </row>
    <row r="74" spans="2:11" ht="16.5" customHeight="1" x14ac:dyDescent="0.25">
      <c r="B74" s="109">
        <f t="shared" ref="B74:B87" si="62">B73+1</f>
        <v>302</v>
      </c>
      <c r="C74" s="110">
        <f ca="1">SUMIF(Здание!B$2:B$9876,B74,Здание!C$2:C$9876)</f>
        <v>0</v>
      </c>
      <c r="D74" s="113">
        <v>8</v>
      </c>
      <c r="E74" s="139" t="s">
        <v>9</v>
      </c>
      <c r="F74" s="114">
        <v>180</v>
      </c>
      <c r="G74" s="108">
        <v>180</v>
      </c>
      <c r="H74" s="111">
        <f t="shared" ref="H74" si="63">7.85/1000000*(F74*G74*D74)</f>
        <v>2.0347199999999996</v>
      </c>
      <c r="I74" s="111">
        <f t="shared" ref="I74" ca="1" si="64">H74*C74</f>
        <v>0</v>
      </c>
      <c r="J74" s="115"/>
      <c r="K74" s="112">
        <f>SUMIF(Металл!E$3:E$324,D74,Металл!A$3:A$324)</f>
        <v>0</v>
      </c>
    </row>
    <row r="75" spans="2:11" ht="16.5" customHeight="1" x14ac:dyDescent="0.25">
      <c r="B75" s="109">
        <f t="shared" si="62"/>
        <v>303</v>
      </c>
      <c r="C75" s="110">
        <f ca="1">SUMIF(Здание!B$2:B$9876,B75,Здание!C$2:C$9876)</f>
        <v>0</v>
      </c>
      <c r="D75" s="113">
        <v>8</v>
      </c>
      <c r="E75" s="139" t="s">
        <v>9</v>
      </c>
      <c r="F75" s="114">
        <v>70</v>
      </c>
      <c r="G75" s="108">
        <v>180</v>
      </c>
      <c r="H75" s="111">
        <f t="shared" ref="H75" si="65">7.85/1000000*(F75*G75*D75)</f>
        <v>0.79127999999999998</v>
      </c>
      <c r="I75" s="111">
        <f t="shared" ref="I75" ca="1" si="66">H75*C75</f>
        <v>0</v>
      </c>
      <c r="J75" s="115"/>
      <c r="K75" s="112">
        <f>SUMIF(Металл!E$3:E$324,D75,Металл!A$3:A$324)</f>
        <v>0</v>
      </c>
    </row>
    <row r="76" spans="2:11" ht="16.5" customHeight="1" x14ac:dyDescent="0.25">
      <c r="B76" s="109">
        <f t="shared" si="62"/>
        <v>304</v>
      </c>
      <c r="C76" s="110">
        <f ca="1">SUMIF(Здание!B$2:B$9876,B76,Здание!C$2:C$9876)</f>
        <v>0</v>
      </c>
      <c r="D76" s="113">
        <v>8</v>
      </c>
      <c r="E76" s="139" t="s">
        <v>9</v>
      </c>
      <c r="F76" s="114">
        <v>70</v>
      </c>
      <c r="G76" s="108">
        <v>100</v>
      </c>
      <c r="H76" s="111">
        <f t="shared" ref="H76" si="67">7.85/1000000*(F76*G76*D76)</f>
        <v>0.43959999999999999</v>
      </c>
      <c r="I76" s="111">
        <f t="shared" ref="I76" ca="1" si="68">H76*C76</f>
        <v>0</v>
      </c>
      <c r="J76" s="115"/>
      <c r="K76" s="112">
        <f>SUMIF(Металл!E$3:E$324,D76,Металл!A$3:A$324)</f>
        <v>0</v>
      </c>
    </row>
    <row r="77" spans="2:11" ht="16.5" customHeight="1" x14ac:dyDescent="0.25">
      <c r="B77" s="109">
        <f t="shared" si="62"/>
        <v>305</v>
      </c>
      <c r="C77" s="110">
        <f ca="1">SUMIF(Здание!B$2:B$9876,B77,Здание!C$2:C$9876)</f>
        <v>0</v>
      </c>
      <c r="D77" s="259" t="s">
        <v>55</v>
      </c>
      <c r="E77" s="260"/>
      <c r="F77" s="261"/>
      <c r="G77" s="108">
        <v>3010</v>
      </c>
      <c r="H77" s="111">
        <f t="shared" ref="H77" si="69">G77/1000*K77</f>
        <v>73.805199999999999</v>
      </c>
      <c r="I77" s="111">
        <f t="shared" ref="I77" ca="1" si="70">H77*C77</f>
        <v>0</v>
      </c>
      <c r="J77" s="115"/>
      <c r="K77" s="112">
        <f>SUMIF(Металл!E$3:E$324,D77,Металл!A$3:A$324)</f>
        <v>24.52</v>
      </c>
    </row>
    <row r="78" spans="2:11" ht="16.5" customHeight="1" x14ac:dyDescent="0.25">
      <c r="B78" s="109">
        <f t="shared" si="62"/>
        <v>306</v>
      </c>
      <c r="C78" s="110">
        <f ca="1">SUMIF(Здание!B$2:B$9876,B78,Здание!C$2:C$9876)</f>
        <v>0</v>
      </c>
      <c r="D78" s="259" t="s">
        <v>55</v>
      </c>
      <c r="E78" s="260"/>
      <c r="F78" s="261"/>
      <c r="G78" s="108">
        <v>2850</v>
      </c>
      <c r="H78" s="111">
        <f t="shared" ref="H78" si="71">G78/1000*K78</f>
        <v>69.882000000000005</v>
      </c>
      <c r="I78" s="111">
        <f t="shared" ref="I78" ca="1" si="72">H78*C78</f>
        <v>0</v>
      </c>
      <c r="J78" s="115"/>
      <c r="K78" s="112">
        <f>SUMIF(Металл!E$3:E$324,D78,Металл!A$3:A$324)</f>
        <v>24.52</v>
      </c>
    </row>
    <row r="79" spans="2:11" ht="16.5" customHeight="1" x14ac:dyDescent="0.25">
      <c r="B79" s="109">
        <f t="shared" si="62"/>
        <v>307</v>
      </c>
      <c r="C79" s="110">
        <f ca="1">SUMIF(Здание!B$2:B$9876,B79,Здание!C$2:C$9876)</f>
        <v>0</v>
      </c>
      <c r="D79" s="259" t="s">
        <v>55</v>
      </c>
      <c r="E79" s="260"/>
      <c r="F79" s="261"/>
      <c r="G79" s="108">
        <v>6640</v>
      </c>
      <c r="H79" s="111">
        <f t="shared" ref="H79" si="73">G79/1000*K79</f>
        <v>162.81279999999998</v>
      </c>
      <c r="I79" s="111">
        <f t="shared" ref="I79" ca="1" si="74">H79*C79</f>
        <v>0</v>
      </c>
      <c r="J79" s="115"/>
      <c r="K79" s="112">
        <f>SUMIF(Металл!E$3:E$324,D79,Металл!A$3:A$324)</f>
        <v>24.52</v>
      </c>
    </row>
    <row r="80" spans="2:11" ht="16.5" customHeight="1" x14ac:dyDescent="0.25">
      <c r="B80" s="109">
        <f t="shared" si="62"/>
        <v>308</v>
      </c>
      <c r="C80" s="110">
        <f ca="1">SUMIF(Здание!B$2:B$9876,B80,Здание!C$2:C$9876)</f>
        <v>0</v>
      </c>
      <c r="D80" s="259" t="s">
        <v>55</v>
      </c>
      <c r="E80" s="260"/>
      <c r="F80" s="261"/>
      <c r="G80" s="108">
        <v>6317</v>
      </c>
      <c r="H80" s="111">
        <f t="shared" ref="H80" si="75">G80/1000*K80</f>
        <v>154.89284000000001</v>
      </c>
      <c r="I80" s="111">
        <f t="shared" ref="I80:I87" ca="1" si="76">H80*C80</f>
        <v>0</v>
      </c>
      <c r="J80" s="115"/>
      <c r="K80" s="112">
        <f>SUMIF(Металл!E$3:E$324,D80,Металл!A$3:A$324)</f>
        <v>24.52</v>
      </c>
    </row>
    <row r="81" spans="2:11" ht="16.5" customHeight="1" x14ac:dyDescent="0.25">
      <c r="B81" s="109">
        <f t="shared" si="62"/>
        <v>309</v>
      </c>
      <c r="C81" s="110">
        <f ca="1">SUMIF(Здание!B$2:B$9876,B81,Здание!C$2:C$9876)</f>
        <v>0</v>
      </c>
      <c r="D81" s="113">
        <v>8</v>
      </c>
      <c r="E81" s="139" t="s">
        <v>9</v>
      </c>
      <c r="F81" s="114">
        <v>248</v>
      </c>
      <c r="G81" s="108">
        <v>308</v>
      </c>
      <c r="H81" s="111">
        <f t="shared" ref="H81:H84" si="77">7.85/1000000*(F81*G81*D81)</f>
        <v>4.7969151999999999</v>
      </c>
      <c r="I81" s="111">
        <f t="shared" ca="1" si="76"/>
        <v>0</v>
      </c>
      <c r="J81" s="115"/>
      <c r="K81" s="112">
        <f>SUMIF(Металл!E$3:E$324,D81,Металл!A$3:A$324)</f>
        <v>0</v>
      </c>
    </row>
    <row r="82" spans="2:11" ht="16.5" customHeight="1" x14ac:dyDescent="0.25">
      <c r="B82" s="109">
        <f t="shared" si="62"/>
        <v>310</v>
      </c>
      <c r="C82" s="110">
        <f ca="1">SUMIF(Здание!B$2:B$9876,B82,Здание!C$2:C$9876)</f>
        <v>0</v>
      </c>
      <c r="D82" s="113">
        <v>8</v>
      </c>
      <c r="E82" s="139" t="s">
        <v>9</v>
      </c>
      <c r="F82" s="114">
        <v>266</v>
      </c>
      <c r="G82" s="108">
        <v>311</v>
      </c>
      <c r="H82" s="111">
        <f t="shared" si="77"/>
        <v>5.1951927999999992</v>
      </c>
      <c r="I82" s="111">
        <f t="shared" ca="1" si="76"/>
        <v>0</v>
      </c>
      <c r="J82" s="115"/>
      <c r="K82" s="112">
        <f>SUMIF(Металл!E$3:E$324,D82,Металл!A$3:A$324)</f>
        <v>0</v>
      </c>
    </row>
    <row r="83" spans="2:11" ht="16.5" customHeight="1" x14ac:dyDescent="0.25">
      <c r="B83" s="109">
        <f t="shared" si="62"/>
        <v>311</v>
      </c>
      <c r="C83" s="110">
        <f ca="1">SUMIF(Здание!B$2:B$9876,B83,Здание!C$2:C$9876)</f>
        <v>0</v>
      </c>
      <c r="D83" s="113">
        <v>8</v>
      </c>
      <c r="E83" s="139" t="s">
        <v>9</v>
      </c>
      <c r="F83" s="114">
        <v>160</v>
      </c>
      <c r="G83" s="108">
        <v>260</v>
      </c>
      <c r="H83" s="111">
        <f t="shared" si="77"/>
        <v>2.6124799999999997</v>
      </c>
      <c r="I83" s="111">
        <f t="shared" ca="1" si="76"/>
        <v>0</v>
      </c>
      <c r="J83" s="115"/>
      <c r="K83" s="112">
        <f>SUMIF(Металл!E$3:E$324,D83,Металл!A$3:A$324)</f>
        <v>0</v>
      </c>
    </row>
    <row r="84" spans="2:11" ht="16.5" customHeight="1" x14ac:dyDescent="0.25">
      <c r="B84" s="109">
        <f t="shared" si="62"/>
        <v>312</v>
      </c>
      <c r="C84" s="110">
        <f ca="1">SUMIF(Здание!B$2:B$9876,B84,Здание!C$2:C$9876)</f>
        <v>0</v>
      </c>
      <c r="D84" s="113">
        <v>8</v>
      </c>
      <c r="E84" s="139" t="s">
        <v>9</v>
      </c>
      <c r="F84" s="114">
        <v>60</v>
      </c>
      <c r="G84" s="108">
        <v>160</v>
      </c>
      <c r="H84" s="111">
        <f t="shared" si="77"/>
        <v>0.60287999999999997</v>
      </c>
      <c r="I84" s="111">
        <f t="shared" ca="1" si="76"/>
        <v>0</v>
      </c>
      <c r="J84" s="115"/>
      <c r="K84" s="112">
        <f>SUMIF(Металл!E$3:E$324,D84,Металл!A$3:A$324)</f>
        <v>0</v>
      </c>
    </row>
    <row r="85" spans="2:11" ht="16.5" customHeight="1" x14ac:dyDescent="0.25">
      <c r="B85" s="109">
        <f t="shared" si="62"/>
        <v>313</v>
      </c>
      <c r="C85" s="110">
        <f ca="1">SUMIF(Здание!B$2:B$9876,B85,Здание!C$2:C$9876)</f>
        <v>0</v>
      </c>
      <c r="D85" s="259" t="s">
        <v>78</v>
      </c>
      <c r="E85" s="260"/>
      <c r="F85" s="261"/>
      <c r="G85" s="108">
        <v>5215</v>
      </c>
      <c r="H85" s="111">
        <f t="shared" ref="H85:H87" si="78">G85/1000*K85</f>
        <v>74.313749999999999</v>
      </c>
      <c r="I85" s="111">
        <f t="shared" ca="1" si="76"/>
        <v>0</v>
      </c>
      <c r="J85" s="115"/>
      <c r="K85" s="112">
        <f>SUMIF(Металл!E$3:E$324,D85,Металл!A$3:A$324)</f>
        <v>14.25</v>
      </c>
    </row>
    <row r="86" spans="2:11" ht="16.5" customHeight="1" x14ac:dyDescent="0.25">
      <c r="B86" s="109">
        <f t="shared" si="62"/>
        <v>314</v>
      </c>
      <c r="C86" s="110">
        <f ca="1">SUMIF(Здание!B$2:B$9876,B86,Здание!C$2:C$9876)</f>
        <v>0</v>
      </c>
      <c r="D86" s="259" t="s">
        <v>78</v>
      </c>
      <c r="E86" s="260"/>
      <c r="F86" s="261"/>
      <c r="G86" s="108">
        <v>5185</v>
      </c>
      <c r="H86" s="111">
        <f t="shared" si="78"/>
        <v>73.88624999999999</v>
      </c>
      <c r="I86" s="111">
        <f t="shared" ca="1" si="76"/>
        <v>0</v>
      </c>
      <c r="J86" s="115"/>
      <c r="K86" s="112">
        <f>SUMIF(Металл!E$3:E$324,D86,Металл!A$3:A$324)</f>
        <v>14.25</v>
      </c>
    </row>
    <row r="87" spans="2:11" ht="16.5" customHeight="1" x14ac:dyDescent="0.25">
      <c r="B87" s="109">
        <f t="shared" si="62"/>
        <v>315</v>
      </c>
      <c r="C87" s="110">
        <f ca="1">SUMIF(Здание!B$2:B$9876,B87,Здание!C$2:C$9876)</f>
        <v>0</v>
      </c>
      <c r="D87" s="259" t="s">
        <v>78</v>
      </c>
      <c r="E87" s="260"/>
      <c r="F87" s="261"/>
      <c r="G87" s="108">
        <v>3520</v>
      </c>
      <c r="H87" s="111">
        <f t="shared" si="78"/>
        <v>50.160000000000004</v>
      </c>
      <c r="I87" s="111">
        <f t="shared" ca="1" si="76"/>
        <v>0</v>
      </c>
      <c r="J87" s="115"/>
      <c r="K87" s="112">
        <f>SUMIF(Металл!E$3:E$324,D87,Металл!A$3:A$324)</f>
        <v>14.25</v>
      </c>
    </row>
    <row r="99" spans="2:11" ht="16.5" customHeight="1" x14ac:dyDescent="0.25">
      <c r="B99" s="109">
        <v>801</v>
      </c>
      <c r="C99" s="110">
        <f ca="1">SUMIF(Здание!B$2:B$9876,B99,Здание!C$2:C$9876)</f>
        <v>0</v>
      </c>
      <c r="D99" s="259" t="s">
        <v>43</v>
      </c>
      <c r="E99" s="260"/>
      <c r="F99" s="261"/>
      <c r="G99" s="108">
        <v>8714</v>
      </c>
      <c r="H99" s="111">
        <f t="shared" ref="H99:H100" si="79">G99/1000*K99</f>
        <v>60.039459999999998</v>
      </c>
      <c r="I99" s="111">
        <f t="shared" ref="I99:I100" ca="1" si="80">H99*C99</f>
        <v>0</v>
      </c>
      <c r="J99" s="115"/>
      <c r="K99" s="112">
        <f>SUMIF(Металл!E$3:E$324,D99,Металл!A$3:A$324)</f>
        <v>6.89</v>
      </c>
    </row>
    <row r="100" spans="2:11" ht="16.5" customHeight="1" x14ac:dyDescent="0.25">
      <c r="B100" s="109">
        <f t="shared" ref="B100:B109" si="81">B99+1</f>
        <v>802</v>
      </c>
      <c r="C100" s="110">
        <f ca="1">SUMIF(Здание!B$2:B$9876,B100,Здание!C$2:C$9876)</f>
        <v>0</v>
      </c>
      <c r="D100" s="259" t="s">
        <v>43</v>
      </c>
      <c r="E100" s="260"/>
      <c r="F100" s="261"/>
      <c r="G100" s="108">
        <v>8714</v>
      </c>
      <c r="H100" s="111">
        <f t="shared" si="79"/>
        <v>60.039459999999998</v>
      </c>
      <c r="I100" s="111">
        <f t="shared" ca="1" si="80"/>
        <v>0</v>
      </c>
      <c r="J100" s="115"/>
      <c r="K100" s="112">
        <f>SUMIF(Металл!E$3:E$324,D100,Металл!A$3:A$324)</f>
        <v>6.89</v>
      </c>
    </row>
    <row r="101" spans="2:11" ht="16.5" customHeight="1" x14ac:dyDescent="0.25">
      <c r="B101" s="109">
        <f t="shared" si="81"/>
        <v>803</v>
      </c>
      <c r="C101" s="110">
        <f ca="1">SUMIF(Здание!B$2:B$9876,B101,Здание!C$2:C$9876)</f>
        <v>0</v>
      </c>
      <c r="D101" s="259" t="s">
        <v>43</v>
      </c>
      <c r="E101" s="260"/>
      <c r="F101" s="261"/>
      <c r="G101" s="108">
        <v>305</v>
      </c>
      <c r="H101" s="111">
        <f t="shared" ref="H101:H102" si="82">G101/1000*K101</f>
        <v>2.1014499999999998</v>
      </c>
      <c r="I101" s="111">
        <f t="shared" ref="I101:I102" ca="1" si="83">H101*C101</f>
        <v>0</v>
      </c>
      <c r="J101" s="115"/>
      <c r="K101" s="112">
        <f>SUMIF(Металл!E$3:E$324,D101,Металл!A$3:A$324)</f>
        <v>6.89</v>
      </c>
    </row>
    <row r="102" spans="2:11" ht="16.5" customHeight="1" x14ac:dyDescent="0.25">
      <c r="B102" s="109">
        <f t="shared" si="81"/>
        <v>804</v>
      </c>
      <c r="C102" s="110">
        <f ca="1">SUMIF(Здание!B$2:B$9876,B102,Здание!C$2:C$9876)</f>
        <v>0</v>
      </c>
      <c r="D102" s="259" t="s">
        <v>43</v>
      </c>
      <c r="E102" s="260"/>
      <c r="F102" s="261"/>
      <c r="G102" s="108">
        <v>305</v>
      </c>
      <c r="H102" s="111">
        <f t="shared" si="82"/>
        <v>2.1014499999999998</v>
      </c>
      <c r="I102" s="111">
        <f t="shared" ca="1" si="83"/>
        <v>0</v>
      </c>
      <c r="J102" s="115"/>
      <c r="K102" s="112">
        <f>SUMIF(Металл!E$3:E$324,D102,Металл!A$3:A$324)</f>
        <v>6.89</v>
      </c>
    </row>
    <row r="103" spans="2:11" ht="16.5" customHeight="1" x14ac:dyDescent="0.25">
      <c r="B103" s="109">
        <f t="shared" si="81"/>
        <v>805</v>
      </c>
      <c r="C103" s="110">
        <f ca="1">SUMIF(Здание!B$2:B$9876,B103,Здание!C$2:C$9876)</f>
        <v>0</v>
      </c>
      <c r="D103" s="259" t="s">
        <v>43</v>
      </c>
      <c r="E103" s="260"/>
      <c r="F103" s="261"/>
      <c r="G103" s="108">
        <v>995</v>
      </c>
      <c r="H103" s="111">
        <f t="shared" ref="H103:H109" si="84">G103/1000*K103</f>
        <v>6.85555</v>
      </c>
      <c r="I103" s="111">
        <f t="shared" ref="I103:I112" ca="1" si="85">H103*C103</f>
        <v>0</v>
      </c>
      <c r="J103" s="115"/>
      <c r="K103" s="112">
        <f>SUMIF(Металл!E$3:E$324,D103,Металл!A$3:A$324)</f>
        <v>6.89</v>
      </c>
    </row>
    <row r="104" spans="2:11" ht="16.5" customHeight="1" x14ac:dyDescent="0.25">
      <c r="B104" s="109">
        <f t="shared" si="81"/>
        <v>806</v>
      </c>
      <c r="C104" s="110">
        <f ca="1">SUMIF(Здание!B$2:B$9876,B104,Здание!C$2:C$9876)</f>
        <v>0</v>
      </c>
      <c r="D104" s="259" t="s">
        <v>43</v>
      </c>
      <c r="E104" s="260"/>
      <c r="F104" s="261"/>
      <c r="G104" s="108">
        <v>1615</v>
      </c>
      <c r="H104" s="111">
        <f t="shared" si="84"/>
        <v>11.12735</v>
      </c>
      <c r="I104" s="111">
        <f t="shared" ca="1" si="85"/>
        <v>0</v>
      </c>
      <c r="J104" s="115"/>
      <c r="K104" s="112">
        <f>SUMIF(Металл!E$3:E$324,D104,Металл!A$3:A$324)</f>
        <v>6.89</v>
      </c>
    </row>
    <row r="105" spans="2:11" ht="16.5" customHeight="1" x14ac:dyDescent="0.25">
      <c r="B105" s="109">
        <f t="shared" si="81"/>
        <v>807</v>
      </c>
      <c r="C105" s="110">
        <f ca="1">SUMIF(Здание!B$2:B$9876,B105,Здание!C$2:C$9876)</f>
        <v>0</v>
      </c>
      <c r="D105" s="259" t="s">
        <v>338</v>
      </c>
      <c r="E105" s="260"/>
      <c r="F105" s="261"/>
      <c r="G105" s="108">
        <v>760</v>
      </c>
      <c r="H105" s="111">
        <f t="shared" si="84"/>
        <v>1.5184800000000001</v>
      </c>
      <c r="I105" s="111">
        <f t="shared" ca="1" si="85"/>
        <v>0</v>
      </c>
      <c r="J105" s="115"/>
      <c r="K105" s="112">
        <f>SUMIF(Металл!E$3:E$324,D105,Металл!A$3:A$324)</f>
        <v>1.998</v>
      </c>
    </row>
    <row r="106" spans="2:11" ht="16.5" customHeight="1" x14ac:dyDescent="0.25">
      <c r="B106" s="109">
        <f t="shared" si="81"/>
        <v>808</v>
      </c>
      <c r="C106" s="110">
        <f ca="1">SUMIF(Здание!B$2:B$9876,B106,Здание!C$2:C$9876)</f>
        <v>0</v>
      </c>
      <c r="D106" s="259" t="s">
        <v>338</v>
      </c>
      <c r="E106" s="260"/>
      <c r="F106" s="261"/>
      <c r="G106" s="108">
        <v>970</v>
      </c>
      <c r="H106" s="111">
        <f t="shared" si="84"/>
        <v>1.9380599999999999</v>
      </c>
      <c r="I106" s="111">
        <f t="shared" ca="1" si="85"/>
        <v>0</v>
      </c>
      <c r="J106" s="115"/>
      <c r="K106" s="112">
        <f>SUMIF(Металл!E$3:E$324,D106,Металл!A$3:A$324)</f>
        <v>1.998</v>
      </c>
    </row>
    <row r="107" spans="2:11" ht="16.5" customHeight="1" x14ac:dyDescent="0.25">
      <c r="B107" s="109">
        <f t="shared" si="81"/>
        <v>809</v>
      </c>
      <c r="C107" s="110">
        <f ca="1">SUMIF(Здание!B$2:B$9876,B107,Здание!C$2:C$9876)</f>
        <v>0</v>
      </c>
      <c r="D107" s="259" t="s">
        <v>338</v>
      </c>
      <c r="E107" s="260"/>
      <c r="F107" s="261"/>
      <c r="G107" s="108">
        <v>257</v>
      </c>
      <c r="H107" s="111">
        <f t="shared" si="84"/>
        <v>0.513486</v>
      </c>
      <c r="I107" s="111">
        <f t="shared" ca="1" si="85"/>
        <v>0</v>
      </c>
      <c r="J107" s="115"/>
      <c r="K107" s="112">
        <f>SUMIF(Металл!E$3:E$324,D107,Металл!A$3:A$324)</f>
        <v>1.998</v>
      </c>
    </row>
    <row r="108" spans="2:11" ht="16.5" customHeight="1" x14ac:dyDescent="0.25">
      <c r="B108" s="109">
        <f t="shared" si="81"/>
        <v>810</v>
      </c>
      <c r="C108" s="110">
        <f ca="1">SUMIF(Здание!B$2:B$9876,B108,Здание!C$2:C$9876)</f>
        <v>0</v>
      </c>
      <c r="D108" s="259" t="s">
        <v>338</v>
      </c>
      <c r="E108" s="260"/>
      <c r="F108" s="261"/>
      <c r="G108" s="108">
        <v>400</v>
      </c>
      <c r="H108" s="111">
        <f t="shared" si="84"/>
        <v>0.79920000000000002</v>
      </c>
      <c r="I108" s="111">
        <f t="shared" ca="1" si="85"/>
        <v>0</v>
      </c>
      <c r="J108" s="115"/>
      <c r="K108" s="112">
        <f>SUMIF(Металл!E$3:E$324,D108,Металл!A$3:A$324)</f>
        <v>1.998</v>
      </c>
    </row>
    <row r="109" spans="2:11" ht="16.5" customHeight="1" x14ac:dyDescent="0.25">
      <c r="B109" s="109">
        <f t="shared" si="81"/>
        <v>811</v>
      </c>
      <c r="C109" s="110">
        <f ca="1">SUMIF(Здание!B$2:B$9876,B109,Здание!C$2:C$9876)</f>
        <v>0</v>
      </c>
      <c r="D109" s="259" t="s">
        <v>338</v>
      </c>
      <c r="E109" s="260"/>
      <c r="F109" s="261"/>
      <c r="G109" s="108">
        <f>1500+1040+270</f>
        <v>2810</v>
      </c>
      <c r="H109" s="111">
        <f t="shared" si="84"/>
        <v>5.6143799999999997</v>
      </c>
      <c r="I109" s="111">
        <f t="shared" ca="1" si="85"/>
        <v>0</v>
      </c>
      <c r="J109" s="115"/>
      <c r="K109" s="112">
        <f>SUMIF(Металл!E$3:E$324,D109,Металл!A$3:A$324)</f>
        <v>1.998</v>
      </c>
    </row>
    <row r="110" spans="2:11" ht="16.5" customHeight="1" x14ac:dyDescent="0.25">
      <c r="B110" s="109">
        <f t="shared" ref="B110:B112" si="86">B109+1</f>
        <v>812</v>
      </c>
      <c r="C110" s="110">
        <f ca="1">SUMIF(Здание!B$2:B$9876,B110,Здание!C$2:C$9876)</f>
        <v>0</v>
      </c>
      <c r="D110" s="113">
        <v>4</v>
      </c>
      <c r="E110" s="139" t="s">
        <v>9</v>
      </c>
      <c r="F110" s="114">
        <v>40</v>
      </c>
      <c r="G110" s="108">
        <f>1275+440+450</f>
        <v>2165</v>
      </c>
      <c r="H110" s="111">
        <f>7.85/1000000*(F110*G110*D110)</f>
        <v>2.7192399999999997</v>
      </c>
      <c r="I110" s="111">
        <f t="shared" ca="1" si="85"/>
        <v>0</v>
      </c>
      <c r="J110" s="115"/>
      <c r="K110" s="112">
        <f>SUMIF(Металл!E$3:E$324,D110,Металл!A$3:A$324)</f>
        <v>0</v>
      </c>
    </row>
    <row r="111" spans="2:11" ht="16.5" customHeight="1" x14ac:dyDescent="0.25">
      <c r="B111" s="109">
        <f t="shared" si="86"/>
        <v>813</v>
      </c>
      <c r="C111" s="110">
        <f ca="1">SUMIF(Здание!B$2:B$9876,B111,Здание!C$2:C$9876)</f>
        <v>0</v>
      </c>
      <c r="D111" s="113">
        <v>4</v>
      </c>
      <c r="E111" s="139" t="s">
        <v>9</v>
      </c>
      <c r="F111" s="114">
        <v>40</v>
      </c>
      <c r="G111" s="108">
        <v>780</v>
      </c>
      <c r="H111" s="111">
        <f>7.85/1000000*(F111*G111*D111)</f>
        <v>0.97967999999999988</v>
      </c>
      <c r="I111" s="111">
        <f t="shared" ca="1" si="85"/>
        <v>0</v>
      </c>
      <c r="J111" s="115"/>
      <c r="K111" s="112">
        <f>SUMIF(Металл!E$3:E$324,D111,Металл!A$3:A$324)</f>
        <v>0</v>
      </c>
    </row>
    <row r="112" spans="2:11" ht="16.5" customHeight="1" x14ac:dyDescent="0.25">
      <c r="B112" s="109">
        <f t="shared" si="86"/>
        <v>814</v>
      </c>
      <c r="C112" s="110">
        <f ca="1">SUMIF(Здание!B$2:B$9876,B112,Здание!C$2:C$9876)</f>
        <v>0</v>
      </c>
      <c r="D112" s="113">
        <v>4</v>
      </c>
      <c r="E112" s="139" t="s">
        <v>9</v>
      </c>
      <c r="F112" s="114">
        <v>40</v>
      </c>
      <c r="G112" s="108">
        <v>7540</v>
      </c>
      <c r="H112" s="111">
        <f>7.85/1000000*(F112*G112*D112)</f>
        <v>9.4702399999999987</v>
      </c>
      <c r="I112" s="111">
        <f t="shared" ca="1" si="85"/>
        <v>0</v>
      </c>
      <c r="J112" s="115"/>
      <c r="K112" s="112">
        <f>SUMIF(Металл!E$3:E$324,D112,Металл!A$3:A$324)</f>
        <v>0</v>
      </c>
    </row>
    <row r="131" spans="2:11" ht="16.5" x14ac:dyDescent="0.25">
      <c r="B131" s="109">
        <v>1001</v>
      </c>
      <c r="C131" s="110">
        <f>SUMIF(Здание!B$2:B$9876,B131,Здание!C$2:C$9876)</f>
        <v>0</v>
      </c>
      <c r="D131" s="259" t="s">
        <v>43</v>
      </c>
      <c r="E131" s="260"/>
      <c r="F131" s="261"/>
      <c r="G131" s="108"/>
      <c r="H131" s="111">
        <f t="shared" ref="H131:H141" si="87">G131/1000*K131</f>
        <v>0</v>
      </c>
      <c r="I131" s="111">
        <f t="shared" ref="I131:I142" si="88">H131*C131</f>
        <v>0</v>
      </c>
      <c r="J131" s="115"/>
      <c r="K131" s="112">
        <f>SUMIF(Металл!E$3:E$324,D131,Металл!A$3:A$324)</f>
        <v>6.89</v>
      </c>
    </row>
    <row r="132" spans="2:11" ht="16.5" x14ac:dyDescent="0.25">
      <c r="B132" s="109">
        <f t="shared" ref="B132:B142" si="89">B131+1</f>
        <v>1002</v>
      </c>
      <c r="C132" s="110">
        <f>SUMIF(Здание!B$2:B$9876,B132,Здание!C$2:C$9876)</f>
        <v>0</v>
      </c>
      <c r="D132" s="259" t="s">
        <v>43</v>
      </c>
      <c r="E132" s="260"/>
      <c r="F132" s="261"/>
      <c r="G132" s="108"/>
      <c r="H132" s="111">
        <f t="shared" si="87"/>
        <v>0</v>
      </c>
      <c r="I132" s="111">
        <f t="shared" si="88"/>
        <v>0</v>
      </c>
      <c r="J132" s="115"/>
      <c r="K132" s="112">
        <f>SUMIF(Металл!E$3:E$324,D132,Металл!A$3:A$324)</f>
        <v>6.89</v>
      </c>
    </row>
    <row r="133" spans="2:11" ht="16.5" x14ac:dyDescent="0.25">
      <c r="B133" s="109">
        <f t="shared" si="89"/>
        <v>1003</v>
      </c>
      <c r="C133" s="110">
        <f>SUMIF(Здание!B$2:B$9876,B133,Здание!C$2:C$9876)</f>
        <v>0</v>
      </c>
      <c r="D133" s="259" t="s">
        <v>43</v>
      </c>
      <c r="E133" s="260"/>
      <c r="F133" s="261"/>
      <c r="G133" s="108"/>
      <c r="H133" s="111">
        <f t="shared" si="87"/>
        <v>0</v>
      </c>
      <c r="I133" s="111">
        <f t="shared" si="88"/>
        <v>0</v>
      </c>
      <c r="J133" s="115"/>
      <c r="K133" s="112">
        <f>SUMIF(Металл!E$3:E$324,D133,Металл!A$3:A$324)</f>
        <v>6.89</v>
      </c>
    </row>
    <row r="134" spans="2:11" ht="16.5" x14ac:dyDescent="0.25">
      <c r="B134" s="109">
        <f t="shared" si="89"/>
        <v>1004</v>
      </c>
      <c r="C134" s="110">
        <f>SUMIF(Здание!B$2:B$9876,B134,Здание!C$2:C$9876)</f>
        <v>0</v>
      </c>
      <c r="D134" s="259" t="s">
        <v>43</v>
      </c>
      <c r="E134" s="260"/>
      <c r="F134" s="261"/>
      <c r="G134" s="108"/>
      <c r="H134" s="111">
        <f t="shared" si="87"/>
        <v>0</v>
      </c>
      <c r="I134" s="111">
        <f t="shared" si="88"/>
        <v>0</v>
      </c>
      <c r="J134" s="115"/>
      <c r="K134" s="112">
        <f>SUMIF(Металл!E$3:E$324,D134,Металл!A$3:A$324)</f>
        <v>6.89</v>
      </c>
    </row>
    <row r="135" spans="2:11" ht="16.5" x14ac:dyDescent="0.25">
      <c r="B135" s="109">
        <f t="shared" si="89"/>
        <v>1005</v>
      </c>
      <c r="C135" s="110">
        <f>SUMIF(Здание!B$2:B$9876,B135,Здание!C$2:C$9876)</f>
        <v>0</v>
      </c>
      <c r="D135" s="259" t="s">
        <v>35</v>
      </c>
      <c r="E135" s="260"/>
      <c r="F135" s="261"/>
      <c r="G135" s="108"/>
      <c r="H135" s="111">
        <f t="shared" si="87"/>
        <v>0</v>
      </c>
      <c r="I135" s="111">
        <f t="shared" si="88"/>
        <v>0</v>
      </c>
      <c r="J135" s="115"/>
      <c r="K135" s="112">
        <f>SUMIF(Металл!E$3:E$324,D135,Металл!A$3:A$324)</f>
        <v>3.77</v>
      </c>
    </row>
    <row r="136" spans="2:11" ht="16.5" x14ac:dyDescent="0.25">
      <c r="B136" s="109">
        <f t="shared" si="89"/>
        <v>1006</v>
      </c>
      <c r="C136" s="110">
        <f>SUMIF(Здание!B$2:B$9876,B136,Здание!C$2:C$9876)</f>
        <v>0</v>
      </c>
      <c r="D136" s="259" t="s">
        <v>35</v>
      </c>
      <c r="E136" s="260"/>
      <c r="F136" s="261"/>
      <c r="G136" s="108"/>
      <c r="H136" s="111">
        <f t="shared" si="87"/>
        <v>0</v>
      </c>
      <c r="I136" s="111">
        <f t="shared" si="88"/>
        <v>0</v>
      </c>
      <c r="J136" s="115"/>
      <c r="K136" s="112">
        <f>SUMIF(Металл!E$3:E$324,D136,Металл!A$3:A$324)</f>
        <v>3.77</v>
      </c>
    </row>
    <row r="137" spans="2:11" ht="16.5" x14ac:dyDescent="0.25">
      <c r="B137" s="109">
        <f t="shared" si="89"/>
        <v>1007</v>
      </c>
      <c r="C137" s="110">
        <f>SUMIF(Здание!B$2:B$9876,B137,Здание!C$2:C$9876)</f>
        <v>0</v>
      </c>
      <c r="D137" s="259" t="s">
        <v>35</v>
      </c>
      <c r="E137" s="260"/>
      <c r="F137" s="261"/>
      <c r="G137" s="108"/>
      <c r="H137" s="111">
        <f t="shared" si="87"/>
        <v>0</v>
      </c>
      <c r="I137" s="111">
        <f t="shared" si="88"/>
        <v>0</v>
      </c>
      <c r="J137" s="115"/>
      <c r="K137" s="112">
        <f>SUMIF(Металл!E$3:E$324,D137,Металл!A$3:A$324)</f>
        <v>3.77</v>
      </c>
    </row>
    <row r="138" spans="2:11" ht="16.5" x14ac:dyDescent="0.25">
      <c r="B138" s="109">
        <f t="shared" si="89"/>
        <v>1008</v>
      </c>
      <c r="C138" s="110">
        <f>SUMIF(Здание!B$2:B$9876,B138,Здание!C$2:C$9876)</f>
        <v>0</v>
      </c>
      <c r="D138" s="259" t="s">
        <v>35</v>
      </c>
      <c r="E138" s="260"/>
      <c r="F138" s="261"/>
      <c r="G138" s="108"/>
      <c r="H138" s="111">
        <f t="shared" si="87"/>
        <v>0</v>
      </c>
      <c r="I138" s="111">
        <f t="shared" si="88"/>
        <v>0</v>
      </c>
      <c r="J138" s="115"/>
      <c r="K138" s="112">
        <f>SUMIF(Металл!E$3:E$324,D138,Металл!A$3:A$324)</f>
        <v>3.77</v>
      </c>
    </row>
    <row r="139" spans="2:11" ht="16.5" x14ac:dyDescent="0.25">
      <c r="B139" s="109">
        <f t="shared" si="89"/>
        <v>1009</v>
      </c>
      <c r="C139" s="110">
        <f>SUMIF(Здание!B$2:B$9876,B139,Здание!C$2:C$9876)</f>
        <v>0</v>
      </c>
      <c r="D139" s="259" t="s">
        <v>35</v>
      </c>
      <c r="E139" s="260"/>
      <c r="F139" s="261"/>
      <c r="G139" s="108"/>
      <c r="H139" s="111">
        <f t="shared" si="87"/>
        <v>0</v>
      </c>
      <c r="I139" s="111">
        <f t="shared" si="88"/>
        <v>0</v>
      </c>
      <c r="J139" s="115"/>
      <c r="K139" s="112">
        <f>SUMIF(Металл!E$3:E$324,D139,Металл!A$3:A$324)</f>
        <v>3.77</v>
      </c>
    </row>
    <row r="140" spans="2:11" ht="16.5" x14ac:dyDescent="0.25">
      <c r="B140" s="109">
        <f t="shared" si="89"/>
        <v>1010</v>
      </c>
      <c r="C140" s="110">
        <f>SUMIF(Здание!B$2:B$9876,B140,Здание!C$2:C$9876)</f>
        <v>0</v>
      </c>
      <c r="D140" s="259" t="s">
        <v>35</v>
      </c>
      <c r="E140" s="260"/>
      <c r="F140" s="261"/>
      <c r="G140" s="108"/>
      <c r="H140" s="111">
        <f t="shared" si="87"/>
        <v>0</v>
      </c>
      <c r="I140" s="111">
        <f t="shared" si="88"/>
        <v>0</v>
      </c>
      <c r="J140" s="115"/>
      <c r="K140" s="112">
        <f>SUMIF(Металл!E$3:E$324,D140,Металл!A$3:A$324)</f>
        <v>3.77</v>
      </c>
    </row>
    <row r="141" spans="2:11" ht="16.5" x14ac:dyDescent="0.25">
      <c r="B141" s="109">
        <f t="shared" si="89"/>
        <v>1011</v>
      </c>
      <c r="C141" s="110">
        <f>SUMIF(Здание!B$2:B$9876,B141,Здание!C$2:C$9876)</f>
        <v>0</v>
      </c>
      <c r="D141" s="259" t="s">
        <v>35</v>
      </c>
      <c r="E141" s="260"/>
      <c r="F141" s="261"/>
      <c r="G141" s="108"/>
      <c r="H141" s="111">
        <f t="shared" si="87"/>
        <v>0</v>
      </c>
      <c r="I141" s="111">
        <f t="shared" si="88"/>
        <v>0</v>
      </c>
      <c r="J141" s="115"/>
      <c r="K141" s="112">
        <f>SUMIF(Металл!E$3:E$324,D141,Металл!A$3:A$324)</f>
        <v>3.77</v>
      </c>
    </row>
    <row r="142" spans="2:11" ht="16.5" customHeight="1" x14ac:dyDescent="0.25">
      <c r="B142" s="109">
        <f t="shared" si="89"/>
        <v>1012</v>
      </c>
      <c r="C142" s="110">
        <f>SUMIF(Здание!B$2:B$9876,B142,Здание!C$2:C$9876)</f>
        <v>0</v>
      </c>
      <c r="D142" s="113" t="s">
        <v>145</v>
      </c>
      <c r="E142" s="139" t="s">
        <v>9</v>
      </c>
      <c r="F142" s="114">
        <v>2270</v>
      </c>
      <c r="G142" s="108"/>
      <c r="H142" s="111">
        <f>1/1000000*(F142*G142*K142)</f>
        <v>0</v>
      </c>
      <c r="I142" s="111">
        <f t="shared" si="88"/>
        <v>0</v>
      </c>
      <c r="J142" s="115"/>
      <c r="K142" s="112">
        <f>SUMIF(Металл!E$3:E$324,D142,Металл!A$3:A$324)</f>
        <v>19.3</v>
      </c>
    </row>
  </sheetData>
  <autoFilter ref="B5:K142"/>
  <mergeCells count="63">
    <mergeCell ref="D26:F26"/>
    <mergeCell ref="B2:K2"/>
    <mergeCell ref="B3:B4"/>
    <mergeCell ref="C3:C4"/>
    <mergeCell ref="D3:F4"/>
    <mergeCell ref="G3:G4"/>
    <mergeCell ref="H3:I3"/>
    <mergeCell ref="J3:J4"/>
    <mergeCell ref="K3:K4"/>
    <mergeCell ref="D135:F135"/>
    <mergeCell ref="D101:F101"/>
    <mergeCell ref="D102:F102"/>
    <mergeCell ref="D134:F134"/>
    <mergeCell ref="D133:F133"/>
    <mergeCell ref="D132:F132"/>
    <mergeCell ref="D108:F108"/>
    <mergeCell ref="D131:F131"/>
    <mergeCell ref="D107:F107"/>
    <mergeCell ref="D109:F109"/>
    <mergeCell ref="D106:F106"/>
    <mergeCell ref="D141:F141"/>
    <mergeCell ref="D136:F136"/>
    <mergeCell ref="D137:F137"/>
    <mergeCell ref="D138:F138"/>
    <mergeCell ref="D139:F139"/>
    <mergeCell ref="D140:F140"/>
    <mergeCell ref="D99:F99"/>
    <mergeCell ref="D100:F100"/>
    <mergeCell ref="D103:F103"/>
    <mergeCell ref="D104:F104"/>
    <mergeCell ref="D105:F105"/>
    <mergeCell ref="D87:F87"/>
    <mergeCell ref="D79:F79"/>
    <mergeCell ref="D80:F80"/>
    <mergeCell ref="D47:F47"/>
    <mergeCell ref="D48:F48"/>
    <mergeCell ref="D78:F78"/>
    <mergeCell ref="D85:F85"/>
    <mergeCell ref="D49:F49"/>
    <mergeCell ref="D50:F50"/>
    <mergeCell ref="D51:F51"/>
    <mergeCell ref="D52:F52"/>
    <mergeCell ref="D57:F57"/>
    <mergeCell ref="D59:F59"/>
    <mergeCell ref="D77:F77"/>
    <mergeCell ref="D53:F53"/>
    <mergeCell ref="D54:F54"/>
    <mergeCell ref="D45:F45"/>
    <mergeCell ref="D46:F46"/>
    <mergeCell ref="D56:F56"/>
    <mergeCell ref="D6:F6"/>
    <mergeCell ref="D86:F86"/>
    <mergeCell ref="D55:F55"/>
    <mergeCell ref="D17:F17"/>
    <mergeCell ref="D21:F21"/>
    <mergeCell ref="D22:F22"/>
    <mergeCell ref="D12:F12"/>
    <mergeCell ref="D14:F14"/>
    <mergeCell ref="D15:F15"/>
    <mergeCell ref="D20:F20"/>
    <mergeCell ref="D23:F23"/>
    <mergeCell ref="D24:F24"/>
    <mergeCell ref="D25:F25"/>
  </mergeCells>
  <phoneticPr fontId="28" type="noConversion"/>
  <conditionalFormatting sqref="C7">
    <cfRule type="cellIs" dxfId="326" priority="992" operator="equal">
      <formula>0</formula>
    </cfRule>
  </conditionalFormatting>
  <conditionalFormatting sqref="C8">
    <cfRule type="cellIs" dxfId="325" priority="932" operator="equal">
      <formula>0</formula>
    </cfRule>
  </conditionalFormatting>
  <conditionalFormatting sqref="K8">
    <cfRule type="cellIs" dxfId="324" priority="931" operator="greaterThan">
      <formula>0</formula>
    </cfRule>
  </conditionalFormatting>
  <conditionalFormatting sqref="I8">
    <cfRule type="cellIs" dxfId="323" priority="930" operator="equal">
      <formula>0</formula>
    </cfRule>
  </conditionalFormatting>
  <conditionalFormatting sqref="C131:C132">
    <cfRule type="cellIs" dxfId="322" priority="824" operator="equal">
      <formula>0</formula>
    </cfRule>
  </conditionalFormatting>
  <conditionalFormatting sqref="K131:K132">
    <cfRule type="cellIs" dxfId="321" priority="823" operator="greaterThan">
      <formula>0</formula>
    </cfRule>
  </conditionalFormatting>
  <conditionalFormatting sqref="I131:I132">
    <cfRule type="cellIs" dxfId="320" priority="822" operator="equal">
      <formula>0</formula>
    </cfRule>
  </conditionalFormatting>
  <conditionalFormatting sqref="C133:C134">
    <cfRule type="cellIs" dxfId="319" priority="821" operator="equal">
      <formula>0</formula>
    </cfRule>
  </conditionalFormatting>
  <conditionalFormatting sqref="K133:K134">
    <cfRule type="cellIs" dxfId="318" priority="820" operator="greaterThan">
      <formula>0</formula>
    </cfRule>
  </conditionalFormatting>
  <conditionalFormatting sqref="I133:I134">
    <cfRule type="cellIs" dxfId="317" priority="819" operator="equal">
      <formula>0</formula>
    </cfRule>
  </conditionalFormatting>
  <conditionalFormatting sqref="C136:C139">
    <cfRule type="cellIs" dxfId="316" priority="815" operator="equal">
      <formula>0</formula>
    </cfRule>
  </conditionalFormatting>
  <conditionalFormatting sqref="K136:K139">
    <cfRule type="cellIs" dxfId="315" priority="814" operator="greaterThan">
      <formula>0</formula>
    </cfRule>
  </conditionalFormatting>
  <conditionalFormatting sqref="I136:I139">
    <cfRule type="cellIs" dxfId="314" priority="813" operator="equal">
      <formula>0</formula>
    </cfRule>
  </conditionalFormatting>
  <conditionalFormatting sqref="C135">
    <cfRule type="cellIs" dxfId="313" priority="818" operator="equal">
      <formula>0</formula>
    </cfRule>
  </conditionalFormatting>
  <conditionalFormatting sqref="K135">
    <cfRule type="cellIs" dxfId="312" priority="817" operator="greaterThan">
      <formula>0</formula>
    </cfRule>
  </conditionalFormatting>
  <conditionalFormatting sqref="I135">
    <cfRule type="cellIs" dxfId="311" priority="816" operator="equal">
      <formula>0</formula>
    </cfRule>
  </conditionalFormatting>
  <conditionalFormatting sqref="C142">
    <cfRule type="cellIs" dxfId="310" priority="812" operator="equal">
      <formula>0</formula>
    </cfRule>
  </conditionalFormatting>
  <conditionalFormatting sqref="K142">
    <cfRule type="cellIs" dxfId="309" priority="811" operator="greaterThan">
      <formula>0</formula>
    </cfRule>
  </conditionalFormatting>
  <conditionalFormatting sqref="I142">
    <cfRule type="cellIs" dxfId="308" priority="810" operator="equal">
      <formula>0</formula>
    </cfRule>
  </conditionalFormatting>
  <conditionalFormatting sqref="C140:C141">
    <cfRule type="cellIs" dxfId="307" priority="809" operator="equal">
      <formula>0</formula>
    </cfRule>
  </conditionalFormatting>
  <conditionalFormatting sqref="K140:K141">
    <cfRule type="cellIs" dxfId="306" priority="808" operator="greaterThan">
      <formula>0</formula>
    </cfRule>
  </conditionalFormatting>
  <conditionalFormatting sqref="I140:I141">
    <cfRule type="cellIs" dxfId="305" priority="807" operator="equal">
      <formula>0</formula>
    </cfRule>
  </conditionalFormatting>
  <conditionalFormatting sqref="C6">
    <cfRule type="cellIs" dxfId="304" priority="735" operator="equal">
      <formula>0</formula>
    </cfRule>
  </conditionalFormatting>
  <conditionalFormatting sqref="C99">
    <cfRule type="cellIs" dxfId="303" priority="632" operator="equal">
      <formula>0</formula>
    </cfRule>
  </conditionalFormatting>
  <conditionalFormatting sqref="K99">
    <cfRule type="cellIs" dxfId="302" priority="631" operator="greaterThan">
      <formula>0</formula>
    </cfRule>
  </conditionalFormatting>
  <conditionalFormatting sqref="C100">
    <cfRule type="cellIs" dxfId="301" priority="629" operator="equal">
      <formula>0</formula>
    </cfRule>
  </conditionalFormatting>
  <conditionalFormatting sqref="K100">
    <cfRule type="cellIs" dxfId="300" priority="628" operator="greaterThan">
      <formula>0</formula>
    </cfRule>
  </conditionalFormatting>
  <conditionalFormatting sqref="C110">
    <cfRule type="cellIs" dxfId="299" priority="624" operator="equal">
      <formula>0</formula>
    </cfRule>
  </conditionalFormatting>
  <conditionalFormatting sqref="K110">
    <cfRule type="cellIs" dxfId="298" priority="623" operator="greaterThan">
      <formula>0</formula>
    </cfRule>
  </conditionalFormatting>
  <conditionalFormatting sqref="C35">
    <cfRule type="cellIs" dxfId="297" priority="496" operator="equal">
      <formula>0</formula>
    </cfRule>
  </conditionalFormatting>
  <conditionalFormatting sqref="K35">
    <cfRule type="cellIs" dxfId="296" priority="495" operator="greaterThan">
      <formula>0</formula>
    </cfRule>
  </conditionalFormatting>
  <conditionalFormatting sqref="I35">
    <cfRule type="cellIs" dxfId="295" priority="494" operator="equal">
      <formula>0</formula>
    </cfRule>
  </conditionalFormatting>
  <conditionalFormatting sqref="C36">
    <cfRule type="cellIs" dxfId="294" priority="493" operator="equal">
      <formula>0</formula>
    </cfRule>
  </conditionalFormatting>
  <conditionalFormatting sqref="K36">
    <cfRule type="cellIs" dxfId="293" priority="492" operator="greaterThan">
      <formula>0</formula>
    </cfRule>
  </conditionalFormatting>
  <conditionalFormatting sqref="I36">
    <cfRule type="cellIs" dxfId="292" priority="491" operator="equal">
      <formula>0</formula>
    </cfRule>
  </conditionalFormatting>
  <conditionalFormatting sqref="C37">
    <cfRule type="cellIs" dxfId="291" priority="490" operator="equal">
      <formula>0</formula>
    </cfRule>
  </conditionalFormatting>
  <conditionalFormatting sqref="K37">
    <cfRule type="cellIs" dxfId="290" priority="489" operator="greaterThan">
      <formula>0</formula>
    </cfRule>
  </conditionalFormatting>
  <conditionalFormatting sqref="I37">
    <cfRule type="cellIs" dxfId="289" priority="488" operator="equal">
      <formula>0</formula>
    </cfRule>
  </conditionalFormatting>
  <conditionalFormatting sqref="C39">
    <cfRule type="cellIs" dxfId="288" priority="487" operator="equal">
      <formula>0</formula>
    </cfRule>
  </conditionalFormatting>
  <conditionalFormatting sqref="K39">
    <cfRule type="cellIs" dxfId="287" priority="486" operator="greaterThan">
      <formula>0</formula>
    </cfRule>
  </conditionalFormatting>
  <conditionalFormatting sqref="I39">
    <cfRule type="cellIs" dxfId="286" priority="485" operator="equal">
      <formula>0</formula>
    </cfRule>
  </conditionalFormatting>
  <conditionalFormatting sqref="C47">
    <cfRule type="cellIs" dxfId="285" priority="469" operator="equal">
      <formula>0</formula>
    </cfRule>
  </conditionalFormatting>
  <conditionalFormatting sqref="K47">
    <cfRule type="cellIs" dxfId="284" priority="468" operator="greaterThan">
      <formula>0</formula>
    </cfRule>
  </conditionalFormatting>
  <conditionalFormatting sqref="I47">
    <cfRule type="cellIs" dxfId="283" priority="467" operator="equal">
      <formula>0</formula>
    </cfRule>
  </conditionalFormatting>
  <conditionalFormatting sqref="C48">
    <cfRule type="cellIs" dxfId="282" priority="466" operator="equal">
      <formula>0</formula>
    </cfRule>
  </conditionalFormatting>
  <conditionalFormatting sqref="K48">
    <cfRule type="cellIs" dxfId="281" priority="465" operator="greaterThan">
      <formula>0</formula>
    </cfRule>
  </conditionalFormatting>
  <conditionalFormatting sqref="I48">
    <cfRule type="cellIs" dxfId="280" priority="464" operator="equal">
      <formula>0</formula>
    </cfRule>
  </conditionalFormatting>
  <conditionalFormatting sqref="C49:C50">
    <cfRule type="cellIs" dxfId="279" priority="463" operator="equal">
      <formula>0</formula>
    </cfRule>
  </conditionalFormatting>
  <conditionalFormatting sqref="K49:K50">
    <cfRule type="cellIs" dxfId="278" priority="462" operator="greaterThan">
      <formula>0</formula>
    </cfRule>
  </conditionalFormatting>
  <conditionalFormatting sqref="I49:I50">
    <cfRule type="cellIs" dxfId="277" priority="461" operator="equal">
      <formula>0</formula>
    </cfRule>
  </conditionalFormatting>
  <conditionalFormatting sqref="C51">
    <cfRule type="cellIs" dxfId="276" priority="460" operator="equal">
      <formula>0</formula>
    </cfRule>
  </conditionalFormatting>
  <conditionalFormatting sqref="K51">
    <cfRule type="cellIs" dxfId="275" priority="459" operator="greaterThan">
      <formula>0</formula>
    </cfRule>
  </conditionalFormatting>
  <conditionalFormatting sqref="I51">
    <cfRule type="cellIs" dxfId="274" priority="458" operator="equal">
      <formula>0</formula>
    </cfRule>
  </conditionalFormatting>
  <conditionalFormatting sqref="C52:C55">
    <cfRule type="cellIs" dxfId="273" priority="457" operator="equal">
      <formula>0</formula>
    </cfRule>
  </conditionalFormatting>
  <conditionalFormatting sqref="K52:K55">
    <cfRule type="cellIs" dxfId="272" priority="456" operator="greaterThan">
      <formula>0</formula>
    </cfRule>
  </conditionalFormatting>
  <conditionalFormatting sqref="I52:I55">
    <cfRule type="cellIs" dxfId="271" priority="455" operator="equal">
      <formula>0</formula>
    </cfRule>
  </conditionalFormatting>
  <conditionalFormatting sqref="C56">
    <cfRule type="cellIs" dxfId="270" priority="454" operator="equal">
      <formula>0</formula>
    </cfRule>
  </conditionalFormatting>
  <conditionalFormatting sqref="K56">
    <cfRule type="cellIs" dxfId="269" priority="453" operator="greaterThan">
      <formula>0</formula>
    </cfRule>
  </conditionalFormatting>
  <conditionalFormatting sqref="I56">
    <cfRule type="cellIs" dxfId="268" priority="452" operator="equal">
      <formula>0</formula>
    </cfRule>
  </conditionalFormatting>
  <conditionalFormatting sqref="C101:C102">
    <cfRule type="cellIs" dxfId="267" priority="436" operator="equal">
      <formula>0</formula>
    </cfRule>
  </conditionalFormatting>
  <conditionalFormatting sqref="K101:K102">
    <cfRule type="cellIs" dxfId="266" priority="435" operator="greaterThan">
      <formula>0</formula>
    </cfRule>
  </conditionalFormatting>
  <conditionalFormatting sqref="C103:C104">
    <cfRule type="cellIs" dxfId="265" priority="434" operator="equal">
      <formula>0</formula>
    </cfRule>
  </conditionalFormatting>
  <conditionalFormatting sqref="K103:K104">
    <cfRule type="cellIs" dxfId="264" priority="433" operator="greaterThan">
      <formula>0</formula>
    </cfRule>
  </conditionalFormatting>
  <conditionalFormatting sqref="C105:C108">
    <cfRule type="cellIs" dxfId="263" priority="432" operator="equal">
      <formula>0</formula>
    </cfRule>
  </conditionalFormatting>
  <conditionalFormatting sqref="K105:K108">
    <cfRule type="cellIs" dxfId="262" priority="431" operator="greaterThan">
      <formula>0</formula>
    </cfRule>
  </conditionalFormatting>
  <conditionalFormatting sqref="C109">
    <cfRule type="cellIs" dxfId="261" priority="430" operator="equal">
      <formula>0</formula>
    </cfRule>
  </conditionalFormatting>
  <conditionalFormatting sqref="K109">
    <cfRule type="cellIs" dxfId="260" priority="429" operator="greaterThan">
      <formula>0</formula>
    </cfRule>
  </conditionalFormatting>
  <conditionalFormatting sqref="C110:C112">
    <cfRule type="cellIs" dxfId="259" priority="428" operator="equal">
      <formula>0</formula>
    </cfRule>
  </conditionalFormatting>
  <conditionalFormatting sqref="K110:K112">
    <cfRule type="cellIs" dxfId="258" priority="427" operator="greaterThan">
      <formula>0</formula>
    </cfRule>
  </conditionalFormatting>
  <conditionalFormatting sqref="C38">
    <cfRule type="cellIs" dxfId="257" priority="319" operator="equal">
      <formula>0</formula>
    </cfRule>
  </conditionalFormatting>
  <conditionalFormatting sqref="K38">
    <cfRule type="cellIs" dxfId="256" priority="318" operator="greaterThan">
      <formula>0</formula>
    </cfRule>
  </conditionalFormatting>
  <conditionalFormatting sqref="I38">
    <cfRule type="cellIs" dxfId="255" priority="317" operator="equal">
      <formula>0</formula>
    </cfRule>
  </conditionalFormatting>
  <conditionalFormatting sqref="C40">
    <cfRule type="cellIs" dxfId="254" priority="316" operator="equal">
      <formula>0</formula>
    </cfRule>
  </conditionalFormatting>
  <conditionalFormatting sqref="K40">
    <cfRule type="cellIs" dxfId="253" priority="315" operator="greaterThan">
      <formula>0</formula>
    </cfRule>
  </conditionalFormatting>
  <conditionalFormatting sqref="I40">
    <cfRule type="cellIs" dxfId="252" priority="314" operator="equal">
      <formula>0</formula>
    </cfRule>
  </conditionalFormatting>
  <conditionalFormatting sqref="C42">
    <cfRule type="cellIs" dxfId="251" priority="310" operator="equal">
      <formula>0</formula>
    </cfRule>
  </conditionalFormatting>
  <conditionalFormatting sqref="K42">
    <cfRule type="cellIs" dxfId="250" priority="309" operator="greaterThan">
      <formula>0</formula>
    </cfRule>
  </conditionalFormatting>
  <conditionalFormatting sqref="I42">
    <cfRule type="cellIs" dxfId="249" priority="308" operator="equal">
      <formula>0</formula>
    </cfRule>
  </conditionalFormatting>
  <conditionalFormatting sqref="C75">
    <cfRule type="cellIs" dxfId="248" priority="304" operator="equal">
      <formula>0</formula>
    </cfRule>
  </conditionalFormatting>
  <conditionalFormatting sqref="K75">
    <cfRule type="cellIs" dxfId="247" priority="303" operator="greaterThan">
      <formula>0</formula>
    </cfRule>
  </conditionalFormatting>
  <conditionalFormatting sqref="I75">
    <cfRule type="cellIs" dxfId="246" priority="302" operator="equal">
      <formula>0</formula>
    </cfRule>
  </conditionalFormatting>
  <conditionalFormatting sqref="C41">
    <cfRule type="cellIs" dxfId="245" priority="233" operator="equal">
      <formula>0</formula>
    </cfRule>
  </conditionalFormatting>
  <conditionalFormatting sqref="K41">
    <cfRule type="cellIs" dxfId="244" priority="232" operator="greaterThan">
      <formula>0</formula>
    </cfRule>
  </conditionalFormatting>
  <conditionalFormatting sqref="I41">
    <cfRule type="cellIs" dxfId="243" priority="231" operator="equal">
      <formula>0</formula>
    </cfRule>
  </conditionalFormatting>
  <conditionalFormatting sqref="C43:C44">
    <cfRule type="cellIs" dxfId="242" priority="230" operator="equal">
      <formula>0</formula>
    </cfRule>
  </conditionalFormatting>
  <conditionalFormatting sqref="K43:K44">
    <cfRule type="cellIs" dxfId="241" priority="229" operator="greaterThan">
      <formula>0</formula>
    </cfRule>
  </conditionalFormatting>
  <conditionalFormatting sqref="I43:I44">
    <cfRule type="cellIs" dxfId="240" priority="228" operator="equal">
      <formula>0</formula>
    </cfRule>
  </conditionalFormatting>
  <conditionalFormatting sqref="C45">
    <cfRule type="cellIs" dxfId="239" priority="227" operator="equal">
      <formula>0</formula>
    </cfRule>
  </conditionalFormatting>
  <conditionalFormatting sqref="K45">
    <cfRule type="cellIs" dxfId="238" priority="226" operator="greaterThan">
      <formula>0</formula>
    </cfRule>
  </conditionalFormatting>
  <conditionalFormatting sqref="I45">
    <cfRule type="cellIs" dxfId="237" priority="225" operator="equal">
      <formula>0</formula>
    </cfRule>
  </conditionalFormatting>
  <conditionalFormatting sqref="C46">
    <cfRule type="cellIs" dxfId="236" priority="224" operator="equal">
      <formula>0</formula>
    </cfRule>
  </conditionalFormatting>
  <conditionalFormatting sqref="K46">
    <cfRule type="cellIs" dxfId="235" priority="223" operator="greaterThan">
      <formula>0</formula>
    </cfRule>
  </conditionalFormatting>
  <conditionalFormatting sqref="I46">
    <cfRule type="cellIs" dxfId="234" priority="222" operator="equal">
      <formula>0</formula>
    </cfRule>
  </conditionalFormatting>
  <conditionalFormatting sqref="C57">
    <cfRule type="cellIs" dxfId="233" priority="221" operator="equal">
      <formula>0</formula>
    </cfRule>
  </conditionalFormatting>
  <conditionalFormatting sqref="K57">
    <cfRule type="cellIs" dxfId="232" priority="220" operator="greaterThan">
      <formula>0</formula>
    </cfRule>
  </conditionalFormatting>
  <conditionalFormatting sqref="I57">
    <cfRule type="cellIs" dxfId="231" priority="219" operator="equal">
      <formula>0</formula>
    </cfRule>
  </conditionalFormatting>
  <conditionalFormatting sqref="C58">
    <cfRule type="cellIs" dxfId="230" priority="218" operator="equal">
      <formula>0</formula>
    </cfRule>
  </conditionalFormatting>
  <conditionalFormatting sqref="K58">
    <cfRule type="cellIs" dxfId="229" priority="217" operator="greaterThan">
      <formula>0</formula>
    </cfRule>
  </conditionalFormatting>
  <conditionalFormatting sqref="I58">
    <cfRule type="cellIs" dxfId="228" priority="216" operator="equal">
      <formula>0</formula>
    </cfRule>
  </conditionalFormatting>
  <conditionalFormatting sqref="C59">
    <cfRule type="cellIs" dxfId="227" priority="215" operator="equal">
      <formula>0</formula>
    </cfRule>
  </conditionalFormatting>
  <conditionalFormatting sqref="K59">
    <cfRule type="cellIs" dxfId="226" priority="214" operator="greaterThan">
      <formula>0</formula>
    </cfRule>
  </conditionalFormatting>
  <conditionalFormatting sqref="I59">
    <cfRule type="cellIs" dxfId="225" priority="213" operator="equal">
      <formula>0</formula>
    </cfRule>
  </conditionalFormatting>
  <conditionalFormatting sqref="C60">
    <cfRule type="cellIs" dxfId="224" priority="212" operator="equal">
      <formula>0</formula>
    </cfRule>
  </conditionalFormatting>
  <conditionalFormatting sqref="K60">
    <cfRule type="cellIs" dxfId="223" priority="211" operator="greaterThan">
      <formula>0</formula>
    </cfRule>
  </conditionalFormatting>
  <conditionalFormatting sqref="I60">
    <cfRule type="cellIs" dxfId="222" priority="210" operator="equal">
      <formula>0</formula>
    </cfRule>
  </conditionalFormatting>
  <conditionalFormatting sqref="C73">
    <cfRule type="cellIs" dxfId="221" priority="209" operator="equal">
      <formula>0</formula>
    </cfRule>
  </conditionalFormatting>
  <conditionalFormatting sqref="K74">
    <cfRule type="cellIs" dxfId="220" priority="205" operator="greaterThan">
      <formula>0</formula>
    </cfRule>
  </conditionalFormatting>
  <conditionalFormatting sqref="I74">
    <cfRule type="cellIs" dxfId="219" priority="204" operator="equal">
      <formula>0</formula>
    </cfRule>
  </conditionalFormatting>
  <conditionalFormatting sqref="C74">
    <cfRule type="cellIs" dxfId="218" priority="206" operator="equal">
      <formula>0</formula>
    </cfRule>
  </conditionalFormatting>
  <conditionalFormatting sqref="C76">
    <cfRule type="cellIs" dxfId="217" priority="203" operator="equal">
      <formula>0</formula>
    </cfRule>
  </conditionalFormatting>
  <conditionalFormatting sqref="K76">
    <cfRule type="cellIs" dxfId="216" priority="202" operator="greaterThan">
      <formula>0</formula>
    </cfRule>
  </conditionalFormatting>
  <conditionalFormatting sqref="I80">
    <cfRule type="cellIs" dxfId="215" priority="180" operator="equal">
      <formula>0</formula>
    </cfRule>
  </conditionalFormatting>
  <conditionalFormatting sqref="C77">
    <cfRule type="cellIs" dxfId="214" priority="200" operator="equal">
      <formula>0</formula>
    </cfRule>
  </conditionalFormatting>
  <conditionalFormatting sqref="K77">
    <cfRule type="cellIs" dxfId="213" priority="199" operator="greaterThan">
      <formula>0</formula>
    </cfRule>
  </conditionalFormatting>
  <conditionalFormatting sqref="I77">
    <cfRule type="cellIs" dxfId="212" priority="198" operator="equal">
      <formula>0</formula>
    </cfRule>
  </conditionalFormatting>
  <conditionalFormatting sqref="C78">
    <cfRule type="cellIs" dxfId="211" priority="197" operator="equal">
      <formula>0</formula>
    </cfRule>
  </conditionalFormatting>
  <conditionalFormatting sqref="K78">
    <cfRule type="cellIs" dxfId="210" priority="196" operator="greaterThan">
      <formula>0</formula>
    </cfRule>
  </conditionalFormatting>
  <conditionalFormatting sqref="I78">
    <cfRule type="cellIs" dxfId="209" priority="195" operator="equal">
      <formula>0</formula>
    </cfRule>
  </conditionalFormatting>
  <conditionalFormatting sqref="C80">
    <cfRule type="cellIs" dxfId="208" priority="182" operator="equal">
      <formula>0</formula>
    </cfRule>
  </conditionalFormatting>
  <conditionalFormatting sqref="K80">
    <cfRule type="cellIs" dxfId="207" priority="181" operator="greaterThan">
      <formula>0</formula>
    </cfRule>
  </conditionalFormatting>
  <conditionalFormatting sqref="I8">
    <cfRule type="cellIs" dxfId="206" priority="164" operator="equal">
      <formula>0</formula>
    </cfRule>
  </conditionalFormatting>
  <conditionalFormatting sqref="K8">
    <cfRule type="cellIs" dxfId="205" priority="165" operator="greaterThan">
      <formula>0</formula>
    </cfRule>
  </conditionalFormatting>
  <conditionalFormatting sqref="K73">
    <cfRule type="cellIs" dxfId="204" priority="117" operator="greaterThan">
      <formula>0</formula>
    </cfRule>
  </conditionalFormatting>
  <conditionalFormatting sqref="I73">
    <cfRule type="cellIs" dxfId="203" priority="116" operator="equal">
      <formula>0</formula>
    </cfRule>
  </conditionalFormatting>
  <conditionalFormatting sqref="I76">
    <cfRule type="cellIs" dxfId="202" priority="115" operator="equal">
      <formula>0</formula>
    </cfRule>
  </conditionalFormatting>
  <conditionalFormatting sqref="C79">
    <cfRule type="cellIs" dxfId="201" priority="114" operator="equal">
      <formula>0</formula>
    </cfRule>
  </conditionalFormatting>
  <conditionalFormatting sqref="K79">
    <cfRule type="cellIs" dxfId="200" priority="113" operator="greaterThan">
      <formula>0</formula>
    </cfRule>
  </conditionalFormatting>
  <conditionalFormatting sqref="I79">
    <cfRule type="cellIs" dxfId="199" priority="112" operator="equal">
      <formula>0</formula>
    </cfRule>
  </conditionalFormatting>
  <conditionalFormatting sqref="C81">
    <cfRule type="cellIs" dxfId="198" priority="111" operator="equal">
      <formula>0</formula>
    </cfRule>
  </conditionalFormatting>
  <conditionalFormatting sqref="K81">
    <cfRule type="cellIs" dxfId="197" priority="110" operator="greaterThan">
      <formula>0</formula>
    </cfRule>
  </conditionalFormatting>
  <conditionalFormatting sqref="I81">
    <cfRule type="cellIs" dxfId="196" priority="109" operator="equal">
      <formula>0</formula>
    </cfRule>
  </conditionalFormatting>
  <conditionalFormatting sqref="C82">
    <cfRule type="cellIs" dxfId="195" priority="108" operator="equal">
      <formula>0</formula>
    </cfRule>
  </conditionalFormatting>
  <conditionalFormatting sqref="K82">
    <cfRule type="cellIs" dxfId="194" priority="107" operator="greaterThan">
      <formula>0</formula>
    </cfRule>
  </conditionalFormatting>
  <conditionalFormatting sqref="I82">
    <cfRule type="cellIs" dxfId="193" priority="106" operator="equal">
      <formula>0</formula>
    </cfRule>
  </conditionalFormatting>
  <conditionalFormatting sqref="C83:C84">
    <cfRule type="cellIs" dxfId="192" priority="105" operator="equal">
      <formula>0</formula>
    </cfRule>
  </conditionalFormatting>
  <conditionalFormatting sqref="K83:K84">
    <cfRule type="cellIs" dxfId="191" priority="104" operator="greaterThan">
      <formula>0</formula>
    </cfRule>
  </conditionalFormatting>
  <conditionalFormatting sqref="I83:I84">
    <cfRule type="cellIs" dxfId="190" priority="103" operator="equal">
      <formula>0</formula>
    </cfRule>
  </conditionalFormatting>
  <conditionalFormatting sqref="I87">
    <cfRule type="cellIs" dxfId="189" priority="91" operator="equal">
      <formula>0</formula>
    </cfRule>
  </conditionalFormatting>
  <conditionalFormatting sqref="C87">
    <cfRule type="cellIs" dxfId="188" priority="93" operator="equal">
      <formula>0</formula>
    </cfRule>
  </conditionalFormatting>
  <conditionalFormatting sqref="K87">
    <cfRule type="cellIs" dxfId="187" priority="92" operator="greaterThan">
      <formula>0</formula>
    </cfRule>
  </conditionalFormatting>
  <conditionalFormatting sqref="I85">
    <cfRule type="cellIs" dxfId="186" priority="97" operator="equal">
      <formula>0</formula>
    </cfRule>
  </conditionalFormatting>
  <conditionalFormatting sqref="C85">
    <cfRule type="cellIs" dxfId="185" priority="99" operator="equal">
      <formula>0</formula>
    </cfRule>
  </conditionalFormatting>
  <conditionalFormatting sqref="K85">
    <cfRule type="cellIs" dxfId="184" priority="98" operator="greaterThan">
      <formula>0</formula>
    </cfRule>
  </conditionalFormatting>
  <conditionalFormatting sqref="I86">
    <cfRule type="cellIs" dxfId="183" priority="94" operator="equal">
      <formula>0</formula>
    </cfRule>
  </conditionalFormatting>
  <conditionalFormatting sqref="C86">
    <cfRule type="cellIs" dxfId="182" priority="96" operator="equal">
      <formula>0</formula>
    </cfRule>
  </conditionalFormatting>
  <conditionalFormatting sqref="K86">
    <cfRule type="cellIs" dxfId="181" priority="95" operator="greaterThan">
      <formula>0</formula>
    </cfRule>
  </conditionalFormatting>
  <conditionalFormatting sqref="C10">
    <cfRule type="cellIs" dxfId="180" priority="87" operator="equal">
      <formula>0</formula>
    </cfRule>
  </conditionalFormatting>
  <conditionalFormatting sqref="K10">
    <cfRule type="cellIs" dxfId="179" priority="86" operator="greaterThan">
      <formula>0</formula>
    </cfRule>
  </conditionalFormatting>
  <conditionalFormatting sqref="I10">
    <cfRule type="cellIs" dxfId="178" priority="85" operator="equal">
      <formula>0</formula>
    </cfRule>
  </conditionalFormatting>
  <conditionalFormatting sqref="C13 C28:C33">
    <cfRule type="cellIs" dxfId="177" priority="84" operator="equal">
      <formula>0</formula>
    </cfRule>
  </conditionalFormatting>
  <conditionalFormatting sqref="K13">
    <cfRule type="cellIs" dxfId="176" priority="83" operator="greaterThan">
      <formula>0</formula>
    </cfRule>
  </conditionalFormatting>
  <conditionalFormatting sqref="I13">
    <cfRule type="cellIs" dxfId="175" priority="82" operator="equal">
      <formula>0</formula>
    </cfRule>
  </conditionalFormatting>
  <conditionalFormatting sqref="K28:K33">
    <cfRule type="cellIs" dxfId="174" priority="80" operator="greaterThan">
      <formula>0</formula>
    </cfRule>
  </conditionalFormatting>
  <conditionalFormatting sqref="I28:I33">
    <cfRule type="cellIs" dxfId="173" priority="79" operator="equal">
      <formula>0</formula>
    </cfRule>
  </conditionalFormatting>
  <conditionalFormatting sqref="C11">
    <cfRule type="cellIs" dxfId="172" priority="74" operator="equal">
      <formula>0</formula>
    </cfRule>
  </conditionalFormatting>
  <conditionalFormatting sqref="K11">
    <cfRule type="cellIs" dxfId="171" priority="73" operator="greaterThan">
      <formula>0</formula>
    </cfRule>
  </conditionalFormatting>
  <conditionalFormatting sqref="I11">
    <cfRule type="cellIs" dxfId="170" priority="72" operator="equal">
      <formula>0</formula>
    </cfRule>
  </conditionalFormatting>
  <conditionalFormatting sqref="K6">
    <cfRule type="cellIs" dxfId="169" priority="56" operator="greaterThan">
      <formula>0</formula>
    </cfRule>
  </conditionalFormatting>
  <conditionalFormatting sqref="I6">
    <cfRule type="cellIs" dxfId="168" priority="55" operator="equal">
      <formula>0</formula>
    </cfRule>
  </conditionalFormatting>
  <conditionalFormatting sqref="K7">
    <cfRule type="cellIs" dxfId="167" priority="54" operator="greaterThan">
      <formula>0</formula>
    </cfRule>
  </conditionalFormatting>
  <conditionalFormatting sqref="I7">
    <cfRule type="cellIs" dxfId="166" priority="53" operator="equal">
      <formula>0</formula>
    </cfRule>
  </conditionalFormatting>
  <conditionalFormatting sqref="I7">
    <cfRule type="cellIs" dxfId="165" priority="51" operator="equal">
      <formula>0</formula>
    </cfRule>
  </conditionalFormatting>
  <conditionalFormatting sqref="K7">
    <cfRule type="cellIs" dxfId="164" priority="52" operator="greaterThan">
      <formula>0</formula>
    </cfRule>
  </conditionalFormatting>
  <conditionalFormatting sqref="C9">
    <cfRule type="cellIs" dxfId="163" priority="50" operator="equal">
      <formula>0</formula>
    </cfRule>
  </conditionalFormatting>
  <conditionalFormatting sqref="K9">
    <cfRule type="cellIs" dxfId="162" priority="49" operator="greaterThan">
      <formula>0</formula>
    </cfRule>
  </conditionalFormatting>
  <conditionalFormatting sqref="I9">
    <cfRule type="cellIs" dxfId="161" priority="48" operator="equal">
      <formula>0</formula>
    </cfRule>
  </conditionalFormatting>
  <conditionalFormatting sqref="I9">
    <cfRule type="cellIs" dxfId="160" priority="46" operator="equal">
      <formula>0</formula>
    </cfRule>
  </conditionalFormatting>
  <conditionalFormatting sqref="K9">
    <cfRule type="cellIs" dxfId="159" priority="47" operator="greaterThan">
      <formula>0</formula>
    </cfRule>
  </conditionalFormatting>
  <conditionalFormatting sqref="C12">
    <cfRule type="cellIs" dxfId="158" priority="45" operator="equal">
      <formula>0</formula>
    </cfRule>
  </conditionalFormatting>
  <conditionalFormatting sqref="K12">
    <cfRule type="cellIs" dxfId="157" priority="44" operator="greaterThan">
      <formula>0</formula>
    </cfRule>
  </conditionalFormatting>
  <conditionalFormatting sqref="I12">
    <cfRule type="cellIs" dxfId="156" priority="43" operator="equal">
      <formula>0</formula>
    </cfRule>
  </conditionalFormatting>
  <conditionalFormatting sqref="C14">
    <cfRule type="cellIs" dxfId="155" priority="42" operator="equal">
      <formula>0</formula>
    </cfRule>
  </conditionalFormatting>
  <conditionalFormatting sqref="K14">
    <cfRule type="cellIs" dxfId="154" priority="41" operator="greaterThan">
      <formula>0</formula>
    </cfRule>
  </conditionalFormatting>
  <conditionalFormatting sqref="I14">
    <cfRule type="cellIs" dxfId="153" priority="40" operator="equal">
      <formula>0</formula>
    </cfRule>
  </conditionalFormatting>
  <conditionalFormatting sqref="C15">
    <cfRule type="cellIs" dxfId="152" priority="39" operator="equal">
      <formula>0</formula>
    </cfRule>
  </conditionalFormatting>
  <conditionalFormatting sqref="K15">
    <cfRule type="cellIs" dxfId="151" priority="38" operator="greaterThan">
      <formula>0</formula>
    </cfRule>
  </conditionalFormatting>
  <conditionalFormatting sqref="I15">
    <cfRule type="cellIs" dxfId="150" priority="37" operator="equal">
      <formula>0</formula>
    </cfRule>
  </conditionalFormatting>
  <conditionalFormatting sqref="C16">
    <cfRule type="cellIs" dxfId="149" priority="36" operator="equal">
      <formula>0</formula>
    </cfRule>
  </conditionalFormatting>
  <conditionalFormatting sqref="K16">
    <cfRule type="cellIs" dxfId="148" priority="35" operator="greaterThan">
      <formula>0</formula>
    </cfRule>
  </conditionalFormatting>
  <conditionalFormatting sqref="I16">
    <cfRule type="cellIs" dxfId="147" priority="34" operator="equal">
      <formula>0</formula>
    </cfRule>
  </conditionalFormatting>
  <conditionalFormatting sqref="C17">
    <cfRule type="cellIs" dxfId="146" priority="33" operator="equal">
      <formula>0</formula>
    </cfRule>
  </conditionalFormatting>
  <conditionalFormatting sqref="K17">
    <cfRule type="cellIs" dxfId="145" priority="32" operator="greaterThan">
      <formula>0</formula>
    </cfRule>
  </conditionalFormatting>
  <conditionalFormatting sqref="I17">
    <cfRule type="cellIs" dxfId="144" priority="31" operator="equal">
      <formula>0</formula>
    </cfRule>
  </conditionalFormatting>
  <conditionalFormatting sqref="C18">
    <cfRule type="cellIs" dxfId="143" priority="30" operator="equal">
      <formula>0</formula>
    </cfRule>
  </conditionalFormatting>
  <conditionalFormatting sqref="K18">
    <cfRule type="cellIs" dxfId="142" priority="29" operator="greaterThan">
      <formula>0</formula>
    </cfRule>
  </conditionalFormatting>
  <conditionalFormatting sqref="I18">
    <cfRule type="cellIs" dxfId="141" priority="28" operator="equal">
      <formula>0</formula>
    </cfRule>
  </conditionalFormatting>
  <conditionalFormatting sqref="C19">
    <cfRule type="cellIs" dxfId="140" priority="27" operator="equal">
      <formula>0</formula>
    </cfRule>
  </conditionalFormatting>
  <conditionalFormatting sqref="K19">
    <cfRule type="cellIs" dxfId="139" priority="26" operator="greaterThan">
      <formula>0</formula>
    </cfRule>
  </conditionalFormatting>
  <conditionalFormatting sqref="I19">
    <cfRule type="cellIs" dxfId="138" priority="25" operator="equal">
      <formula>0</formula>
    </cfRule>
  </conditionalFormatting>
  <conditionalFormatting sqref="C20">
    <cfRule type="cellIs" dxfId="137" priority="24" operator="equal">
      <formula>0</formula>
    </cfRule>
  </conditionalFormatting>
  <conditionalFormatting sqref="K20">
    <cfRule type="cellIs" dxfId="136" priority="23" operator="greaterThan">
      <formula>0</formula>
    </cfRule>
  </conditionalFormatting>
  <conditionalFormatting sqref="I20">
    <cfRule type="cellIs" dxfId="135" priority="22" operator="equal">
      <formula>0</formula>
    </cfRule>
  </conditionalFormatting>
  <conditionalFormatting sqref="C21">
    <cfRule type="cellIs" dxfId="134" priority="21" operator="equal">
      <formula>0</formula>
    </cfRule>
  </conditionalFormatting>
  <conditionalFormatting sqref="K21">
    <cfRule type="cellIs" dxfId="133" priority="20" operator="greaterThan">
      <formula>0</formula>
    </cfRule>
  </conditionalFormatting>
  <conditionalFormatting sqref="I21">
    <cfRule type="cellIs" dxfId="132" priority="19" operator="equal">
      <formula>0</formula>
    </cfRule>
  </conditionalFormatting>
  <conditionalFormatting sqref="C22">
    <cfRule type="cellIs" dxfId="131" priority="18" operator="equal">
      <formula>0</formula>
    </cfRule>
  </conditionalFormatting>
  <conditionalFormatting sqref="K22">
    <cfRule type="cellIs" dxfId="130" priority="17" operator="greaterThan">
      <formula>0</formula>
    </cfRule>
  </conditionalFormatting>
  <conditionalFormatting sqref="I22">
    <cfRule type="cellIs" dxfId="129" priority="16" operator="equal">
      <formula>0</formula>
    </cfRule>
  </conditionalFormatting>
  <conditionalFormatting sqref="C23">
    <cfRule type="cellIs" dxfId="128" priority="15" operator="equal">
      <formula>0</formula>
    </cfRule>
  </conditionalFormatting>
  <conditionalFormatting sqref="K23">
    <cfRule type="cellIs" dxfId="127" priority="14" operator="greaterThan">
      <formula>0</formula>
    </cfRule>
  </conditionalFormatting>
  <conditionalFormatting sqref="I23">
    <cfRule type="cellIs" dxfId="126" priority="13" operator="equal">
      <formula>0</formula>
    </cfRule>
  </conditionalFormatting>
  <conditionalFormatting sqref="C24">
    <cfRule type="cellIs" dxfId="125" priority="12" operator="equal">
      <formula>0</formula>
    </cfRule>
  </conditionalFormatting>
  <conditionalFormatting sqref="K24">
    <cfRule type="cellIs" dxfId="124" priority="11" operator="greaterThan">
      <formula>0</formula>
    </cfRule>
  </conditionalFormatting>
  <conditionalFormatting sqref="I24">
    <cfRule type="cellIs" dxfId="123" priority="10" operator="equal">
      <formula>0</formula>
    </cfRule>
  </conditionalFormatting>
  <conditionalFormatting sqref="C25">
    <cfRule type="cellIs" dxfId="122" priority="9" operator="equal">
      <formula>0</formula>
    </cfRule>
  </conditionalFormatting>
  <conditionalFormatting sqref="K25">
    <cfRule type="cellIs" dxfId="121" priority="8" operator="greaterThan">
      <formula>0</formula>
    </cfRule>
  </conditionalFormatting>
  <conditionalFormatting sqref="I25">
    <cfRule type="cellIs" dxfId="120" priority="7" operator="equal">
      <formula>0</formula>
    </cfRule>
  </conditionalFormatting>
  <conditionalFormatting sqref="C26">
    <cfRule type="cellIs" dxfId="119" priority="6" operator="equal">
      <formula>0</formula>
    </cfRule>
  </conditionalFormatting>
  <conditionalFormatting sqref="K26">
    <cfRule type="cellIs" dxfId="118" priority="5" operator="greaterThan">
      <formula>0</formula>
    </cfRule>
  </conditionalFormatting>
  <conditionalFormatting sqref="I26">
    <cfRule type="cellIs" dxfId="117" priority="4" operator="equal">
      <formula>0</formula>
    </cfRule>
  </conditionalFormatting>
  <conditionalFormatting sqref="C27">
    <cfRule type="cellIs" dxfId="116" priority="3" operator="equal">
      <formula>0</formula>
    </cfRule>
  </conditionalFormatting>
  <conditionalFormatting sqref="K27">
    <cfRule type="cellIs" dxfId="115" priority="2" operator="greaterThan">
      <formula>0</formula>
    </cfRule>
  </conditionalFormatting>
  <conditionalFormatting sqref="I27">
    <cfRule type="cellIs" dxfId="11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2:U261"/>
  <sheetViews>
    <sheetView zoomScale="85" zoomScaleNormal="85" workbookViewId="0">
      <selection activeCell="E283" sqref="E283"/>
    </sheetView>
  </sheetViews>
  <sheetFormatPr defaultRowHeight="16.5" x14ac:dyDescent="0.25"/>
  <cols>
    <col min="1" max="1" width="10.28515625" style="10" customWidth="1"/>
    <col min="2" max="2" width="1.42578125" style="10" customWidth="1"/>
    <col min="3" max="3" width="22.42578125" style="10" customWidth="1"/>
    <col min="4" max="4" width="15.42578125" style="10" customWidth="1"/>
    <col min="5" max="5" width="21.7109375" style="10" customWidth="1"/>
    <col min="6" max="8" width="10" style="10" hidden="1" customWidth="1"/>
    <col min="9" max="9" width="9.7109375" style="10" customWidth="1"/>
    <col min="10" max="10" width="8.7109375" style="10" customWidth="1"/>
    <col min="11" max="11" width="10" style="10" customWidth="1"/>
    <col min="12" max="12" width="8.7109375" style="10" customWidth="1"/>
    <col min="13" max="13" width="2.42578125" style="10" customWidth="1"/>
    <col min="14" max="14" width="10.28515625" style="10" customWidth="1"/>
    <col min="15" max="15" width="6.85546875" style="10" customWidth="1"/>
    <col min="16" max="16" width="10.28515625" style="10" customWidth="1"/>
    <col min="17" max="17" width="8.140625" style="10" customWidth="1"/>
    <col min="18" max="22" width="9.140625" customWidth="1"/>
  </cols>
  <sheetData>
    <row r="2" spans="1:21" x14ac:dyDescent="0.25">
      <c r="B2" s="48"/>
      <c r="C2" s="277" t="s">
        <v>34</v>
      </c>
      <c r="D2" s="277"/>
      <c r="E2" s="277"/>
      <c r="F2" s="278"/>
      <c r="G2" s="278"/>
      <c r="H2" s="278"/>
      <c r="I2" s="278"/>
      <c r="J2" s="31"/>
      <c r="K2" s="31"/>
      <c r="L2" s="31"/>
      <c r="M2" s="31"/>
      <c r="N2" s="31"/>
      <c r="O2" s="31"/>
    </row>
    <row r="3" spans="1:21" ht="18" customHeight="1" x14ac:dyDescent="0.25">
      <c r="A3" s="22" t="s">
        <v>66</v>
      </c>
      <c r="C3" s="274" t="s">
        <v>15</v>
      </c>
      <c r="D3" s="274" t="s">
        <v>16</v>
      </c>
      <c r="E3" s="274" t="s">
        <v>17</v>
      </c>
      <c r="F3" s="274" t="s">
        <v>65</v>
      </c>
      <c r="G3" s="274"/>
      <c r="H3" s="274"/>
      <c r="I3" s="274" t="s">
        <v>33</v>
      </c>
      <c r="J3" s="274"/>
      <c r="K3" s="274" t="s">
        <v>351</v>
      </c>
      <c r="L3" s="274"/>
      <c r="M3" s="161"/>
      <c r="N3" s="276" t="s">
        <v>387</v>
      </c>
      <c r="O3" s="276"/>
      <c r="Q3" s="273" t="s">
        <v>291</v>
      </c>
      <c r="R3" s="273"/>
      <c r="S3" s="273"/>
      <c r="T3" t="s">
        <v>65</v>
      </c>
      <c r="U3" s="10"/>
    </row>
    <row r="4" spans="1:21" x14ac:dyDescent="0.25">
      <c r="A4" s="22" t="s">
        <v>67</v>
      </c>
      <c r="C4" s="274"/>
      <c r="D4" s="274"/>
      <c r="E4" s="274"/>
      <c r="F4" s="117" t="s">
        <v>183</v>
      </c>
      <c r="G4" s="117" t="s">
        <v>184</v>
      </c>
      <c r="H4" s="117"/>
      <c r="I4" s="59" t="s">
        <v>125</v>
      </c>
      <c r="J4" s="117" t="s">
        <v>126</v>
      </c>
      <c r="K4" s="59" t="s">
        <v>125</v>
      </c>
      <c r="L4" s="117" t="s">
        <v>126</v>
      </c>
      <c r="M4" s="161"/>
      <c r="N4" s="59" t="s">
        <v>388</v>
      </c>
      <c r="O4" s="117" t="s">
        <v>364</v>
      </c>
      <c r="Q4" s="122"/>
      <c r="R4" s="9" t="s">
        <v>125</v>
      </c>
      <c r="S4" s="123" t="s">
        <v>300</v>
      </c>
      <c r="T4" t="s">
        <v>350</v>
      </c>
      <c r="U4" s="136"/>
    </row>
    <row r="5" spans="1:21" ht="3" customHeight="1" x14ac:dyDescent="0.25">
      <c r="C5" s="126"/>
      <c r="D5" s="59"/>
      <c r="E5" s="22"/>
      <c r="F5" s="22"/>
      <c r="G5" s="22"/>
      <c r="H5" s="22"/>
      <c r="I5" s="38"/>
      <c r="J5" s="46"/>
      <c r="K5" s="38"/>
      <c r="L5" s="38"/>
      <c r="M5" s="99"/>
      <c r="N5" s="38"/>
      <c r="O5" s="38"/>
      <c r="Q5" s="125"/>
      <c r="R5" s="9"/>
      <c r="S5" s="123"/>
      <c r="U5" s="136"/>
    </row>
    <row r="6" spans="1:21" ht="33.75" hidden="1" customHeight="1" x14ac:dyDescent="0.25">
      <c r="A6" s="32">
        <v>156.1</v>
      </c>
      <c r="C6" s="267" t="s">
        <v>287</v>
      </c>
      <c r="D6" s="145" t="s">
        <v>309</v>
      </c>
      <c r="E6" s="117" t="s">
        <v>310</v>
      </c>
      <c r="F6" s="61">
        <f ca="1">SUMIF(Здание!$G$8:G$293,$E6,Здание!$Q$8:Q$293)</f>
        <v>0</v>
      </c>
      <c r="G6" s="61">
        <f>SUMIF(Здание!$G$245:H$291,$E6,Здание!$Q$245:S$291)</f>
        <v>0</v>
      </c>
      <c r="H6" s="22"/>
      <c r="I6" s="94">
        <f ca="1">SUM(F6:H6)</f>
        <v>0</v>
      </c>
      <c r="J6" s="95">
        <f ca="1">I6/A6</f>
        <v>0</v>
      </c>
      <c r="K6" s="94">
        <f t="shared" ref="K6:K19" ca="1" si="0">I6*$C$260</f>
        <v>0</v>
      </c>
      <c r="L6" s="94">
        <f ca="1">K6/A6</f>
        <v>0</v>
      </c>
      <c r="M6" s="163"/>
      <c r="N6" s="169"/>
      <c r="O6" s="166">
        <f ca="1">N6*L6</f>
        <v>0</v>
      </c>
      <c r="Q6" s="123"/>
      <c r="R6" s="123">
        <f t="shared" ref="R6:R43" si="1">SUM(Q6:Q6)</f>
        <v>0</v>
      </c>
      <c r="S6" s="138">
        <f t="shared" ref="S6:S27" si="2">R6/A6</f>
        <v>0</v>
      </c>
      <c r="T6" s="124">
        <f t="shared" ref="T6:T23" ca="1" si="3">R6-K6</f>
        <v>0</v>
      </c>
      <c r="U6" s="136"/>
    </row>
    <row r="7" spans="1:21" ht="16.5" hidden="1" customHeight="1" x14ac:dyDescent="0.25">
      <c r="A7" s="32">
        <v>72.5</v>
      </c>
      <c r="C7" s="267"/>
      <c r="D7" s="266" t="s">
        <v>288</v>
      </c>
      <c r="E7" s="117" t="s">
        <v>328</v>
      </c>
      <c r="F7" s="61">
        <f ca="1">SUMIF(Здание!$G$8:G$293,$E7,Здание!$Q$8:Q$293)</f>
        <v>0</v>
      </c>
      <c r="G7" s="61">
        <f>SUMIF(Здание!$G$245:H$291,$E7,Здание!$Q$245:S$291)</f>
        <v>0</v>
      </c>
      <c r="H7" s="22"/>
      <c r="I7" s="94">
        <f ca="1">SUM(F7:H7)</f>
        <v>0</v>
      </c>
      <c r="J7" s="95">
        <f ca="1">I7/A7</f>
        <v>0</v>
      </c>
      <c r="K7" s="94">
        <f t="shared" ca="1" si="0"/>
        <v>0</v>
      </c>
      <c r="L7" s="94">
        <f ca="1">K7/A7</f>
        <v>0</v>
      </c>
      <c r="M7" s="163"/>
      <c r="N7" s="169">
        <v>1.73</v>
      </c>
      <c r="O7" s="166">
        <f t="shared" ref="O7:O43" ca="1" si="4">N7*L7</f>
        <v>0</v>
      </c>
      <c r="Q7" s="123"/>
      <c r="R7" s="123">
        <f t="shared" ref="R7" si="5">SUM(Q7:Q7)</f>
        <v>0</v>
      </c>
      <c r="S7" s="138">
        <f t="shared" si="2"/>
        <v>0</v>
      </c>
      <c r="T7" s="124">
        <f t="shared" ref="T7:T9" ca="1" si="6">R7-K7</f>
        <v>0</v>
      </c>
      <c r="U7" s="136"/>
    </row>
    <row r="8" spans="1:21" ht="16.5" hidden="1" customHeight="1" x14ac:dyDescent="0.25">
      <c r="A8" s="32">
        <v>56.6</v>
      </c>
      <c r="C8" s="267"/>
      <c r="D8" s="267"/>
      <c r="E8" s="117" t="s">
        <v>268</v>
      </c>
      <c r="F8" s="61">
        <f ca="1">SUMIF(Здание!$G$8:G$293,$E8,Здание!$Q$8:Q$293)</f>
        <v>0</v>
      </c>
      <c r="G8" s="61">
        <f>SUMIF(Здание!$G$245:H$291,$E8,Здание!$Q$245:S$291)</f>
        <v>0</v>
      </c>
      <c r="H8" s="22"/>
      <c r="I8" s="94">
        <f ca="1">SUM(F8:H8)</f>
        <v>0</v>
      </c>
      <c r="J8" s="95">
        <f ca="1">I8/A8</f>
        <v>0</v>
      </c>
      <c r="K8" s="94">
        <f t="shared" ca="1" si="0"/>
        <v>0</v>
      </c>
      <c r="L8" s="94">
        <f ca="1">K8/A8</f>
        <v>0</v>
      </c>
      <c r="M8" s="163"/>
      <c r="N8" s="169">
        <v>1.55</v>
      </c>
      <c r="O8" s="166">
        <f t="shared" ref="O8:O19" ca="1" si="7">N8*L8</f>
        <v>0</v>
      </c>
      <c r="Q8" s="123"/>
      <c r="R8" s="160">
        <f>S8*A8</f>
        <v>0</v>
      </c>
      <c r="S8" s="138"/>
      <c r="T8" s="124">
        <f t="shared" ca="1" si="6"/>
        <v>0</v>
      </c>
      <c r="U8" s="136"/>
    </row>
    <row r="9" spans="1:21" ht="16.5" hidden="1" customHeight="1" x14ac:dyDescent="0.25">
      <c r="A9" s="32">
        <v>66</v>
      </c>
      <c r="C9" s="267"/>
      <c r="D9" s="267"/>
      <c r="E9" s="117" t="s">
        <v>218</v>
      </c>
      <c r="F9" s="61">
        <f ca="1">SUMIF(Здание!$G$8:G$293,$E9,Здание!$Q$8:Q$293)</f>
        <v>0</v>
      </c>
      <c r="G9" s="61">
        <f>SUMIF(Здание!$G$245:H$291,$E9,Здание!$Q$245:S$291)</f>
        <v>0</v>
      </c>
      <c r="H9" s="22"/>
      <c r="I9" s="94">
        <f t="shared" ref="I9" ca="1" si="8">SUM(F9:H9)</f>
        <v>0</v>
      </c>
      <c r="J9" s="95">
        <f t="shared" ref="J9" ca="1" si="9">I9/A9</f>
        <v>0</v>
      </c>
      <c r="K9" s="94">
        <f t="shared" ca="1" si="0"/>
        <v>0</v>
      </c>
      <c r="L9" s="94">
        <f t="shared" ref="L9" ca="1" si="10">K9/A9</f>
        <v>0</v>
      </c>
      <c r="M9" s="163"/>
      <c r="N9" s="169">
        <v>1.56</v>
      </c>
      <c r="O9" s="166">
        <f t="shared" ca="1" si="7"/>
        <v>0</v>
      </c>
      <c r="Q9" s="123"/>
      <c r="R9" s="123">
        <f t="shared" ref="R9:R14" si="11">SUM(Q9:Q9)</f>
        <v>0</v>
      </c>
      <c r="S9" s="138">
        <f>R9/A9</f>
        <v>0</v>
      </c>
      <c r="T9" s="124">
        <f t="shared" ca="1" si="6"/>
        <v>0</v>
      </c>
      <c r="U9" s="136"/>
    </row>
    <row r="10" spans="1:21" ht="16.5" hidden="1" customHeight="1" x14ac:dyDescent="0.25">
      <c r="A10" s="32">
        <v>41.4</v>
      </c>
      <c r="C10" s="267"/>
      <c r="D10" s="267"/>
      <c r="E10" s="117" t="s">
        <v>275</v>
      </c>
      <c r="F10" s="61">
        <f ca="1">SUMIF(Здание!$G$8:G$293,$E10,Здание!$Q$8:Q$293)</f>
        <v>0</v>
      </c>
      <c r="G10" s="61">
        <f>SUMIF(Здание!$G$245:H$291,$E10,Здание!$Q$245:S$291)</f>
        <v>0</v>
      </c>
      <c r="H10" s="22"/>
      <c r="I10" s="94">
        <f ca="1">SUM(F10:H10)</f>
        <v>0</v>
      </c>
      <c r="J10" s="95">
        <f ca="1">I10/A10</f>
        <v>0</v>
      </c>
      <c r="K10" s="94">
        <f t="shared" ca="1" si="0"/>
        <v>0</v>
      </c>
      <c r="L10" s="94">
        <f ca="1">K10/A10</f>
        <v>0</v>
      </c>
      <c r="M10" s="163"/>
      <c r="N10" s="169">
        <v>1.35</v>
      </c>
      <c r="O10" s="166">
        <f t="shared" ca="1" si="7"/>
        <v>0</v>
      </c>
      <c r="Q10" s="123"/>
      <c r="R10" s="123">
        <f t="shared" si="11"/>
        <v>0</v>
      </c>
      <c r="S10" s="138">
        <f t="shared" ref="S10:S14" si="12">R10/A10</f>
        <v>0</v>
      </c>
      <c r="T10" s="124">
        <f t="shared" ref="T10:T19" ca="1" si="13">R10-I10</f>
        <v>0</v>
      </c>
      <c r="U10" s="136"/>
    </row>
    <row r="11" spans="1:21" ht="16.5" hidden="1" customHeight="1" x14ac:dyDescent="0.25">
      <c r="A11" s="32">
        <v>49.6</v>
      </c>
      <c r="C11" s="267"/>
      <c r="D11" s="267"/>
      <c r="E11" s="117" t="s">
        <v>174</v>
      </c>
      <c r="F11" s="61">
        <f ca="1">SUMIF(Здание!$G$8:G$293,$E11,Здание!$Q$8:Q$293)</f>
        <v>0</v>
      </c>
      <c r="G11" s="61">
        <f>SUMIF(Здание!$G$245:H$291,$E11,Здание!$Q$245:S$291)</f>
        <v>0</v>
      </c>
      <c r="H11" s="22"/>
      <c r="I11" s="94">
        <f t="shared" ref="I11" ca="1" si="14">SUM(F11:H11)</f>
        <v>0</v>
      </c>
      <c r="J11" s="95">
        <f t="shared" ref="J11:J12" ca="1" si="15">I11/A11</f>
        <v>0</v>
      </c>
      <c r="K11" s="94">
        <f t="shared" ca="1" si="0"/>
        <v>0</v>
      </c>
      <c r="L11" s="94">
        <f t="shared" ref="L11:L12" ca="1" si="16">K11/A11</f>
        <v>0</v>
      </c>
      <c r="M11" s="163"/>
      <c r="N11" s="169">
        <v>1.36</v>
      </c>
      <c r="O11" s="166">
        <f t="shared" ca="1" si="7"/>
        <v>0</v>
      </c>
      <c r="Q11" s="123"/>
      <c r="R11" s="123">
        <f t="shared" si="11"/>
        <v>0</v>
      </c>
      <c r="S11" s="138">
        <f t="shared" si="12"/>
        <v>0</v>
      </c>
      <c r="T11" s="124">
        <f t="shared" ca="1" si="13"/>
        <v>0</v>
      </c>
      <c r="U11" s="136"/>
    </row>
    <row r="12" spans="1:21" ht="16.5" hidden="1" customHeight="1" x14ac:dyDescent="0.25">
      <c r="A12" s="32">
        <v>32</v>
      </c>
      <c r="C12" s="267"/>
      <c r="D12" s="267"/>
      <c r="E12" s="117" t="s">
        <v>88</v>
      </c>
      <c r="F12" s="61">
        <f ca="1">SUMIF(Здание!$G$8:G$293,$E12,Здание!$Q$8:Q$293)</f>
        <v>0</v>
      </c>
      <c r="G12" s="61">
        <f>SUMIF(Здание!$G$245:H$291,$E12,Здание!$Q$245:S$291)</f>
        <v>0</v>
      </c>
      <c r="H12" s="22"/>
      <c r="I12" s="94">
        <f t="shared" ref="I12" ca="1" si="17">SUM(F12:H12)</f>
        <v>0</v>
      </c>
      <c r="J12" s="95">
        <f t="shared" ca="1" si="15"/>
        <v>0</v>
      </c>
      <c r="K12" s="94">
        <f t="shared" ca="1" si="0"/>
        <v>0</v>
      </c>
      <c r="L12" s="94">
        <f t="shared" ca="1" si="16"/>
        <v>0</v>
      </c>
      <c r="M12" s="163"/>
      <c r="N12" s="169">
        <v>1.1599999999999999</v>
      </c>
      <c r="O12" s="166">
        <f t="shared" ca="1" si="7"/>
        <v>0</v>
      </c>
      <c r="Q12" s="123"/>
      <c r="R12" s="123">
        <f t="shared" si="11"/>
        <v>0</v>
      </c>
      <c r="S12" s="138">
        <f t="shared" si="12"/>
        <v>0</v>
      </c>
      <c r="T12" s="124">
        <f t="shared" ca="1" si="13"/>
        <v>0</v>
      </c>
      <c r="U12" s="136"/>
    </row>
    <row r="13" spans="1:21" ht="16.5" hidden="1" customHeight="1" x14ac:dyDescent="0.25">
      <c r="A13" s="32">
        <v>36.700000000000003</v>
      </c>
      <c r="C13" s="267"/>
      <c r="D13" s="267"/>
      <c r="E13" s="117" t="s">
        <v>157</v>
      </c>
      <c r="F13" s="61">
        <f ca="1">SUMIF(Здание!$G$8:G$293,$E13,Здание!$Q$8:Q$293)</f>
        <v>0</v>
      </c>
      <c r="G13" s="61">
        <f>SUMIF(Здание!$G$245:H$291,$E13,Здание!$Q$245:S$291)</f>
        <v>0</v>
      </c>
      <c r="H13" s="22"/>
      <c r="I13" s="94">
        <f ca="1">SUM(F13:H13)</f>
        <v>0</v>
      </c>
      <c r="J13" s="95">
        <f ca="1">I13/A13</f>
        <v>0</v>
      </c>
      <c r="K13" s="94">
        <f t="shared" ca="1" si="0"/>
        <v>0</v>
      </c>
      <c r="L13" s="94">
        <f ca="1">K13/A13</f>
        <v>0</v>
      </c>
      <c r="M13" s="163"/>
      <c r="N13" s="169">
        <v>1.1599999999999999</v>
      </c>
      <c r="O13" s="166">
        <f t="shared" ca="1" si="7"/>
        <v>0</v>
      </c>
      <c r="Q13" s="123"/>
      <c r="R13" s="123">
        <f t="shared" si="11"/>
        <v>0</v>
      </c>
      <c r="S13" s="138">
        <f t="shared" si="12"/>
        <v>0</v>
      </c>
      <c r="T13" s="124">
        <f t="shared" ca="1" si="13"/>
        <v>0</v>
      </c>
      <c r="U13" s="136"/>
    </row>
    <row r="14" spans="1:21" ht="16.5" hidden="1" customHeight="1" x14ac:dyDescent="0.25">
      <c r="A14" s="32">
        <v>29.6</v>
      </c>
      <c r="C14" s="267"/>
      <c r="D14" s="267"/>
      <c r="E14" s="101" t="s">
        <v>104</v>
      </c>
      <c r="F14" s="102">
        <f ca="1">SUMIF(Здание!$G$8:G$293,$E14,Здание!$Q$8:Q$293)</f>
        <v>0</v>
      </c>
      <c r="G14" s="102">
        <f>SUMIF(Здание!$G$245:H$291,$E14,Здание!$Q$245:S$291)</f>
        <v>0</v>
      </c>
      <c r="H14" s="127"/>
      <c r="I14" s="104">
        <f ca="1">SUM(F14:H14)</f>
        <v>0</v>
      </c>
      <c r="J14" s="128">
        <f ca="1">I14/A14</f>
        <v>0</v>
      </c>
      <c r="K14" s="94">
        <f t="shared" ca="1" si="0"/>
        <v>0</v>
      </c>
      <c r="L14" s="94">
        <f ca="1">K14/A14</f>
        <v>0</v>
      </c>
      <c r="M14" s="163"/>
      <c r="N14" s="169">
        <v>0.97</v>
      </c>
      <c r="O14" s="166">
        <f t="shared" ca="1" si="7"/>
        <v>0</v>
      </c>
      <c r="Q14" s="123"/>
      <c r="R14" s="123">
        <f t="shared" si="11"/>
        <v>0</v>
      </c>
      <c r="S14" s="138">
        <f t="shared" si="12"/>
        <v>0</v>
      </c>
      <c r="T14" s="124">
        <f t="shared" ca="1" si="13"/>
        <v>0</v>
      </c>
      <c r="U14" s="136"/>
    </row>
    <row r="15" spans="1:21" ht="16.5" hidden="1" customHeight="1" x14ac:dyDescent="0.25">
      <c r="A15" s="32">
        <v>25.7</v>
      </c>
      <c r="C15" s="267"/>
      <c r="D15" s="267"/>
      <c r="E15" s="117" t="s">
        <v>45</v>
      </c>
      <c r="F15" s="61">
        <f ca="1">SUMIF(Здание!$G$8:G$293,$E15,Здание!$Q$8:Q$293)</f>
        <v>0</v>
      </c>
      <c r="G15" s="61">
        <f>SUMIF(Здание!$G$245:H$291,$E15,Здание!$Q$245:S$291)</f>
        <v>0</v>
      </c>
      <c r="H15" s="22"/>
      <c r="I15" s="94">
        <f t="shared" ref="I15" ca="1" si="18">SUM(F15:H15)</f>
        <v>0</v>
      </c>
      <c r="J15" s="95">
        <f t="shared" ref="J15" ca="1" si="19">I15/A15</f>
        <v>0</v>
      </c>
      <c r="K15" s="94">
        <f t="shared" ca="1" si="0"/>
        <v>0</v>
      </c>
      <c r="L15" s="94">
        <f t="shared" ref="L15" ca="1" si="20">K15/A15</f>
        <v>0</v>
      </c>
      <c r="M15" s="163"/>
      <c r="N15" s="169">
        <v>0.96</v>
      </c>
      <c r="O15" s="166">
        <f t="shared" ca="1" si="7"/>
        <v>0</v>
      </c>
      <c r="Q15" s="123"/>
      <c r="R15" s="160">
        <f>S15*A15</f>
        <v>0</v>
      </c>
      <c r="S15" s="138"/>
      <c r="T15" s="124">
        <f t="shared" ca="1" si="13"/>
        <v>0</v>
      </c>
      <c r="U15" s="136"/>
    </row>
    <row r="16" spans="1:21" ht="16.5" hidden="1" customHeight="1" x14ac:dyDescent="0.25">
      <c r="A16" s="32">
        <v>21.3</v>
      </c>
      <c r="C16" s="267"/>
      <c r="D16" s="267"/>
      <c r="E16" s="117" t="s">
        <v>173</v>
      </c>
      <c r="F16" s="61">
        <f ca="1">SUMIF(Здание!$G$8:G$293,$E16,Здание!$Q$8:Q$293)</f>
        <v>0</v>
      </c>
      <c r="G16" s="61">
        <f>SUMIF(Здание!$G$245:H$291,$E16,Здание!$Q$245:S$291)</f>
        <v>0</v>
      </c>
      <c r="H16" s="22"/>
      <c r="I16" s="94">
        <f ca="1">SUM(F16:H16)</f>
        <v>0</v>
      </c>
      <c r="J16" s="95">
        <f ca="1">I16/A16</f>
        <v>0</v>
      </c>
      <c r="K16" s="94">
        <f t="shared" ca="1" si="0"/>
        <v>0</v>
      </c>
      <c r="L16" s="94">
        <f ca="1">K16/A16</f>
        <v>0</v>
      </c>
      <c r="M16" s="163"/>
      <c r="N16" s="169">
        <v>0.77</v>
      </c>
      <c r="O16" s="166">
        <f t="shared" ca="1" si="7"/>
        <v>0</v>
      </c>
      <c r="Q16" s="123"/>
      <c r="R16" s="123">
        <f t="shared" ref="R16:R19" si="21">SUM(Q16:Q16)</f>
        <v>0</v>
      </c>
      <c r="S16" s="138"/>
      <c r="T16" s="124">
        <f t="shared" ca="1" si="13"/>
        <v>0</v>
      </c>
      <c r="U16" s="136"/>
    </row>
    <row r="17" spans="1:21" ht="16.5" hidden="1" customHeight="1" x14ac:dyDescent="0.25">
      <c r="A17" s="32">
        <v>18.8</v>
      </c>
      <c r="C17" s="267"/>
      <c r="D17" s="267"/>
      <c r="E17" s="117" t="s">
        <v>95</v>
      </c>
      <c r="F17" s="61">
        <f ca="1">SUMIF(Здание!$G$8:G$293,$E17,Здание!$Q$8:Q$293)</f>
        <v>0</v>
      </c>
      <c r="G17" s="61">
        <f>SUMIF(Здание!$G$245:H$291,$E17,Здание!$Q$245:S$291)</f>
        <v>0</v>
      </c>
      <c r="H17" s="22"/>
      <c r="I17" s="94">
        <f t="shared" ref="I17:I18" ca="1" si="22">SUM(F17:H17)</f>
        <v>0</v>
      </c>
      <c r="J17" s="95">
        <f t="shared" ref="J17:J18" ca="1" si="23">I17/A17</f>
        <v>0</v>
      </c>
      <c r="K17" s="94">
        <f t="shared" ca="1" si="0"/>
        <v>0</v>
      </c>
      <c r="L17" s="94">
        <f t="shared" ref="L17:L18" ca="1" si="24">K17/A17</f>
        <v>0</v>
      </c>
      <c r="M17" s="163"/>
      <c r="N17" s="169">
        <v>0.7</v>
      </c>
      <c r="O17" s="166">
        <f t="shared" ca="1" si="7"/>
        <v>0</v>
      </c>
      <c r="Q17" s="123"/>
      <c r="R17" s="123">
        <f t="shared" si="21"/>
        <v>0</v>
      </c>
      <c r="S17" s="138"/>
      <c r="T17" s="124">
        <f t="shared" ca="1" si="13"/>
        <v>0</v>
      </c>
      <c r="U17" s="136"/>
    </row>
    <row r="18" spans="1:21" ht="16.5" hidden="1" customHeight="1" x14ac:dyDescent="0.25">
      <c r="A18" s="32">
        <v>12.7</v>
      </c>
      <c r="C18" s="267"/>
      <c r="D18" s="267"/>
      <c r="E18" s="117" t="s">
        <v>52</v>
      </c>
      <c r="F18" s="61">
        <f ca="1">SUMIF(Здание!$G$8:G$293,$E18,Здание!$Q$8:Q$293)</f>
        <v>0</v>
      </c>
      <c r="G18" s="61">
        <f>SUMIF(Здание!$G$245:H$291,$E18,Здание!$Q$245:S$291)</f>
        <v>0</v>
      </c>
      <c r="H18" s="22"/>
      <c r="I18" s="94">
        <f t="shared" ca="1" si="22"/>
        <v>0</v>
      </c>
      <c r="J18" s="95">
        <f t="shared" ca="1" si="23"/>
        <v>0</v>
      </c>
      <c r="K18" s="94">
        <f t="shared" ca="1" si="0"/>
        <v>0</v>
      </c>
      <c r="L18" s="94">
        <f t="shared" ca="1" si="24"/>
        <v>0</v>
      </c>
      <c r="M18" s="163"/>
      <c r="N18" s="169">
        <v>0.62</v>
      </c>
      <c r="O18" s="166">
        <f t="shared" ca="1" si="7"/>
        <v>0</v>
      </c>
      <c r="Q18" s="123"/>
      <c r="R18" s="123">
        <f t="shared" si="21"/>
        <v>0</v>
      </c>
      <c r="S18" s="138"/>
      <c r="T18" s="124">
        <f t="shared" ca="1" si="13"/>
        <v>0</v>
      </c>
      <c r="U18" s="136"/>
    </row>
    <row r="19" spans="1:21" ht="16.5" hidden="1" customHeight="1" x14ac:dyDescent="0.25">
      <c r="A19" s="32">
        <v>10.4</v>
      </c>
      <c r="C19" s="267"/>
      <c r="D19" s="267"/>
      <c r="E19" s="117" t="s">
        <v>103</v>
      </c>
      <c r="F19" s="61">
        <f ca="1">SUMIF(Здание!$G$8:G$293,$E19,Здание!$Q$8:Q$293)</f>
        <v>0</v>
      </c>
      <c r="G19" s="61">
        <f>SUMIF(Здание!$G$245:H$291,$E19,Здание!$Q$245:S$291)</f>
        <v>0</v>
      </c>
      <c r="H19" s="22"/>
      <c r="I19" s="94">
        <f ca="1">SUM(F19:H19)</f>
        <v>0</v>
      </c>
      <c r="J19" s="95">
        <f ca="1">I19/A19</f>
        <v>0</v>
      </c>
      <c r="K19" s="94">
        <f t="shared" ca="1" si="0"/>
        <v>0</v>
      </c>
      <c r="L19" s="94">
        <f ca="1">K19/A19</f>
        <v>0</v>
      </c>
      <c r="M19" s="163"/>
      <c r="N19" s="169">
        <v>0.47</v>
      </c>
      <c r="O19" s="166">
        <f t="shared" ca="1" si="7"/>
        <v>0</v>
      </c>
      <c r="Q19" s="123"/>
      <c r="R19" s="123">
        <f t="shared" si="21"/>
        <v>0</v>
      </c>
      <c r="S19" s="138"/>
      <c r="T19" s="124">
        <f t="shared" ca="1" si="13"/>
        <v>0</v>
      </c>
      <c r="U19" s="136"/>
    </row>
    <row r="20" spans="1:21" ht="16.5" hidden="1" customHeight="1" x14ac:dyDescent="0.25">
      <c r="A20" s="32"/>
      <c r="C20" s="267"/>
      <c r="D20" s="267"/>
      <c r="E20" s="117"/>
      <c r="F20" s="61"/>
      <c r="G20" s="61"/>
      <c r="H20" s="22"/>
      <c r="I20" s="94"/>
      <c r="J20" s="95"/>
      <c r="K20" s="94"/>
      <c r="L20" s="94"/>
      <c r="M20" s="163"/>
      <c r="N20" s="169"/>
      <c r="O20" s="166"/>
      <c r="Q20" s="123"/>
      <c r="R20" s="123"/>
      <c r="S20" s="138"/>
      <c r="T20" s="124"/>
      <c r="U20" s="136"/>
    </row>
    <row r="21" spans="1:21" ht="16.5" hidden="1" customHeight="1" x14ac:dyDescent="0.25">
      <c r="A21" s="32">
        <v>123.5</v>
      </c>
      <c r="C21" s="267"/>
      <c r="D21" s="267"/>
      <c r="E21" s="117" t="s">
        <v>308</v>
      </c>
      <c r="F21" s="61">
        <f ca="1">SUMIF(Здание!$G$8:G$293,$E21,Здание!$Q$8:Q$293)</f>
        <v>0</v>
      </c>
      <c r="G21" s="61">
        <f>SUMIF(Здание!$G$245:H$291,$E21,Здание!$Q$245:S$291)</f>
        <v>0</v>
      </c>
      <c r="H21" s="22"/>
      <c r="I21" s="94">
        <f ca="1">SUM(F21:H21)</f>
        <v>0</v>
      </c>
      <c r="J21" s="95">
        <f ca="1">I21/A21</f>
        <v>0</v>
      </c>
      <c r="K21" s="94">
        <f t="shared" ref="K21:K29" ca="1" si="25">I21*$C$260</f>
        <v>0</v>
      </c>
      <c r="L21" s="94">
        <f ca="1">K21/A21</f>
        <v>0</v>
      </c>
      <c r="M21" s="163"/>
      <c r="N21" s="169">
        <v>2.02</v>
      </c>
      <c r="O21" s="166">
        <f t="shared" ca="1" si="4"/>
        <v>0</v>
      </c>
      <c r="Q21" s="123"/>
      <c r="R21" s="123">
        <f>SUM(Q21:Q21)</f>
        <v>0</v>
      </c>
      <c r="S21" s="138">
        <f t="shared" si="2"/>
        <v>0</v>
      </c>
      <c r="T21" s="124">
        <f t="shared" ref="T21" ca="1" si="26">R21-K21</f>
        <v>0</v>
      </c>
      <c r="U21" s="136"/>
    </row>
    <row r="22" spans="1:21" ht="16.5" hidden="1" customHeight="1" x14ac:dyDescent="0.25">
      <c r="A22" s="32">
        <v>106.7</v>
      </c>
      <c r="C22" s="267"/>
      <c r="D22" s="267"/>
      <c r="E22" s="117" t="s">
        <v>210</v>
      </c>
      <c r="F22" s="61">
        <f ca="1">SUMIF(Здание!$G$8:G$293,$E22,Здание!$Q$8:Q$293)</f>
        <v>0</v>
      </c>
      <c r="G22" s="61">
        <f>SUMIF(Здание!$G$245:H$291,$E22,Здание!$Q$245:S$291)</f>
        <v>0</v>
      </c>
      <c r="H22" s="22"/>
      <c r="I22" s="94">
        <f t="shared" ref="I22:I35" ca="1" si="27">SUM(F22:H22)</f>
        <v>0</v>
      </c>
      <c r="J22" s="95">
        <f t="shared" ref="J22:J74" ca="1" si="28">I22/A22</f>
        <v>0</v>
      </c>
      <c r="K22" s="94">
        <f t="shared" ca="1" si="25"/>
        <v>0</v>
      </c>
      <c r="L22" s="94">
        <f t="shared" ref="L22:L43" ca="1" si="29">K22/A22</f>
        <v>0</v>
      </c>
      <c r="M22" s="163"/>
      <c r="N22" s="169">
        <v>1.92</v>
      </c>
      <c r="O22" s="166">
        <f t="shared" ca="1" si="4"/>
        <v>0</v>
      </c>
      <c r="Q22" s="123"/>
      <c r="R22" s="123">
        <f t="shared" si="1"/>
        <v>0</v>
      </c>
      <c r="S22" s="138">
        <f t="shared" si="2"/>
        <v>0</v>
      </c>
      <c r="T22" s="124">
        <f t="shared" ca="1" si="3"/>
        <v>0</v>
      </c>
      <c r="U22" s="137"/>
    </row>
    <row r="23" spans="1:21" ht="16.5" hidden="1" customHeight="1" x14ac:dyDescent="0.25">
      <c r="A23" s="32">
        <v>88.6</v>
      </c>
      <c r="C23" s="267"/>
      <c r="D23" s="267"/>
      <c r="E23" s="117" t="s">
        <v>263</v>
      </c>
      <c r="F23" s="61">
        <f ca="1">SUMIF(Здание!$G$8:G$293,$E23,Здание!$Q$8:Q$293)</f>
        <v>0</v>
      </c>
      <c r="G23" s="61">
        <f>SUMIF(Здание!$G$245:H$291,$E23,Здание!$Q$245:S$291)</f>
        <v>0</v>
      </c>
      <c r="H23" s="22"/>
      <c r="I23" s="94">
        <f ca="1">SUM(F23:H23)</f>
        <v>0</v>
      </c>
      <c r="J23" s="95">
        <f ca="1">I23/A23</f>
        <v>0</v>
      </c>
      <c r="K23" s="94">
        <f t="shared" ca="1" si="25"/>
        <v>0</v>
      </c>
      <c r="L23" s="94">
        <f ca="1">K23/A23</f>
        <v>0</v>
      </c>
      <c r="M23" s="163"/>
      <c r="N23" s="169">
        <v>1.91</v>
      </c>
      <c r="O23" s="166">
        <f t="shared" ca="1" si="4"/>
        <v>0</v>
      </c>
      <c r="Q23" s="123"/>
      <c r="R23" s="123">
        <f t="shared" si="1"/>
        <v>0</v>
      </c>
      <c r="S23" s="138">
        <f t="shared" si="2"/>
        <v>0</v>
      </c>
      <c r="T23" s="124">
        <f t="shared" ca="1" si="3"/>
        <v>0</v>
      </c>
      <c r="U23" s="136"/>
    </row>
    <row r="24" spans="1:21" ht="16.5" hidden="1" customHeight="1" x14ac:dyDescent="0.25">
      <c r="A24" s="32">
        <v>79.7</v>
      </c>
      <c r="C24" s="267"/>
      <c r="D24" s="267"/>
      <c r="E24" s="117" t="s">
        <v>175</v>
      </c>
      <c r="F24" s="61">
        <f ca="1">SUMIF(Здание!$G$8:G$293,$E24,Здание!$Q$8:Q$293)</f>
        <v>0</v>
      </c>
      <c r="G24" s="61">
        <f>SUMIF(Здание!$G$245:H$291,$E24,Здание!$Q$245:S$291)</f>
        <v>0</v>
      </c>
      <c r="H24" s="22"/>
      <c r="I24" s="94">
        <f t="shared" ref="I24" ca="1" si="30">SUM(F24:H24)</f>
        <v>0</v>
      </c>
      <c r="J24" s="95">
        <f t="shared" ref="J24:J26" ca="1" si="31">I24/A24</f>
        <v>0</v>
      </c>
      <c r="K24" s="94">
        <f t="shared" ca="1" si="25"/>
        <v>0</v>
      </c>
      <c r="L24" s="94">
        <f t="shared" ref="L24:L26" ca="1" si="32">K24/A24</f>
        <v>0</v>
      </c>
      <c r="M24" s="163"/>
      <c r="N24" s="169">
        <v>1.63</v>
      </c>
      <c r="O24" s="166">
        <f t="shared" ref="O24:O28" ca="1" si="33">N24*L24</f>
        <v>0</v>
      </c>
      <c r="Q24" s="123"/>
      <c r="R24" s="123">
        <f t="shared" ref="R24:R28" si="34">SUM(Q24:Q24)</f>
        <v>0</v>
      </c>
      <c r="S24" s="138">
        <f t="shared" si="2"/>
        <v>0</v>
      </c>
      <c r="T24" s="124">
        <f t="shared" ref="T24" ca="1" si="35">R24-I24</f>
        <v>0</v>
      </c>
      <c r="U24" s="136"/>
    </row>
    <row r="25" spans="1:21" ht="16.5" hidden="1" customHeight="1" x14ac:dyDescent="0.25">
      <c r="A25" s="32">
        <v>65.3</v>
      </c>
      <c r="C25" s="267"/>
      <c r="D25" s="267"/>
      <c r="E25" s="117" t="s">
        <v>341</v>
      </c>
      <c r="F25" s="61">
        <f ca="1">SUMIF(Здание!$G$8:G$293,$E25,Здание!$Q$8:Q$293)</f>
        <v>0</v>
      </c>
      <c r="G25" s="61">
        <f>SUMIF(Здание!$G$245:H$291,$E25,Здание!$Q$245:S$291)</f>
        <v>0</v>
      </c>
      <c r="H25" s="22"/>
      <c r="I25" s="94">
        <f t="shared" ref="I25" ca="1" si="36">SUM(F25:H25)</f>
        <v>0</v>
      </c>
      <c r="J25" s="95">
        <f t="shared" ca="1" si="31"/>
        <v>0</v>
      </c>
      <c r="K25" s="94">
        <f t="shared" ca="1" si="25"/>
        <v>0</v>
      </c>
      <c r="L25" s="94">
        <f t="shared" ca="1" si="32"/>
        <v>0</v>
      </c>
      <c r="M25" s="163"/>
      <c r="N25" s="169">
        <v>1.61</v>
      </c>
      <c r="O25" s="166">
        <f t="shared" ca="1" si="33"/>
        <v>0</v>
      </c>
      <c r="Q25" s="123"/>
      <c r="R25" s="123">
        <f t="shared" si="34"/>
        <v>0</v>
      </c>
      <c r="S25" s="138">
        <f t="shared" si="2"/>
        <v>0</v>
      </c>
      <c r="T25" s="124">
        <f ca="1">R25-I25</f>
        <v>0</v>
      </c>
      <c r="U25" s="136"/>
    </row>
    <row r="26" spans="1:21" ht="16.5" hidden="1" customHeight="1" x14ac:dyDescent="0.25">
      <c r="A26" s="32">
        <v>68.599999999999994</v>
      </c>
      <c r="C26" s="267"/>
      <c r="D26" s="267"/>
      <c r="E26" s="117" t="s">
        <v>266</v>
      </c>
      <c r="F26" s="61">
        <f ca="1">SUMIF(Здание!$G$8:G$293,$E26,Здание!$Q$8:Q$293)</f>
        <v>0</v>
      </c>
      <c r="G26" s="61">
        <f>SUMIF(Здание!$G$245:H$291,$E26,Здание!$Q$245:S$291)</f>
        <v>0</v>
      </c>
      <c r="H26" s="22"/>
      <c r="I26" s="94">
        <f t="shared" ref="I26" ca="1" si="37">SUM(F26:H26)</f>
        <v>0</v>
      </c>
      <c r="J26" s="95">
        <f t="shared" ca="1" si="31"/>
        <v>0</v>
      </c>
      <c r="K26" s="94">
        <f t="shared" ca="1" si="25"/>
        <v>0</v>
      </c>
      <c r="L26" s="94">
        <f t="shared" ca="1" si="32"/>
        <v>0</v>
      </c>
      <c r="M26" s="163"/>
      <c r="N26" s="169">
        <v>1.36</v>
      </c>
      <c r="O26" s="166">
        <f t="shared" ca="1" si="33"/>
        <v>0</v>
      </c>
      <c r="Q26" s="123"/>
      <c r="R26" s="123">
        <f t="shared" si="34"/>
        <v>0</v>
      </c>
      <c r="S26" s="138">
        <f t="shared" si="2"/>
        <v>0</v>
      </c>
      <c r="T26" s="124">
        <f t="shared" ref="T26:T28" ca="1" si="38">R26-I26</f>
        <v>0</v>
      </c>
      <c r="U26" s="136"/>
    </row>
    <row r="27" spans="1:21" ht="60.75" hidden="1" customHeight="1" x14ac:dyDescent="0.25">
      <c r="A27" s="32">
        <v>56.8</v>
      </c>
      <c r="C27" s="267"/>
      <c r="D27" s="267"/>
      <c r="E27" s="117" t="s">
        <v>294</v>
      </c>
      <c r="F27" s="61">
        <f ca="1">SUMIF(Здание!$G$8:G$293,$E27,Здание!$Q$8:Q$293)</f>
        <v>0</v>
      </c>
      <c r="G27" s="61">
        <f>SUMIF(Здание!$G$245:H$291,$E27,Здание!$Q$245:S$291)</f>
        <v>0</v>
      </c>
      <c r="H27" s="22"/>
      <c r="I27" s="94">
        <f ca="1">SUM(F27:H27)</f>
        <v>0</v>
      </c>
      <c r="J27" s="95">
        <f ca="1">I27/A27</f>
        <v>0</v>
      </c>
      <c r="K27" s="94">
        <f t="shared" ca="1" si="25"/>
        <v>0</v>
      </c>
      <c r="L27" s="94">
        <f ca="1">K27/A27</f>
        <v>0</v>
      </c>
      <c r="M27" s="163"/>
      <c r="N27" s="169">
        <v>1.34</v>
      </c>
      <c r="O27" s="166">
        <f t="shared" ca="1" si="33"/>
        <v>0</v>
      </c>
      <c r="Q27" s="123"/>
      <c r="R27" s="123">
        <f t="shared" si="34"/>
        <v>0</v>
      </c>
      <c r="S27" s="138">
        <f t="shared" si="2"/>
        <v>0</v>
      </c>
      <c r="T27" s="124">
        <f t="shared" ca="1" si="38"/>
        <v>0</v>
      </c>
      <c r="U27" s="136"/>
    </row>
    <row r="28" spans="1:21" ht="16.5" hidden="1" customHeight="1" x14ac:dyDescent="0.25">
      <c r="A28" s="32">
        <v>44.1</v>
      </c>
      <c r="C28" s="267"/>
      <c r="D28" s="267"/>
      <c r="E28" s="117" t="s">
        <v>389</v>
      </c>
      <c r="F28" s="61">
        <f ca="1">SUMIF(Здание!$G$8:G$293,$E28,Здание!$Q$8:Q$293)</f>
        <v>0</v>
      </c>
      <c r="G28" s="61">
        <f>SUMIF(Здание!$G$245:H$291,$E28,Здание!$Q$245:S$291)</f>
        <v>0</v>
      </c>
      <c r="H28" s="22"/>
      <c r="I28" s="94">
        <f t="shared" ref="I28" ca="1" si="39">SUM(F28:H28)</f>
        <v>0</v>
      </c>
      <c r="J28" s="95">
        <f t="shared" ref="J28" ca="1" si="40">I28/A28</f>
        <v>0</v>
      </c>
      <c r="K28" s="94">
        <f t="shared" ca="1" si="25"/>
        <v>0</v>
      </c>
      <c r="L28" s="94">
        <f t="shared" ref="L28" ca="1" si="41">K28/A28</f>
        <v>0</v>
      </c>
      <c r="M28" s="163"/>
      <c r="N28" s="169">
        <v>1.1499999999999999</v>
      </c>
      <c r="O28" s="166">
        <f t="shared" ca="1" si="33"/>
        <v>0</v>
      </c>
      <c r="Q28" s="123"/>
      <c r="R28" s="123">
        <f t="shared" si="34"/>
        <v>0</v>
      </c>
      <c r="S28" s="138"/>
      <c r="T28" s="124">
        <f t="shared" ca="1" si="38"/>
        <v>0</v>
      </c>
      <c r="U28" s="137"/>
    </row>
    <row r="29" spans="1:21" ht="16.5" hidden="1" customHeight="1" x14ac:dyDescent="0.25">
      <c r="A29" s="32">
        <v>30.6</v>
      </c>
      <c r="C29" s="267"/>
      <c r="D29" s="267"/>
      <c r="E29" s="117" t="s">
        <v>94</v>
      </c>
      <c r="F29" s="61">
        <f ca="1">SUMIF(Здание!$G$8:G$293,$E29,Здание!$Q$8:Q$293)</f>
        <v>0</v>
      </c>
      <c r="G29" s="61">
        <f>SUMIF(Здание!$G$245:H$291,$E29,Здание!$Q$245:S$291)</f>
        <v>0</v>
      </c>
      <c r="H29" s="22"/>
      <c r="I29" s="94">
        <f t="shared" ref="I29" ca="1" si="42">SUM(F29:H29)</f>
        <v>0</v>
      </c>
      <c r="J29" s="95">
        <f t="shared" ref="J29" ca="1" si="43">I29/A29</f>
        <v>0</v>
      </c>
      <c r="K29" s="94">
        <f t="shared" ca="1" si="25"/>
        <v>0</v>
      </c>
      <c r="L29" s="94">
        <f t="shared" ref="L29" ca="1" si="44">K29/A29</f>
        <v>0</v>
      </c>
      <c r="M29" s="163"/>
      <c r="N29" s="169">
        <v>0.95</v>
      </c>
      <c r="O29" s="166">
        <f t="shared" ref="O29" ca="1" si="45">N29*L29</f>
        <v>0</v>
      </c>
      <c r="Q29" s="123"/>
      <c r="R29" s="123">
        <f t="shared" ref="R29" si="46">SUM(Q29:Q29)</f>
        <v>0</v>
      </c>
      <c r="S29" s="138"/>
      <c r="T29" s="124">
        <f t="shared" ref="T29" ca="1" si="47">R29-I29</f>
        <v>0</v>
      </c>
      <c r="U29" s="137"/>
    </row>
    <row r="30" spans="1:21" ht="16.5" hidden="1" customHeight="1" x14ac:dyDescent="0.25">
      <c r="A30" s="32"/>
      <c r="C30" s="267"/>
      <c r="D30" s="267"/>
      <c r="E30" s="117"/>
      <c r="F30" s="61"/>
      <c r="G30" s="61"/>
      <c r="H30" s="22"/>
      <c r="I30" s="94"/>
      <c r="J30" s="95"/>
      <c r="K30" s="94"/>
      <c r="L30" s="94"/>
      <c r="M30" s="163"/>
      <c r="N30" s="169"/>
      <c r="O30" s="166"/>
      <c r="Q30" s="123"/>
      <c r="R30" s="123"/>
      <c r="S30" s="138"/>
      <c r="T30" s="124"/>
      <c r="U30" s="136"/>
    </row>
    <row r="31" spans="1:21" ht="16.5" hidden="1" customHeight="1" x14ac:dyDescent="0.25">
      <c r="A31" s="32">
        <v>146.6</v>
      </c>
      <c r="C31" s="267"/>
      <c r="D31" s="267"/>
      <c r="E31" s="117" t="s">
        <v>390</v>
      </c>
      <c r="F31" s="61">
        <f ca="1">SUMIF(Здание!$G$8:G$293,$E31,Здание!$Q$8:Q$293)</f>
        <v>0</v>
      </c>
      <c r="G31" s="61">
        <f>SUMIF(Здание!$G$245:H$291,$E31,Здание!$Q$245:S$291)</f>
        <v>0</v>
      </c>
      <c r="H31" s="22"/>
      <c r="I31" s="94">
        <f ca="1">SUM(F31:H31)</f>
        <v>0</v>
      </c>
      <c r="J31" s="95">
        <f ca="1">I31/A31</f>
        <v>0</v>
      </c>
      <c r="K31" s="94">
        <f t="shared" ref="K31:K38" ca="1" si="48">I31*$C$260</f>
        <v>0</v>
      </c>
      <c r="L31" s="94">
        <f ca="1">K31/A31</f>
        <v>0</v>
      </c>
      <c r="M31" s="163"/>
      <c r="N31" s="169">
        <v>2.3199999999999998</v>
      </c>
      <c r="O31" s="166">
        <f t="shared" ref="O31" ca="1" si="49">N31*L31</f>
        <v>0</v>
      </c>
      <c r="Q31" s="123"/>
      <c r="R31" s="123">
        <f t="shared" ref="R31" si="50">SUM(Q31:Q31)</f>
        <v>0</v>
      </c>
      <c r="S31" s="138">
        <f t="shared" ref="S31" si="51">R31/A31</f>
        <v>0</v>
      </c>
      <c r="T31" s="124">
        <f t="shared" ref="T31" ca="1" si="52">R31-K31</f>
        <v>0</v>
      </c>
      <c r="U31" s="136"/>
    </row>
    <row r="32" spans="1:21" ht="16.5" hidden="1" customHeight="1" x14ac:dyDescent="0.25">
      <c r="A32" s="32">
        <v>171.7</v>
      </c>
      <c r="C32" s="267"/>
      <c r="D32" s="267"/>
      <c r="E32" s="117" t="s">
        <v>228</v>
      </c>
      <c r="F32" s="61">
        <f ca="1">SUMIF(Здание!$G$8:G$293,$E32,Здание!$Q$8:Q$293)</f>
        <v>0</v>
      </c>
      <c r="G32" s="61">
        <f>SUMIF(Здание!$G$245:H$291,$E32,Здание!$Q$245:S$291)</f>
        <v>0</v>
      </c>
      <c r="H32" s="22"/>
      <c r="I32" s="94">
        <f ca="1">SUM(F32:H32)</f>
        <v>0</v>
      </c>
      <c r="J32" s="95">
        <f ca="1">I32/A32</f>
        <v>0</v>
      </c>
      <c r="K32" s="94">
        <f t="shared" ca="1" si="48"/>
        <v>0</v>
      </c>
      <c r="L32" s="94">
        <f ca="1">K32/A32</f>
        <v>0</v>
      </c>
      <c r="M32" s="163"/>
      <c r="N32" s="169">
        <v>2.34</v>
      </c>
      <c r="O32" s="166">
        <f t="shared" ref="O32:O34" ca="1" si="53">N32*L32</f>
        <v>0</v>
      </c>
      <c r="Q32" s="123"/>
      <c r="R32" s="123">
        <f t="shared" ref="R32:R34" si="54">SUM(Q32:Q32)</f>
        <v>0</v>
      </c>
      <c r="S32" s="138">
        <f t="shared" ref="S32:S34" si="55">R32/A32</f>
        <v>0</v>
      </c>
      <c r="T32" s="124">
        <f t="shared" ref="T32" ca="1" si="56">R32-K32</f>
        <v>0</v>
      </c>
      <c r="U32" s="136"/>
    </row>
    <row r="33" spans="1:21" ht="16.5" hidden="1" customHeight="1" x14ac:dyDescent="0.25">
      <c r="A33" s="32">
        <v>136.5</v>
      </c>
      <c r="C33" s="267"/>
      <c r="D33" s="267"/>
      <c r="E33" s="117" t="s">
        <v>391</v>
      </c>
      <c r="F33" s="61">
        <f ca="1">SUMIF(Здание!$G$8:G$293,$E33,Здание!$Q$8:Q$293)</f>
        <v>0</v>
      </c>
      <c r="G33" s="61">
        <f>SUMIF(Здание!$G$245:H$291,$E33,Здание!$Q$245:S$291)</f>
        <v>0</v>
      </c>
      <c r="H33" s="22"/>
      <c r="I33" s="94">
        <f t="shared" ref="I33" ca="1" si="57">SUM(F33:H33)</f>
        <v>0</v>
      </c>
      <c r="J33" s="95">
        <f t="shared" ref="J33:J34" ca="1" si="58">I33/A33</f>
        <v>0</v>
      </c>
      <c r="K33" s="94">
        <f t="shared" ca="1" si="48"/>
        <v>0</v>
      </c>
      <c r="L33" s="94">
        <f t="shared" ref="L33:L34" ca="1" si="59">K33/A33</f>
        <v>0</v>
      </c>
      <c r="M33" s="163"/>
      <c r="N33" s="169">
        <v>2.04</v>
      </c>
      <c r="O33" s="166">
        <f t="shared" ca="1" si="53"/>
        <v>0</v>
      </c>
      <c r="Q33" s="123"/>
      <c r="R33" s="123">
        <f t="shared" si="54"/>
        <v>0</v>
      </c>
      <c r="S33" s="138">
        <f t="shared" si="55"/>
        <v>0</v>
      </c>
      <c r="T33" s="124">
        <f t="shared" ref="T33:T34" ca="1" si="60">R33-I33</f>
        <v>0</v>
      </c>
      <c r="U33" s="136"/>
    </row>
    <row r="34" spans="1:21" ht="16.5" hidden="1" customHeight="1" x14ac:dyDescent="0.25">
      <c r="A34" s="32">
        <v>107.1</v>
      </c>
      <c r="C34" s="267"/>
      <c r="D34" s="267"/>
      <c r="E34" s="117" t="s">
        <v>392</v>
      </c>
      <c r="F34" s="61">
        <f ca="1">SUMIF(Здание!$G$8:G$293,$E34,Здание!$Q$8:Q$293)</f>
        <v>0</v>
      </c>
      <c r="G34" s="61">
        <f>SUMIF(Здание!$G$245:H$291,$E34,Здание!$Q$245:S$291)</f>
        <v>0</v>
      </c>
      <c r="H34" s="22"/>
      <c r="I34" s="94">
        <f t="shared" ref="I34" ca="1" si="61">SUM(F34:H34)</f>
        <v>0</v>
      </c>
      <c r="J34" s="95">
        <f t="shared" ca="1" si="58"/>
        <v>0</v>
      </c>
      <c r="K34" s="94">
        <f t="shared" ca="1" si="48"/>
        <v>0</v>
      </c>
      <c r="L34" s="94">
        <f t="shared" ca="1" si="59"/>
        <v>0</v>
      </c>
      <c r="M34" s="163"/>
      <c r="N34" s="169">
        <v>2.02</v>
      </c>
      <c r="O34" s="166">
        <f t="shared" ca="1" si="53"/>
        <v>0</v>
      </c>
      <c r="Q34" s="123"/>
      <c r="R34" s="123">
        <f t="shared" si="54"/>
        <v>0</v>
      </c>
      <c r="S34" s="138">
        <f t="shared" si="55"/>
        <v>0</v>
      </c>
      <c r="T34" s="124">
        <f t="shared" ca="1" si="60"/>
        <v>0</v>
      </c>
      <c r="U34" s="136"/>
    </row>
    <row r="35" spans="1:21" ht="16.5" hidden="1" customHeight="1" x14ac:dyDescent="0.25">
      <c r="A35" s="32">
        <v>94</v>
      </c>
      <c r="C35" s="267"/>
      <c r="D35" s="267"/>
      <c r="E35" s="117" t="s">
        <v>105</v>
      </c>
      <c r="F35" s="61">
        <f ca="1">SUMIF(Здание!$G$8:G$293,$E35,Здание!$Q$8:Q$293)</f>
        <v>0</v>
      </c>
      <c r="G35" s="61">
        <f>SUMIF(Здание!$G$245:H$291,$E35,Здание!$Q$245:S$291)</f>
        <v>0</v>
      </c>
      <c r="H35" s="22"/>
      <c r="I35" s="94">
        <f t="shared" ca="1" si="27"/>
        <v>0</v>
      </c>
      <c r="J35" s="95">
        <f t="shared" ca="1" si="28"/>
        <v>0</v>
      </c>
      <c r="K35" s="94">
        <f t="shared" ca="1" si="48"/>
        <v>0</v>
      </c>
      <c r="L35" s="94">
        <f t="shared" ca="1" si="29"/>
        <v>0</v>
      </c>
      <c r="M35" s="163"/>
      <c r="N35" s="169">
        <v>1.75</v>
      </c>
      <c r="O35" s="166">
        <f t="shared" ca="1" si="4"/>
        <v>0</v>
      </c>
      <c r="Q35" s="123"/>
      <c r="R35" s="123">
        <f t="shared" si="1"/>
        <v>0</v>
      </c>
      <c r="S35" s="138">
        <f t="shared" ref="S35:S37" si="62">R35/A35</f>
        <v>0</v>
      </c>
      <c r="T35" s="124">
        <f t="shared" ref="T35:T88" ca="1" si="63">R35-I35</f>
        <v>0</v>
      </c>
      <c r="U35" s="136"/>
    </row>
    <row r="36" spans="1:21" ht="16.5" hidden="1" customHeight="1" x14ac:dyDescent="0.25">
      <c r="A36" s="32">
        <v>87</v>
      </c>
      <c r="C36" s="267"/>
      <c r="D36" s="267"/>
      <c r="E36" s="117" t="s">
        <v>51</v>
      </c>
      <c r="F36" s="61">
        <f ca="1">SUMIF(Здание!$G$8:G$293,$E36,Здание!$Q$8:Q$293)</f>
        <v>0</v>
      </c>
      <c r="G36" s="61">
        <f>SUMIF(Здание!$G$245:H$291,$E36,Здание!$Q$245:S$291)</f>
        <v>0</v>
      </c>
      <c r="H36" s="22"/>
      <c r="I36" s="94">
        <f t="shared" ref="I36:I51" ca="1" si="64">SUM(F36:H36)</f>
        <v>0</v>
      </c>
      <c r="J36" s="95">
        <f t="shared" ca="1" si="28"/>
        <v>0</v>
      </c>
      <c r="K36" s="94">
        <f t="shared" ca="1" si="48"/>
        <v>0</v>
      </c>
      <c r="L36" s="94">
        <f t="shared" ca="1" si="29"/>
        <v>0</v>
      </c>
      <c r="M36" s="163"/>
      <c r="N36" s="169">
        <v>1.74</v>
      </c>
      <c r="O36" s="166">
        <f t="shared" ca="1" si="4"/>
        <v>0</v>
      </c>
      <c r="Q36" s="123"/>
      <c r="R36" s="123">
        <f t="shared" si="1"/>
        <v>0</v>
      </c>
      <c r="S36" s="138">
        <f t="shared" si="62"/>
        <v>0</v>
      </c>
      <c r="T36" s="124">
        <f t="shared" ca="1" si="63"/>
        <v>0</v>
      </c>
      <c r="U36" s="136"/>
    </row>
    <row r="37" spans="1:21" ht="16.5" hidden="1" customHeight="1" x14ac:dyDescent="0.25">
      <c r="A37" s="32">
        <v>62.6</v>
      </c>
      <c r="C37" s="267"/>
      <c r="D37" s="267"/>
      <c r="E37" s="117" t="s">
        <v>93</v>
      </c>
      <c r="F37" s="61">
        <f ca="1">SUMIF(Здание!$G$8:G$293,$E37,Здание!$Q$8:Q$293)</f>
        <v>0</v>
      </c>
      <c r="G37" s="61">
        <f>SUMIF(Здание!$G$245:H$291,$E37,Здание!$Q$245:S$291)</f>
        <v>0</v>
      </c>
      <c r="H37" s="22"/>
      <c r="I37" s="94">
        <f t="shared" ca="1" si="64"/>
        <v>0</v>
      </c>
      <c r="J37" s="95">
        <f t="shared" ca="1" si="28"/>
        <v>0</v>
      </c>
      <c r="K37" s="94">
        <f t="shared" ca="1" si="48"/>
        <v>0</v>
      </c>
      <c r="L37" s="94">
        <f t="shared" ca="1" si="29"/>
        <v>0</v>
      </c>
      <c r="M37" s="163"/>
      <c r="N37" s="169">
        <v>1.44</v>
      </c>
      <c r="O37" s="166">
        <f t="shared" ca="1" si="4"/>
        <v>0</v>
      </c>
      <c r="Q37" s="123"/>
      <c r="R37" s="123">
        <f t="shared" si="1"/>
        <v>0</v>
      </c>
      <c r="S37" s="138">
        <f t="shared" si="62"/>
        <v>0</v>
      </c>
      <c r="T37" s="124">
        <f t="shared" ca="1" si="63"/>
        <v>0</v>
      </c>
      <c r="U37" s="136"/>
    </row>
    <row r="38" spans="1:21" ht="16.5" hidden="1" customHeight="1" x14ac:dyDescent="0.25">
      <c r="A38" s="32">
        <v>72.400000000000006</v>
      </c>
      <c r="C38" s="267"/>
      <c r="D38" s="267"/>
      <c r="E38" s="117" t="s">
        <v>393</v>
      </c>
      <c r="F38" s="61">
        <f ca="1">SUMIF(Здание!$G$8:G$293,$E38,Здание!$Q$8:Q$293)</f>
        <v>0</v>
      </c>
      <c r="G38" s="61">
        <f>SUMIF(Здание!$G$245:H$291,$E38,Здание!$Q$245:S$291)</f>
        <v>0</v>
      </c>
      <c r="H38" s="22"/>
      <c r="I38" s="94">
        <f t="shared" ref="I38" ca="1" si="65">SUM(F38:H38)</f>
        <v>0</v>
      </c>
      <c r="J38" s="95">
        <f t="shared" ref="J38" ca="1" si="66">I38/A38</f>
        <v>0</v>
      </c>
      <c r="K38" s="94">
        <f t="shared" ca="1" si="48"/>
        <v>0</v>
      </c>
      <c r="L38" s="94">
        <f t="shared" ref="L38" ca="1" si="67">K38/A38</f>
        <v>0</v>
      </c>
      <c r="M38" s="163"/>
      <c r="N38" s="169">
        <v>1.45</v>
      </c>
      <c r="O38" s="166">
        <f t="shared" ref="O38" ca="1" si="68">N38*L38</f>
        <v>0</v>
      </c>
      <c r="Q38" s="123"/>
      <c r="R38" s="123">
        <f t="shared" ref="R38" si="69">SUM(Q38:Q38)</f>
        <v>0</v>
      </c>
      <c r="S38" s="138">
        <f t="shared" ref="S38" si="70">R38/A38</f>
        <v>0</v>
      </c>
      <c r="T38" s="124">
        <f t="shared" ref="T38" ca="1" si="71">R38-I38</f>
        <v>0</v>
      </c>
      <c r="U38" s="136"/>
    </row>
    <row r="39" spans="1:21" ht="16.5" hidden="1" customHeight="1" x14ac:dyDescent="0.25">
      <c r="A39" s="32"/>
      <c r="C39" s="267"/>
      <c r="D39" s="267"/>
      <c r="E39" s="117"/>
      <c r="F39" s="61"/>
      <c r="G39" s="61"/>
      <c r="H39" s="22"/>
      <c r="I39" s="94"/>
      <c r="J39" s="95"/>
      <c r="K39" s="94"/>
      <c r="L39" s="94"/>
      <c r="M39" s="163"/>
      <c r="N39" s="169"/>
      <c r="O39" s="166"/>
      <c r="Q39" s="123"/>
      <c r="R39" s="123"/>
      <c r="S39" s="138"/>
      <c r="T39" s="124"/>
      <c r="U39" s="136"/>
    </row>
    <row r="40" spans="1:21" ht="16.5" hidden="1" customHeight="1" x14ac:dyDescent="0.25">
      <c r="A40" s="32">
        <v>77.599999999999994</v>
      </c>
      <c r="C40" s="267"/>
      <c r="D40" s="267"/>
      <c r="E40" s="117" t="s">
        <v>395</v>
      </c>
      <c r="F40" s="61">
        <f ca="1">SUMIF(Здание!$G$8:G$293,$E40,Здание!$Q$8:Q$293)</f>
        <v>0</v>
      </c>
      <c r="G40" s="61">
        <f>SUMIF(Здание!$G$245:H$291,$E40,Здание!$Q$245:S$291)</f>
        <v>0</v>
      </c>
      <c r="H40" s="22"/>
      <c r="I40" s="94">
        <f t="shared" ref="I40:I41" ca="1" si="72">SUM(F40:H40)</f>
        <v>0</v>
      </c>
      <c r="J40" s="95">
        <f t="shared" ref="J40:J41" ca="1" si="73">I40/A40</f>
        <v>0</v>
      </c>
      <c r="K40" s="94">
        <f ca="1">I40*$C$260</f>
        <v>0</v>
      </c>
      <c r="L40" s="94">
        <f t="shared" ref="L40:L41" ca="1" si="74">K40/A40</f>
        <v>0</v>
      </c>
      <c r="M40" s="163"/>
      <c r="N40" s="169">
        <v>1.42</v>
      </c>
      <c r="O40" s="166">
        <f t="shared" ref="O40:O41" ca="1" si="75">N40*L40</f>
        <v>0</v>
      </c>
      <c r="Q40" s="123"/>
      <c r="R40" s="123">
        <f t="shared" ref="R40:R41" si="76">SUM(Q40:Q40)</f>
        <v>0</v>
      </c>
      <c r="S40" s="138"/>
      <c r="T40" s="124">
        <f t="shared" ref="T40:T41" ca="1" si="77">R40-I40</f>
        <v>0</v>
      </c>
      <c r="U40" s="136"/>
    </row>
    <row r="41" spans="1:21" ht="16.5" hidden="1" customHeight="1" x14ac:dyDescent="0.25">
      <c r="A41" s="32">
        <v>57.9</v>
      </c>
      <c r="C41" s="267"/>
      <c r="D41" s="267"/>
      <c r="E41" s="117" t="s">
        <v>396</v>
      </c>
      <c r="F41" s="61">
        <f ca="1">SUMIF(Здание!$G$8:G$293,$E41,Здание!$Q$8:Q$293)</f>
        <v>0</v>
      </c>
      <c r="G41" s="61">
        <f>SUMIF(Здание!$G$245:H$291,$E41,Здание!$Q$245:S$291)</f>
        <v>0</v>
      </c>
      <c r="H41" s="22"/>
      <c r="I41" s="94">
        <f t="shared" ca="1" si="72"/>
        <v>0</v>
      </c>
      <c r="J41" s="95">
        <f t="shared" ca="1" si="73"/>
        <v>0</v>
      </c>
      <c r="K41" s="94">
        <f ca="1">I41*$C$260</f>
        <v>0</v>
      </c>
      <c r="L41" s="94">
        <f t="shared" ca="1" si="74"/>
        <v>0</v>
      </c>
      <c r="M41" s="163"/>
      <c r="N41" s="169">
        <v>1.17</v>
      </c>
      <c r="O41" s="166">
        <f t="shared" ca="1" si="75"/>
        <v>0</v>
      </c>
      <c r="Q41" s="123"/>
      <c r="R41" s="123">
        <f t="shared" si="76"/>
        <v>0</v>
      </c>
      <c r="S41" s="138"/>
      <c r="T41" s="124">
        <f t="shared" ca="1" si="77"/>
        <v>0</v>
      </c>
      <c r="U41" s="136"/>
    </row>
    <row r="42" spans="1:21" ht="16.5" hidden="1" customHeight="1" x14ac:dyDescent="0.25">
      <c r="A42" s="32">
        <v>50.2</v>
      </c>
      <c r="C42" s="267"/>
      <c r="D42" s="267"/>
      <c r="E42" s="117" t="s">
        <v>269</v>
      </c>
      <c r="F42" s="61">
        <f ca="1">SUMIF(Здание!$G$8:G$293,$E42,Здание!$Q$8:Q$293)</f>
        <v>0</v>
      </c>
      <c r="G42" s="61">
        <f>SUMIF(Здание!$G$245:H$291,$E42,Здание!$Q$245:S$291)</f>
        <v>0</v>
      </c>
      <c r="H42" s="22"/>
      <c r="I42" s="94">
        <f t="shared" ref="I42" ca="1" si="78">SUM(F42:H42)</f>
        <v>0</v>
      </c>
      <c r="J42" s="95">
        <f t="shared" ref="J42" ca="1" si="79">I42/A42</f>
        <v>0</v>
      </c>
      <c r="K42" s="94">
        <f ca="1">I42*$C$260</f>
        <v>0</v>
      </c>
      <c r="L42" s="94">
        <f t="shared" ref="L42" ca="1" si="80">K42/A42</f>
        <v>0</v>
      </c>
      <c r="M42" s="163"/>
      <c r="N42" s="169">
        <v>1.05</v>
      </c>
      <c r="O42" s="166">
        <f t="shared" ca="1" si="4"/>
        <v>0</v>
      </c>
      <c r="Q42" s="123"/>
      <c r="R42" s="123">
        <f t="shared" ref="R42" si="81">SUM(Q42:Q42)</f>
        <v>0</v>
      </c>
      <c r="S42" s="138"/>
      <c r="T42" s="124">
        <f t="shared" ca="1" si="63"/>
        <v>0</v>
      </c>
      <c r="U42" s="136"/>
    </row>
    <row r="43" spans="1:21" ht="16.5" hidden="1" customHeight="1" x14ac:dyDescent="0.25">
      <c r="A43" s="32">
        <v>38.299999999999997</v>
      </c>
      <c r="C43" s="269"/>
      <c r="D43" s="269"/>
      <c r="E43" s="117" t="s">
        <v>335</v>
      </c>
      <c r="F43" s="61">
        <f ca="1">SUMIF(Здание!$G$8:G$293,$E43,Здание!$Q$8:Q$293)</f>
        <v>0</v>
      </c>
      <c r="G43" s="61">
        <f>SUMIF(Здание!$G$245:H$291,$E43,Здание!$Q$245:S$291)</f>
        <v>0</v>
      </c>
      <c r="H43" s="22"/>
      <c r="I43" s="94">
        <f t="shared" ca="1" si="64"/>
        <v>0</v>
      </c>
      <c r="J43" s="95">
        <f t="shared" ca="1" si="28"/>
        <v>0</v>
      </c>
      <c r="K43" s="94">
        <f ca="1">I43*$C$260</f>
        <v>0</v>
      </c>
      <c r="L43" s="94">
        <f t="shared" ca="1" si="29"/>
        <v>0</v>
      </c>
      <c r="M43" s="163"/>
      <c r="N43" s="169">
        <v>0.86</v>
      </c>
      <c r="O43" s="166">
        <f t="shared" ca="1" si="4"/>
        <v>0</v>
      </c>
      <c r="Q43" s="123"/>
      <c r="R43" s="123">
        <f t="shared" si="1"/>
        <v>0</v>
      </c>
      <c r="S43" s="138"/>
      <c r="T43" s="124">
        <f t="shared" ca="1" si="63"/>
        <v>0</v>
      </c>
      <c r="U43" s="136"/>
    </row>
    <row r="44" spans="1:21" ht="2.1" hidden="1" customHeight="1" x14ac:dyDescent="0.25">
      <c r="A44" s="32"/>
      <c r="C44" s="118"/>
      <c r="D44" s="135"/>
      <c r="E44" s="117"/>
      <c r="F44" s="41"/>
      <c r="G44" s="41"/>
      <c r="H44" s="22"/>
      <c r="I44" s="94"/>
      <c r="J44" s="95"/>
      <c r="K44" s="94"/>
      <c r="L44" s="94"/>
      <c r="M44" s="163"/>
      <c r="N44" s="169"/>
      <c r="O44" s="167"/>
      <c r="Q44" s="123"/>
      <c r="R44" s="123"/>
      <c r="S44" s="138"/>
      <c r="T44" s="124">
        <f t="shared" si="63"/>
        <v>0</v>
      </c>
      <c r="U44" s="136"/>
    </row>
    <row r="45" spans="1:21" ht="16.5" hidden="1" customHeight="1" x14ac:dyDescent="0.25">
      <c r="A45" s="32">
        <v>72.66</v>
      </c>
      <c r="C45" s="268" t="s">
        <v>18</v>
      </c>
      <c r="D45" s="268" t="s">
        <v>295</v>
      </c>
      <c r="E45" s="117" t="s">
        <v>120</v>
      </c>
      <c r="F45" s="61">
        <f ca="1">SUMIF(Здание!$G$8:G$293,$E45,Здание!$Q$8:Q$293)</f>
        <v>0</v>
      </c>
      <c r="G45" s="61">
        <f>SUMIF(Здание!$G$245:H$291,$E45,Здание!$Q$245:S$291)</f>
        <v>0</v>
      </c>
      <c r="H45" s="22"/>
      <c r="I45" s="94">
        <f t="shared" ref="I45" ca="1" si="82">SUM(F45:H45)</f>
        <v>0</v>
      </c>
      <c r="J45" s="95">
        <f t="shared" ref="J45" ca="1" si="83">I45/A45</f>
        <v>0</v>
      </c>
      <c r="K45" s="94">
        <f t="shared" ref="K45:K76" ca="1" si="84">I45*$C$260</f>
        <v>0</v>
      </c>
      <c r="L45" s="94">
        <f t="shared" ref="L45" ca="1" si="85">K45/A45</f>
        <v>0</v>
      </c>
      <c r="M45" s="163"/>
      <c r="N45" s="169">
        <v>1</v>
      </c>
      <c r="O45" s="166">
        <f t="shared" ref="O45" ca="1" si="86">N45*L45</f>
        <v>0</v>
      </c>
      <c r="Q45" s="123"/>
      <c r="R45" s="123">
        <f t="shared" ref="R45" si="87">SUM(Q45:Q45)</f>
        <v>0</v>
      </c>
      <c r="S45" s="138"/>
      <c r="T45" s="124">
        <f t="shared" ref="T45" ca="1" si="88">R45-I45</f>
        <v>0</v>
      </c>
      <c r="U45" s="136"/>
    </row>
    <row r="46" spans="1:21" ht="16.5" hidden="1" customHeight="1" x14ac:dyDescent="0.25">
      <c r="A46" s="32">
        <v>51.79</v>
      </c>
      <c r="C46" s="268"/>
      <c r="D46" s="268"/>
      <c r="E46" s="117" t="s">
        <v>121</v>
      </c>
      <c r="F46" s="61">
        <f ca="1">SUMIF(Здание!$G$8:G$293,$E46,Здание!$Q$8:Q$293)</f>
        <v>0</v>
      </c>
      <c r="G46" s="61">
        <f>SUMIF(Здание!$G$245:H$291,$E46,Здание!$Q$245:S$291)</f>
        <v>0</v>
      </c>
      <c r="H46" s="22"/>
      <c r="I46" s="94">
        <f t="shared" ca="1" si="64"/>
        <v>0</v>
      </c>
      <c r="J46" s="95">
        <f t="shared" ca="1" si="28"/>
        <v>0</v>
      </c>
      <c r="K46" s="94">
        <f t="shared" ca="1" si="84"/>
        <v>0</v>
      </c>
      <c r="L46" s="94">
        <f t="shared" ref="L46:L117" ca="1" si="89">K46/A46</f>
        <v>0</v>
      </c>
      <c r="M46" s="163"/>
      <c r="N46" s="169">
        <v>0.8</v>
      </c>
      <c r="O46" s="166">
        <f t="shared" ref="O46:O75" ca="1" si="90">N46*L46</f>
        <v>0</v>
      </c>
      <c r="Q46" s="123"/>
      <c r="R46" s="123">
        <f t="shared" ref="R46:R117" si="91">SUM(Q46:Q46)</f>
        <v>0</v>
      </c>
      <c r="S46" s="138"/>
      <c r="T46" s="124">
        <f t="shared" ca="1" si="63"/>
        <v>0</v>
      </c>
      <c r="U46" s="136"/>
    </row>
    <row r="47" spans="1:21" ht="16.5" hidden="1" customHeight="1" x14ac:dyDescent="0.25">
      <c r="A47" s="32">
        <v>50.68</v>
      </c>
      <c r="B47" s="10">
        <v>27.47</v>
      </c>
      <c r="C47" s="268"/>
      <c r="D47" s="268"/>
      <c r="E47" s="117" t="s">
        <v>206</v>
      </c>
      <c r="F47" s="61">
        <f ca="1">SUMIF(Здание!$G$8:G$293,$E47,Здание!$Q$8:Q$293)</f>
        <v>0</v>
      </c>
      <c r="G47" s="61">
        <f>SUMIF(Здание!$G$245:H$291,$E47,Здание!$Q$245:S$291)</f>
        <v>0</v>
      </c>
      <c r="H47" s="22"/>
      <c r="I47" s="94">
        <f t="shared" ref="I47" ca="1" si="92">SUM(F47:H47)</f>
        <v>0</v>
      </c>
      <c r="J47" s="95">
        <f t="shared" ref="J47" ca="1" si="93">I47/A47</f>
        <v>0</v>
      </c>
      <c r="K47" s="94">
        <f t="shared" ca="1" si="84"/>
        <v>0</v>
      </c>
      <c r="L47" s="94">
        <f t="shared" ref="L47" ca="1" si="94">K47/A47</f>
        <v>0</v>
      </c>
      <c r="M47" s="163"/>
      <c r="N47" s="169">
        <v>0.72</v>
      </c>
      <c r="O47" s="166">
        <f t="shared" ref="O47" ca="1" si="95">N47*L47</f>
        <v>0</v>
      </c>
      <c r="Q47" s="123"/>
      <c r="R47" s="123">
        <f t="shared" ref="R47" si="96">SUM(Q47:Q47)</f>
        <v>0</v>
      </c>
      <c r="S47" s="138"/>
      <c r="T47" s="124">
        <f t="shared" ref="T47" ca="1" si="97">R47-I47</f>
        <v>0</v>
      </c>
      <c r="U47" s="136"/>
    </row>
    <row r="48" spans="1:21" ht="16.5" hidden="1" customHeight="1" x14ac:dyDescent="0.25">
      <c r="A48" s="32">
        <v>41.48</v>
      </c>
      <c r="C48" s="268"/>
      <c r="D48" s="268"/>
      <c r="E48" s="117" t="s">
        <v>306</v>
      </c>
      <c r="F48" s="61">
        <f ca="1">SUMIF(Здание!$G$8:G$293,$E48,Здание!$Q$8:Q$293)</f>
        <v>0</v>
      </c>
      <c r="G48" s="61">
        <f>SUMIF(Здание!$G$245:H$291,$E48,Здание!$Q$245:S$291)</f>
        <v>0</v>
      </c>
      <c r="H48" s="22"/>
      <c r="I48" s="94">
        <f ca="1">SUM(F48:H48)</f>
        <v>0</v>
      </c>
      <c r="J48" s="95">
        <f t="shared" ca="1" si="28"/>
        <v>0</v>
      </c>
      <c r="K48" s="94">
        <f t="shared" ca="1" si="84"/>
        <v>0</v>
      </c>
      <c r="L48" s="94">
        <f t="shared" ca="1" si="89"/>
        <v>0</v>
      </c>
      <c r="M48" s="163"/>
      <c r="N48" s="169">
        <v>0.72</v>
      </c>
      <c r="O48" s="166">
        <f t="shared" ca="1" si="90"/>
        <v>0</v>
      </c>
      <c r="Q48" s="123"/>
      <c r="R48" s="123">
        <f>SUM(Q48:Q48)</f>
        <v>0</v>
      </c>
      <c r="S48" s="138"/>
      <c r="T48" s="124">
        <f t="shared" ca="1" si="63"/>
        <v>0</v>
      </c>
      <c r="U48" s="136"/>
    </row>
    <row r="49" spans="1:21" ht="16.5" hidden="1" customHeight="1" x14ac:dyDescent="0.25">
      <c r="A49" s="32">
        <v>24.52</v>
      </c>
      <c r="C49" s="268"/>
      <c r="D49" s="268"/>
      <c r="E49" s="117" t="s">
        <v>207</v>
      </c>
      <c r="F49" s="61">
        <f ca="1">SUMIF(Здание!$G$8:G$293,$E49,Здание!$Q$8:Q$293)</f>
        <v>0</v>
      </c>
      <c r="G49" s="61">
        <f>SUMIF(Здание!$G$245:H$291,$E49,Здание!$Q$245:S$291)</f>
        <v>0</v>
      </c>
      <c r="H49" s="22"/>
      <c r="I49" s="94">
        <f ca="1">SUM(F49:H49)</f>
        <v>0</v>
      </c>
      <c r="J49" s="95">
        <f t="shared" ca="1" si="28"/>
        <v>0</v>
      </c>
      <c r="K49" s="94">
        <f t="shared" ca="1" si="84"/>
        <v>0</v>
      </c>
      <c r="L49" s="94">
        <f ca="1">K49/A49</f>
        <v>0</v>
      </c>
      <c r="M49" s="163"/>
      <c r="N49" s="169">
        <v>0.56000000000000005</v>
      </c>
      <c r="O49" s="166">
        <f t="shared" ca="1" si="90"/>
        <v>0</v>
      </c>
      <c r="Q49" s="123"/>
      <c r="R49" s="123">
        <f t="shared" si="91"/>
        <v>0</v>
      </c>
      <c r="S49" s="138"/>
      <c r="T49" s="124">
        <f t="shared" ca="1" si="63"/>
        <v>0</v>
      </c>
      <c r="U49" s="136"/>
    </row>
    <row r="50" spans="1:21" ht="16.5" hidden="1" customHeight="1" x14ac:dyDescent="0.25">
      <c r="A50" s="32">
        <v>33.950000000000003</v>
      </c>
      <c r="C50" s="268"/>
      <c r="D50" s="268"/>
      <c r="E50" s="117" t="s">
        <v>230</v>
      </c>
      <c r="F50" s="61">
        <f ca="1">SUMIF(Здание!$G$8:G$293,$E50,Здание!$Q$8:Q$293)</f>
        <v>0</v>
      </c>
      <c r="G50" s="61">
        <f>SUMIF(Здание!$G$245:H$291,$E50,Здание!$Q$245:S$291)</f>
        <v>0</v>
      </c>
      <c r="H50" s="22"/>
      <c r="I50" s="94">
        <f ca="1">SUM(F50:H50)</f>
        <v>0</v>
      </c>
      <c r="J50" s="95">
        <f ca="1">I50/A50</f>
        <v>0</v>
      </c>
      <c r="K50" s="94">
        <f t="shared" ca="1" si="84"/>
        <v>0</v>
      </c>
      <c r="L50" s="94">
        <f ca="1">K50/A50</f>
        <v>0</v>
      </c>
      <c r="M50" s="163"/>
      <c r="N50" s="169">
        <v>0.6</v>
      </c>
      <c r="O50" s="166">
        <f t="shared" ca="1" si="90"/>
        <v>0</v>
      </c>
      <c r="Q50" s="123"/>
      <c r="R50" s="123">
        <f t="shared" si="91"/>
        <v>0</v>
      </c>
      <c r="S50" s="138"/>
      <c r="T50" s="124">
        <f t="shared" ca="1" si="63"/>
        <v>0</v>
      </c>
      <c r="U50" s="136"/>
    </row>
    <row r="51" spans="1:21" ht="16.5" hidden="1" customHeight="1" x14ac:dyDescent="0.25">
      <c r="A51" s="32">
        <v>23.83</v>
      </c>
      <c r="B51" s="10">
        <v>24.3</v>
      </c>
      <c r="C51" s="268"/>
      <c r="D51" s="268"/>
      <c r="E51" s="117" t="s">
        <v>70</v>
      </c>
      <c r="F51" s="61">
        <f ca="1">SUMIF(Здание!$G$8:G$293,$E51,Здание!$Q$8:Q$293)</f>
        <v>0</v>
      </c>
      <c r="G51" s="61">
        <f>SUMIF(Здание!$G$245:H$291,$E51,Здание!$Q$245:S$291)</f>
        <v>0</v>
      </c>
      <c r="H51" s="22"/>
      <c r="I51" s="94">
        <f t="shared" ca="1" si="64"/>
        <v>0</v>
      </c>
      <c r="J51" s="95">
        <f t="shared" ca="1" si="28"/>
        <v>0</v>
      </c>
      <c r="K51" s="94">
        <f t="shared" ca="1" si="84"/>
        <v>0</v>
      </c>
      <c r="L51" s="94">
        <f t="shared" ca="1" si="89"/>
        <v>0</v>
      </c>
      <c r="M51" s="163"/>
      <c r="N51" s="169">
        <v>0.64</v>
      </c>
      <c r="O51" s="166">
        <f t="shared" ca="1" si="90"/>
        <v>0</v>
      </c>
      <c r="Q51" s="123"/>
      <c r="R51" s="160">
        <f>S51*A51</f>
        <v>0</v>
      </c>
      <c r="S51" s="138"/>
      <c r="T51" s="124">
        <f t="shared" ca="1" si="63"/>
        <v>0</v>
      </c>
      <c r="U51" s="136"/>
    </row>
    <row r="52" spans="1:21" ht="16.5" hidden="1" customHeight="1" x14ac:dyDescent="0.25">
      <c r="A52" s="32">
        <v>28.29</v>
      </c>
      <c r="B52" s="10">
        <v>24.3</v>
      </c>
      <c r="C52" s="268"/>
      <c r="D52" s="268"/>
      <c r="E52" s="117" t="s">
        <v>342</v>
      </c>
      <c r="F52" s="61">
        <f ca="1">SUMIF(Здание!$G$8:G$293,$E52,Здание!$Q$8:Q$293)</f>
        <v>0</v>
      </c>
      <c r="G52" s="61">
        <f>SUMIF(Здание!$G$245:H$291,$E52,Здание!$Q$245:S$291)</f>
        <v>0</v>
      </c>
      <c r="H52" s="22"/>
      <c r="I52" s="94">
        <f t="shared" ref="I52" ca="1" si="98">SUM(F52:H52)</f>
        <v>0</v>
      </c>
      <c r="J52" s="95">
        <f t="shared" ref="J52" ca="1" si="99">I52/A52</f>
        <v>0</v>
      </c>
      <c r="K52" s="94">
        <f t="shared" ca="1" si="84"/>
        <v>0</v>
      </c>
      <c r="L52" s="94">
        <f t="shared" ref="L52" ca="1" si="100">K52/A52</f>
        <v>0</v>
      </c>
      <c r="M52" s="163"/>
      <c r="N52" s="169">
        <v>0.64</v>
      </c>
      <c r="O52" s="166">
        <f t="shared" ca="1" si="90"/>
        <v>0</v>
      </c>
      <c r="Q52" s="123"/>
      <c r="R52" s="123">
        <f t="shared" ref="R52" si="101">SUM(Q52:Q52)</f>
        <v>0</v>
      </c>
      <c r="S52" s="138"/>
      <c r="T52" s="124">
        <f t="shared" ca="1" si="63"/>
        <v>0</v>
      </c>
      <c r="U52" s="136"/>
    </row>
    <row r="53" spans="1:21" ht="16.5" hidden="1" customHeight="1" x14ac:dyDescent="0.25">
      <c r="A53" s="32">
        <v>23.52</v>
      </c>
      <c r="C53" s="268"/>
      <c r="D53" s="268"/>
      <c r="E53" s="117" t="s">
        <v>231</v>
      </c>
      <c r="F53" s="61">
        <f ca="1">SUMIF(Здание!$G$8:G$293,$E53,Здание!$Q$8:Q$293)</f>
        <v>0</v>
      </c>
      <c r="G53" s="61">
        <f>SUMIF(Здание!$G$245:H$291,$E53,Здание!$Q$245:S$291)</f>
        <v>0</v>
      </c>
      <c r="H53" s="62"/>
      <c r="I53" s="94">
        <f t="shared" ref="I53:I76" ca="1" si="102">SUM(F53:H53)</f>
        <v>0</v>
      </c>
      <c r="J53" s="95">
        <f t="shared" ca="1" si="28"/>
        <v>0</v>
      </c>
      <c r="K53" s="94">
        <f t="shared" ca="1" si="84"/>
        <v>0</v>
      </c>
      <c r="L53" s="94">
        <f ca="1">K53/A53</f>
        <v>0</v>
      </c>
      <c r="M53" s="163"/>
      <c r="N53" s="169">
        <v>0.48</v>
      </c>
      <c r="O53" s="166">
        <f t="shared" ca="1" si="90"/>
        <v>0</v>
      </c>
      <c r="Q53" s="123"/>
      <c r="R53" s="123">
        <f t="shared" si="91"/>
        <v>0</v>
      </c>
      <c r="S53" s="138"/>
      <c r="T53" s="124">
        <f t="shared" ca="1" si="63"/>
        <v>0</v>
      </c>
      <c r="U53" s="136"/>
    </row>
    <row r="54" spans="1:21" ht="16.5" hidden="1" customHeight="1" x14ac:dyDescent="0.25">
      <c r="A54" s="32">
        <v>71.63</v>
      </c>
      <c r="C54" s="268"/>
      <c r="D54" s="268"/>
      <c r="E54" s="117" t="s">
        <v>320</v>
      </c>
      <c r="F54" s="61">
        <f ca="1">SUMIF(Здание!$G$8:G$293,$E54,Здание!$Q$8:Q$293)</f>
        <v>0</v>
      </c>
      <c r="G54" s="61">
        <f>SUMIF(Здание!$G$245:H$291,$E54,Здание!$Q$245:S$291)</f>
        <v>0</v>
      </c>
      <c r="H54" s="22"/>
      <c r="I54" s="94">
        <f t="shared" ca="1" si="102"/>
        <v>0</v>
      </c>
      <c r="J54" s="95">
        <f t="shared" ca="1" si="28"/>
        <v>0</v>
      </c>
      <c r="K54" s="94">
        <f t="shared" ca="1" si="84"/>
        <v>0</v>
      </c>
      <c r="L54" s="94">
        <f ca="1">K54/A54</f>
        <v>0</v>
      </c>
      <c r="M54" s="163"/>
      <c r="N54" s="169">
        <v>1.2</v>
      </c>
      <c r="O54" s="166">
        <f t="shared" ca="1" si="90"/>
        <v>0</v>
      </c>
      <c r="Q54" s="123"/>
      <c r="R54" s="123">
        <f t="shared" si="91"/>
        <v>0</v>
      </c>
      <c r="S54" s="138"/>
      <c r="T54" s="124">
        <f t="shared" ca="1" si="63"/>
        <v>0</v>
      </c>
      <c r="U54" s="136"/>
    </row>
    <row r="55" spans="1:21" ht="16.5" hidden="1" customHeight="1" x14ac:dyDescent="0.25">
      <c r="A55" s="32">
        <v>46.51</v>
      </c>
      <c r="C55" s="268"/>
      <c r="D55" s="268"/>
      <c r="E55" s="117" t="s">
        <v>118</v>
      </c>
      <c r="F55" s="61">
        <f ca="1">SUMIF(Здание!$G$8:G$293,$E55,Здание!$Q$8:Q$293)</f>
        <v>0</v>
      </c>
      <c r="G55" s="61">
        <f>SUMIF(Здание!$G$245:H$291,$E55,Здание!$Q$245:S$291)</f>
        <v>0</v>
      </c>
      <c r="H55" s="22"/>
      <c r="I55" s="94">
        <f t="shared" ca="1" si="102"/>
        <v>0</v>
      </c>
      <c r="J55" s="95">
        <f t="shared" ca="1" si="28"/>
        <v>0</v>
      </c>
      <c r="K55" s="94">
        <f t="shared" ca="1" si="84"/>
        <v>0</v>
      </c>
      <c r="L55" s="94">
        <f t="shared" ca="1" si="89"/>
        <v>0</v>
      </c>
      <c r="M55" s="163"/>
      <c r="N55" s="169">
        <v>0.8</v>
      </c>
      <c r="O55" s="166">
        <f t="shared" ca="1" si="90"/>
        <v>0</v>
      </c>
      <c r="Q55" s="123"/>
      <c r="R55" s="123">
        <f t="shared" si="91"/>
        <v>0</v>
      </c>
      <c r="S55" s="138"/>
      <c r="T55" s="124">
        <f t="shared" ca="1" si="63"/>
        <v>0</v>
      </c>
      <c r="U55" s="136"/>
    </row>
    <row r="56" spans="1:21" ht="16.5" hidden="1" customHeight="1" x14ac:dyDescent="0.25">
      <c r="A56" s="32">
        <v>51.79</v>
      </c>
      <c r="C56" s="268"/>
      <c r="D56" s="268"/>
      <c r="E56" s="117" t="s">
        <v>119</v>
      </c>
      <c r="F56" s="61">
        <f ca="1">SUMIF(Здание!$G$8:G$293,$E56,Здание!$Q$8:Q$293)</f>
        <v>0</v>
      </c>
      <c r="G56" s="61">
        <f>SUMIF(Здание!$G$245:H$291,$E56,Здание!$Q$245:S$291)</f>
        <v>0</v>
      </c>
      <c r="H56" s="22"/>
      <c r="I56" s="94">
        <f t="shared" ca="1" si="102"/>
        <v>0</v>
      </c>
      <c r="J56" s="95">
        <f t="shared" ca="1" si="28"/>
        <v>0</v>
      </c>
      <c r="K56" s="94">
        <f t="shared" ca="1" si="84"/>
        <v>0</v>
      </c>
      <c r="L56" s="94">
        <f t="shared" ca="1" si="89"/>
        <v>0</v>
      </c>
      <c r="M56" s="163"/>
      <c r="N56" s="169">
        <v>0.8</v>
      </c>
      <c r="O56" s="166">
        <f t="shared" ca="1" si="90"/>
        <v>0</v>
      </c>
      <c r="Q56" s="123"/>
      <c r="R56" s="123">
        <f t="shared" si="91"/>
        <v>0</v>
      </c>
      <c r="S56" s="138"/>
      <c r="T56" s="124">
        <f t="shared" ca="1" si="63"/>
        <v>0</v>
      </c>
      <c r="U56" s="136"/>
    </row>
    <row r="57" spans="1:21" ht="16.5" hidden="1" customHeight="1" x14ac:dyDescent="0.25">
      <c r="A57" s="32">
        <v>56.96</v>
      </c>
      <c r="C57" s="268"/>
      <c r="D57" s="268"/>
      <c r="E57" s="117" t="s">
        <v>229</v>
      </c>
      <c r="F57" s="61">
        <f ca="1">SUMIF(Здание!$G$8:G$293,$E57,Здание!$Q$8:Q$293)</f>
        <v>0</v>
      </c>
      <c r="G57" s="61">
        <f>SUMIF(Здание!$G$245:H$291,$E57,Здание!$Q$245:S$291)</f>
        <v>0</v>
      </c>
      <c r="H57" s="22"/>
      <c r="I57" s="94">
        <f t="shared" ca="1" si="102"/>
        <v>0</v>
      </c>
      <c r="J57" s="95">
        <f ca="1">I57/A57</f>
        <v>0</v>
      </c>
      <c r="K57" s="94">
        <f t="shared" ca="1" si="84"/>
        <v>0</v>
      </c>
      <c r="L57" s="94">
        <f ca="1">K57/A57</f>
        <v>0</v>
      </c>
      <c r="M57" s="163"/>
      <c r="N57" s="169">
        <v>0.8</v>
      </c>
      <c r="O57" s="166">
        <f t="shared" ca="1" si="90"/>
        <v>0</v>
      </c>
      <c r="Q57" s="123"/>
      <c r="R57" s="123">
        <f t="shared" si="91"/>
        <v>0</v>
      </c>
      <c r="S57" s="138"/>
      <c r="T57" s="124">
        <f t="shared" ca="1" si="63"/>
        <v>0</v>
      </c>
      <c r="U57" s="136"/>
    </row>
    <row r="58" spans="1:21" ht="16.5" hidden="1" customHeight="1" x14ac:dyDescent="0.25">
      <c r="A58" s="32">
        <v>35.82</v>
      </c>
      <c r="C58" s="268"/>
      <c r="D58" s="268"/>
      <c r="E58" s="117" t="s">
        <v>219</v>
      </c>
      <c r="F58" s="61">
        <f ca="1">SUMIF(Здание!$G$8:G$293,$E58,Здание!$Q$8:Q$293)</f>
        <v>0</v>
      </c>
      <c r="G58" s="61">
        <f>SUMIF(Здание!$G$245:H$291,$E58,Здание!$Q$245:S$291)</f>
        <v>0</v>
      </c>
      <c r="H58" s="22"/>
      <c r="I58" s="94">
        <f t="shared" ca="1" si="102"/>
        <v>0</v>
      </c>
      <c r="J58" s="95">
        <f t="shared" ca="1" si="28"/>
        <v>0</v>
      </c>
      <c r="K58" s="94">
        <f t="shared" ca="1" si="84"/>
        <v>0</v>
      </c>
      <c r="L58" s="94">
        <f t="shared" ca="1" si="89"/>
        <v>0</v>
      </c>
      <c r="M58" s="163"/>
      <c r="N58" s="169">
        <v>0.8</v>
      </c>
      <c r="O58" s="166">
        <f t="shared" ca="1" si="90"/>
        <v>0</v>
      </c>
      <c r="Q58" s="123"/>
      <c r="R58" s="123">
        <f t="shared" si="91"/>
        <v>0</v>
      </c>
      <c r="S58" s="138"/>
      <c r="T58" s="124">
        <f t="shared" ca="1" si="63"/>
        <v>0</v>
      </c>
      <c r="U58" s="136"/>
    </row>
    <row r="59" spans="1:21" ht="16.5" hidden="1" customHeight="1" x14ac:dyDescent="0.25">
      <c r="A59" s="32">
        <v>41.48</v>
      </c>
      <c r="C59" s="268"/>
      <c r="D59" s="268"/>
      <c r="E59" s="117" t="s">
        <v>117</v>
      </c>
      <c r="F59" s="61">
        <f ca="1">SUMIF(Здание!$G$8:G$293,$E59,Здание!$Q$8:Q$293)</f>
        <v>0</v>
      </c>
      <c r="G59" s="61">
        <f>SUMIF(Здание!$G$245:H$291,$E59,Здание!$Q$245:S$291)</f>
        <v>0</v>
      </c>
      <c r="H59" s="22"/>
      <c r="I59" s="94">
        <f t="shared" ca="1" si="102"/>
        <v>0</v>
      </c>
      <c r="J59" s="95">
        <f t="shared" ca="1" si="28"/>
        <v>0</v>
      </c>
      <c r="K59" s="94">
        <f t="shared" ca="1" si="84"/>
        <v>0</v>
      </c>
      <c r="L59" s="94">
        <f t="shared" ca="1" si="89"/>
        <v>0</v>
      </c>
      <c r="M59" s="163"/>
      <c r="N59" s="169">
        <v>0.72</v>
      </c>
      <c r="O59" s="166">
        <f t="shared" ca="1" si="90"/>
        <v>0</v>
      </c>
      <c r="Q59" s="123"/>
      <c r="R59" s="123">
        <f t="shared" si="91"/>
        <v>0</v>
      </c>
      <c r="S59" s="138"/>
      <c r="T59" s="124">
        <f t="shared" ca="1" si="63"/>
        <v>0</v>
      </c>
      <c r="U59" s="136"/>
    </row>
    <row r="60" spans="1:21" ht="16.5" hidden="1" customHeight="1" x14ac:dyDescent="0.25">
      <c r="A60" s="32">
        <v>26.97</v>
      </c>
      <c r="C60" s="268"/>
      <c r="D60" s="268"/>
      <c r="E60" s="117" t="s">
        <v>211</v>
      </c>
      <c r="F60" s="61">
        <f ca="1">SUMIF(Здание!$G$8:G$293,$E60,Здание!$Q$8:Q$293)</f>
        <v>0</v>
      </c>
      <c r="G60" s="61">
        <f>SUMIF(Здание!$G$245:H$291,$E60,Здание!$Q$245:S$291)</f>
        <v>0</v>
      </c>
      <c r="H60" s="62"/>
      <c r="I60" s="94">
        <f t="shared" ca="1" si="102"/>
        <v>0</v>
      </c>
      <c r="J60" s="95">
        <f t="shared" ca="1" si="28"/>
        <v>0</v>
      </c>
      <c r="K60" s="94">
        <f t="shared" ca="1" si="84"/>
        <v>0</v>
      </c>
      <c r="L60" s="94">
        <f t="shared" ca="1" si="89"/>
        <v>0</v>
      </c>
      <c r="M60" s="163"/>
      <c r="N60" s="169">
        <v>0.72</v>
      </c>
      <c r="O60" s="166">
        <f t="shared" ca="1" si="90"/>
        <v>0</v>
      </c>
      <c r="Q60" s="123"/>
      <c r="R60" s="123">
        <f t="shared" si="91"/>
        <v>0</v>
      </c>
      <c r="S60" s="138"/>
      <c r="T60" s="124">
        <f t="shared" ca="1" si="63"/>
        <v>0</v>
      </c>
      <c r="U60" s="136"/>
    </row>
    <row r="61" spans="1:21" ht="16.5" hidden="1" customHeight="1" x14ac:dyDescent="0.25">
      <c r="A61" s="32">
        <v>32.049999999999997</v>
      </c>
      <c r="C61" s="268"/>
      <c r="D61" s="268"/>
      <c r="E61" s="117" t="s">
        <v>347</v>
      </c>
      <c r="F61" s="61">
        <f ca="1">SUMIF(Здание!$G$8:G$293,$E61,Здание!$Q$8:Q$293)</f>
        <v>0</v>
      </c>
      <c r="G61" s="61">
        <f>SUMIF(Здание!$G$245:H$291,$E61,Здание!$Q$245:S$291)</f>
        <v>0</v>
      </c>
      <c r="H61" s="22"/>
      <c r="I61" s="94">
        <f t="shared" ca="1" si="102"/>
        <v>0</v>
      </c>
      <c r="J61" s="95">
        <f t="shared" ca="1" si="28"/>
        <v>0</v>
      </c>
      <c r="K61" s="94">
        <f t="shared" ca="1" si="84"/>
        <v>0</v>
      </c>
      <c r="L61" s="94">
        <f t="shared" ca="1" si="89"/>
        <v>0</v>
      </c>
      <c r="M61" s="163"/>
      <c r="N61" s="169">
        <v>0.72</v>
      </c>
      <c r="O61" s="166">
        <f t="shared" ca="1" si="90"/>
        <v>0</v>
      </c>
      <c r="Q61" s="123"/>
      <c r="R61" s="123">
        <f t="shared" si="91"/>
        <v>0</v>
      </c>
      <c r="S61" s="138"/>
      <c r="T61" s="124">
        <f t="shared" ca="1" si="63"/>
        <v>0</v>
      </c>
      <c r="U61" s="136"/>
    </row>
    <row r="62" spans="1:21" ht="16.5" hidden="1" customHeight="1" x14ac:dyDescent="0.25">
      <c r="A62" s="32">
        <v>23.83</v>
      </c>
      <c r="C62" s="268"/>
      <c r="D62" s="268"/>
      <c r="E62" s="117" t="s">
        <v>212</v>
      </c>
      <c r="F62" s="61">
        <f ca="1">SUMIF(Здание!$G$8:G$293,$E62,Здание!$Q$8:Q$293)</f>
        <v>0</v>
      </c>
      <c r="G62" s="61">
        <f>SUMIF(Здание!$G$245:H$291,$E62,Здание!$Q$245:S$291)</f>
        <v>0</v>
      </c>
      <c r="H62" s="62"/>
      <c r="I62" s="94">
        <f t="shared" ca="1" si="102"/>
        <v>0</v>
      </c>
      <c r="J62" s="95">
        <f t="shared" ca="1" si="28"/>
        <v>0</v>
      </c>
      <c r="K62" s="94">
        <f t="shared" ca="1" si="84"/>
        <v>0</v>
      </c>
      <c r="L62" s="94">
        <f t="shared" ca="1" si="89"/>
        <v>0</v>
      </c>
      <c r="M62" s="163"/>
      <c r="N62" s="169">
        <v>0.64</v>
      </c>
      <c r="O62" s="166">
        <f t="shared" ca="1" si="90"/>
        <v>0</v>
      </c>
      <c r="Q62" s="123"/>
      <c r="R62" s="123">
        <f t="shared" si="91"/>
        <v>0</v>
      </c>
      <c r="S62" s="138"/>
      <c r="T62" s="124">
        <f t="shared" ca="1" si="63"/>
        <v>0</v>
      </c>
      <c r="U62" s="136"/>
    </row>
    <row r="63" spans="1:21" ht="16.5" hidden="1" customHeight="1" x14ac:dyDescent="0.25">
      <c r="A63" s="32">
        <v>36.46</v>
      </c>
      <c r="C63" s="268"/>
      <c r="D63" s="268"/>
      <c r="E63" s="117" t="s">
        <v>116</v>
      </c>
      <c r="F63" s="61">
        <f ca="1">SUMIF(Здание!$G$8:G$293,$E63,Здание!$Q$8:Q$293)</f>
        <v>0</v>
      </c>
      <c r="G63" s="61">
        <f>SUMIF(Здание!$G$245:H$291,$E63,Здание!$Q$245:S$291)</f>
        <v>0</v>
      </c>
      <c r="H63" s="22"/>
      <c r="I63" s="94">
        <f t="shared" ca="1" si="102"/>
        <v>0</v>
      </c>
      <c r="J63" s="95">
        <f t="shared" ca="1" si="28"/>
        <v>0</v>
      </c>
      <c r="K63" s="94">
        <f t="shared" ca="1" si="84"/>
        <v>0</v>
      </c>
      <c r="L63" s="94">
        <f t="shared" ca="1" si="89"/>
        <v>0</v>
      </c>
      <c r="M63" s="163"/>
      <c r="N63" s="169">
        <v>0.64</v>
      </c>
      <c r="O63" s="166">
        <f t="shared" ca="1" si="90"/>
        <v>0</v>
      </c>
      <c r="Q63" s="123"/>
      <c r="R63" s="123">
        <f t="shared" si="91"/>
        <v>0</v>
      </c>
      <c r="S63" s="138"/>
      <c r="T63" s="124">
        <f t="shared" ca="1" si="63"/>
        <v>0</v>
      </c>
      <c r="U63" s="136"/>
    </row>
    <row r="64" spans="1:21" ht="16.5" hidden="1" customHeight="1" x14ac:dyDescent="0.25">
      <c r="A64" s="32">
        <v>16.760000000000002</v>
      </c>
      <c r="B64" s="10">
        <v>17.079999999999998</v>
      </c>
      <c r="C64" s="268"/>
      <c r="D64" s="268"/>
      <c r="E64" s="117" t="s">
        <v>74</v>
      </c>
      <c r="F64" s="61">
        <f ca="1">SUMIF(Здание!$G$8:G$293,$E64,Здание!$Q$8:Q$293)</f>
        <v>0</v>
      </c>
      <c r="G64" s="61">
        <f>SUMIF(Здание!$G$245:H$291,$E64,Здание!$Q$245:S$291)</f>
        <v>0</v>
      </c>
      <c r="H64" s="22"/>
      <c r="I64" s="94">
        <f t="shared" ca="1" si="102"/>
        <v>0</v>
      </c>
      <c r="J64" s="95">
        <f t="shared" ca="1" si="28"/>
        <v>0</v>
      </c>
      <c r="K64" s="94">
        <f t="shared" ca="1" si="84"/>
        <v>0</v>
      </c>
      <c r="L64" s="94">
        <f t="shared" ca="1" si="89"/>
        <v>0</v>
      </c>
      <c r="M64" s="163"/>
      <c r="N64" s="169">
        <v>0.56000000000000005</v>
      </c>
      <c r="O64" s="166">
        <f t="shared" ca="1" si="90"/>
        <v>0</v>
      </c>
      <c r="Q64" s="123"/>
      <c r="R64" s="123">
        <f t="shared" si="91"/>
        <v>0</v>
      </c>
      <c r="S64" s="138"/>
      <c r="T64" s="124">
        <f t="shared" ca="1" si="63"/>
        <v>0</v>
      </c>
      <c r="U64" s="136"/>
    </row>
    <row r="65" spans="1:21" ht="16.5" hidden="1" customHeight="1" x14ac:dyDescent="0.25">
      <c r="A65" s="32">
        <v>20.69</v>
      </c>
      <c r="B65" s="10">
        <v>17.079999999999998</v>
      </c>
      <c r="C65" s="268"/>
      <c r="D65" s="268"/>
      <c r="E65" s="117" t="s">
        <v>176</v>
      </c>
      <c r="F65" s="61">
        <f ca="1">SUMIF(Здание!$G$8:G$293,$E65,Здание!$Q$8:Q$293)</f>
        <v>0</v>
      </c>
      <c r="G65" s="61">
        <f>SUMIF(Здание!$G$245:H$291,$E65,Здание!$Q$245:S$291)</f>
        <v>0</v>
      </c>
      <c r="H65" s="22"/>
      <c r="I65" s="94">
        <f t="shared" ca="1" si="102"/>
        <v>0</v>
      </c>
      <c r="J65" s="95">
        <f ca="1">I65/A65</f>
        <v>0</v>
      </c>
      <c r="K65" s="94">
        <f t="shared" ca="1" si="84"/>
        <v>0</v>
      </c>
      <c r="L65" s="94">
        <f ca="1">K65/A65</f>
        <v>0</v>
      </c>
      <c r="M65" s="163"/>
      <c r="N65" s="169">
        <v>0.56000000000000005</v>
      </c>
      <c r="O65" s="166">
        <f t="shared" ca="1" si="90"/>
        <v>0</v>
      </c>
      <c r="Q65" s="123"/>
      <c r="R65" s="160">
        <f>S65*A65</f>
        <v>0</v>
      </c>
      <c r="S65" s="138"/>
      <c r="T65" s="124">
        <f t="shared" ca="1" si="63"/>
        <v>0</v>
      </c>
      <c r="U65" s="136"/>
    </row>
    <row r="66" spans="1:21" ht="16.5" hidden="1" customHeight="1" x14ac:dyDescent="0.25">
      <c r="A66" s="32">
        <v>24.52</v>
      </c>
      <c r="B66" s="10">
        <v>17.079999999999998</v>
      </c>
      <c r="C66" s="268"/>
      <c r="D66" s="268"/>
      <c r="E66" s="117" t="s">
        <v>204</v>
      </c>
      <c r="F66" s="61">
        <f ca="1">SUMIF(Здание!$G$8:G$293,$E66,Здание!$Q$8:Q$293)</f>
        <v>0</v>
      </c>
      <c r="G66" s="61">
        <f>SUMIF(Здание!$G$245:H$291,$E66,Здание!$Q$245:S$291)</f>
        <v>0</v>
      </c>
      <c r="H66" s="22"/>
      <c r="I66" s="94">
        <f t="shared" ca="1" si="102"/>
        <v>0</v>
      </c>
      <c r="J66" s="95">
        <f ca="1">I66/A66</f>
        <v>0</v>
      </c>
      <c r="K66" s="94">
        <f t="shared" ca="1" si="84"/>
        <v>0</v>
      </c>
      <c r="L66" s="94">
        <f ca="1">K66/A66</f>
        <v>0</v>
      </c>
      <c r="M66" s="163"/>
      <c r="N66" s="169">
        <v>0.56000000000000005</v>
      </c>
      <c r="O66" s="166">
        <f t="shared" ca="1" si="90"/>
        <v>0</v>
      </c>
      <c r="Q66" s="123"/>
      <c r="R66" s="123">
        <f t="shared" si="91"/>
        <v>0</v>
      </c>
      <c r="S66" s="138"/>
      <c r="T66" s="124">
        <f t="shared" ca="1" si="63"/>
        <v>0</v>
      </c>
      <c r="U66" s="136"/>
    </row>
    <row r="67" spans="1:21" ht="16.5" hidden="1" customHeight="1" x14ac:dyDescent="0.25">
      <c r="A67" s="32">
        <v>27.91</v>
      </c>
      <c r="C67" s="268"/>
      <c r="D67" s="268"/>
      <c r="E67" s="117" t="s">
        <v>115</v>
      </c>
      <c r="F67" s="61">
        <f ca="1">SUMIF(Здание!$G$8:G$293,$E67,Здание!$Q$8:Q$293)</f>
        <v>0</v>
      </c>
      <c r="G67" s="61">
        <f>SUMIF(Здание!$G$245:H$291,$E67,Здание!$Q$245:S$291)</f>
        <v>0</v>
      </c>
      <c r="H67" s="22"/>
      <c r="I67" s="94">
        <f t="shared" ca="1" si="102"/>
        <v>0</v>
      </c>
      <c r="J67" s="95">
        <f t="shared" ca="1" si="28"/>
        <v>0</v>
      </c>
      <c r="K67" s="94">
        <f t="shared" ca="1" si="84"/>
        <v>0</v>
      </c>
      <c r="L67" s="94">
        <f t="shared" ca="1" si="89"/>
        <v>0</v>
      </c>
      <c r="M67" s="163"/>
      <c r="N67" s="169">
        <v>0.56000000000000005</v>
      </c>
      <c r="O67" s="166">
        <f t="shared" ca="1" si="90"/>
        <v>0</v>
      </c>
      <c r="Q67" s="123"/>
      <c r="R67" s="123">
        <f t="shared" si="91"/>
        <v>0</v>
      </c>
      <c r="S67" s="138"/>
      <c r="T67" s="124">
        <f t="shared" ca="1" si="63"/>
        <v>0</v>
      </c>
      <c r="U67" s="136"/>
    </row>
    <row r="68" spans="1:21" ht="16.5" hidden="1" customHeight="1" x14ac:dyDescent="0.25">
      <c r="A68" s="32">
        <v>31.48</v>
      </c>
      <c r="C68" s="268"/>
      <c r="D68" s="268"/>
      <c r="E68" s="117" t="s">
        <v>304</v>
      </c>
      <c r="F68" s="61">
        <f ca="1">SUMIF(Здание!$G$8:G$293,$E68,Здание!$Q$8:Q$293)</f>
        <v>0</v>
      </c>
      <c r="G68" s="61">
        <f>SUMIF(Здание!$G$245:H$291,$E68,Здание!$Q$245:S$291)</f>
        <v>0</v>
      </c>
      <c r="H68" s="22"/>
      <c r="I68" s="94">
        <f t="shared" ca="1" si="102"/>
        <v>0</v>
      </c>
      <c r="J68" s="95">
        <f ca="1">I68/A68</f>
        <v>0</v>
      </c>
      <c r="K68" s="94">
        <f t="shared" ca="1" si="84"/>
        <v>0</v>
      </c>
      <c r="L68" s="94">
        <f ca="1">K68/A68</f>
        <v>0</v>
      </c>
      <c r="M68" s="163"/>
      <c r="N68" s="169">
        <v>0.56000000000000005</v>
      </c>
      <c r="O68" s="166">
        <f t="shared" ca="1" si="90"/>
        <v>0</v>
      </c>
      <c r="Q68" s="123"/>
      <c r="R68" s="123">
        <f>SUM(Q68:Q68)</f>
        <v>0</v>
      </c>
      <c r="S68" s="138"/>
      <c r="T68" s="124">
        <f t="shared" ca="1" si="63"/>
        <v>0</v>
      </c>
      <c r="U68" s="136"/>
    </row>
    <row r="69" spans="1:21" ht="16.5" hidden="1" customHeight="1" x14ac:dyDescent="0.25">
      <c r="A69" s="32">
        <v>14.25</v>
      </c>
      <c r="B69" s="10">
        <v>14.57</v>
      </c>
      <c r="C69" s="268"/>
      <c r="D69" s="268"/>
      <c r="E69" s="117" t="s">
        <v>75</v>
      </c>
      <c r="F69" s="61">
        <f ca="1">SUMIF(Здание!$G$8:G$293,$E69,Здание!$Q$8:Q$293)</f>
        <v>0</v>
      </c>
      <c r="G69" s="61">
        <f>SUMIF(Здание!$G$245:H$291,$E69,Здание!$Q$245:S$291)</f>
        <v>0</v>
      </c>
      <c r="H69" s="22"/>
      <c r="I69" s="94">
        <f t="shared" ca="1" si="102"/>
        <v>0</v>
      </c>
      <c r="J69" s="95">
        <f t="shared" ca="1" si="28"/>
        <v>0</v>
      </c>
      <c r="K69" s="94">
        <f t="shared" ca="1" si="84"/>
        <v>0</v>
      </c>
      <c r="L69" s="94">
        <f t="shared" ca="1" si="89"/>
        <v>0</v>
      </c>
      <c r="M69" s="163"/>
      <c r="N69" s="169">
        <v>0.48</v>
      </c>
      <c r="O69" s="166">
        <f t="shared" ca="1" si="90"/>
        <v>0</v>
      </c>
      <c r="Q69" s="123"/>
      <c r="R69" s="123">
        <f t="shared" si="91"/>
        <v>0</v>
      </c>
      <c r="S69" s="138"/>
      <c r="T69" s="124">
        <f t="shared" ca="1" si="63"/>
        <v>0</v>
      </c>
      <c r="U69" s="136"/>
    </row>
    <row r="70" spans="1:21" ht="16.5" hidden="1" customHeight="1" x14ac:dyDescent="0.25">
      <c r="A70" s="32">
        <v>17.55</v>
      </c>
      <c r="C70" s="268"/>
      <c r="D70" s="268"/>
      <c r="E70" s="117" t="s">
        <v>113</v>
      </c>
      <c r="F70" s="61">
        <f ca="1">SUMIF(Здание!$G$8:G$293,$E70,Здание!$Q$8:Q$293)</f>
        <v>0</v>
      </c>
      <c r="G70" s="61">
        <f>SUMIF(Здание!$G$245:H$291,$E70,Здание!$Q$245:S$291)</f>
        <v>0</v>
      </c>
      <c r="H70" s="22"/>
      <c r="I70" s="94">
        <f t="shared" ca="1" si="102"/>
        <v>0</v>
      </c>
      <c r="J70" s="95">
        <f t="shared" ca="1" si="28"/>
        <v>0</v>
      </c>
      <c r="K70" s="94">
        <f t="shared" ca="1" si="84"/>
        <v>0</v>
      </c>
      <c r="L70" s="94">
        <f t="shared" ca="1" si="89"/>
        <v>0</v>
      </c>
      <c r="M70" s="163"/>
      <c r="N70" s="169">
        <v>0.48</v>
      </c>
      <c r="O70" s="166">
        <f t="shared" ca="1" si="90"/>
        <v>0</v>
      </c>
      <c r="Q70" s="123"/>
      <c r="R70" s="123">
        <f t="shared" si="91"/>
        <v>0</v>
      </c>
      <c r="S70" s="138"/>
      <c r="T70" s="124">
        <f t="shared" ca="1" si="63"/>
        <v>0</v>
      </c>
      <c r="U70" s="136"/>
    </row>
    <row r="71" spans="1:21" ht="16.5" hidden="1" customHeight="1" x14ac:dyDescent="0.25">
      <c r="A71" s="32">
        <v>20.75</v>
      </c>
      <c r="C71" s="268"/>
      <c r="D71" s="268"/>
      <c r="E71" s="117" t="s">
        <v>114</v>
      </c>
      <c r="F71" s="61">
        <f ca="1">SUMIF(Здание!$G$8:G$293,$E71,Здание!$Q$8:Q$293)</f>
        <v>0</v>
      </c>
      <c r="G71" s="61">
        <f>SUMIF(Здание!$G$245:H$291,$E71,Здание!$Q$245:S$291)</f>
        <v>0</v>
      </c>
      <c r="H71" s="22"/>
      <c r="I71" s="94">
        <f t="shared" ca="1" si="102"/>
        <v>0</v>
      </c>
      <c r="J71" s="95">
        <f t="shared" ca="1" si="28"/>
        <v>0</v>
      </c>
      <c r="K71" s="94">
        <f t="shared" ca="1" si="84"/>
        <v>0</v>
      </c>
      <c r="L71" s="94">
        <f t="shared" ca="1" si="89"/>
        <v>0</v>
      </c>
      <c r="M71" s="163"/>
      <c r="N71" s="169">
        <v>0.48</v>
      </c>
      <c r="O71" s="166">
        <f t="shared" ca="1" si="90"/>
        <v>0</v>
      </c>
      <c r="Q71" s="123"/>
      <c r="R71" s="123">
        <f t="shared" si="91"/>
        <v>0</v>
      </c>
      <c r="S71" s="138"/>
      <c r="T71" s="124">
        <f t="shared" ca="1" si="63"/>
        <v>0</v>
      </c>
      <c r="U71" s="136"/>
    </row>
    <row r="72" spans="1:21" ht="16.5" hidden="1" customHeight="1" x14ac:dyDescent="0.25">
      <c r="A72" s="32">
        <v>14.41</v>
      </c>
      <c r="C72" s="268"/>
      <c r="D72" s="268"/>
      <c r="E72" s="117" t="s">
        <v>208</v>
      </c>
      <c r="F72" s="61">
        <f ca="1">SUMIF(Здание!$G$8:G$293,$E72,Здание!$Q$8:Q$293)</f>
        <v>0</v>
      </c>
      <c r="G72" s="61">
        <f>SUMIF(Здание!$G$245:H$291,$E72,Здание!$Q$245:S$291)</f>
        <v>0</v>
      </c>
      <c r="H72" s="62"/>
      <c r="I72" s="94">
        <f t="shared" ca="1" si="102"/>
        <v>0</v>
      </c>
      <c r="J72" s="95">
        <f t="shared" ca="1" si="28"/>
        <v>0</v>
      </c>
      <c r="K72" s="94">
        <f t="shared" ca="1" si="84"/>
        <v>0</v>
      </c>
      <c r="L72" s="94">
        <f t="shared" ca="1" si="89"/>
        <v>0</v>
      </c>
      <c r="M72" s="163"/>
      <c r="N72" s="169">
        <v>0.4</v>
      </c>
      <c r="O72" s="166">
        <f t="shared" ca="1" si="90"/>
        <v>0</v>
      </c>
      <c r="Q72" s="123"/>
      <c r="R72" s="123">
        <f t="shared" si="91"/>
        <v>0</v>
      </c>
      <c r="S72" s="138"/>
      <c r="T72" s="124">
        <f t="shared" ca="1" si="63"/>
        <v>0</v>
      </c>
      <c r="U72" s="136"/>
    </row>
    <row r="73" spans="1:21" ht="16.5" hidden="1" customHeight="1" x14ac:dyDescent="0.25">
      <c r="A73" s="32">
        <v>12.84</v>
      </c>
      <c r="C73" s="268"/>
      <c r="D73" s="268"/>
      <c r="E73" s="117" t="s">
        <v>108</v>
      </c>
      <c r="F73" s="61">
        <f ca="1">SUMIF(Здание!$G$8:G$293,$E73,Здание!$Q$8:Q$293)</f>
        <v>0</v>
      </c>
      <c r="G73" s="61">
        <f>SUMIF(Здание!$G$245:H$291,$E73,Здание!$Q$245:S$291)</f>
        <v>0</v>
      </c>
      <c r="H73" s="22"/>
      <c r="I73" s="94">
        <f t="shared" ca="1" si="102"/>
        <v>0</v>
      </c>
      <c r="J73" s="95">
        <f t="shared" ca="1" si="28"/>
        <v>0</v>
      </c>
      <c r="K73" s="94">
        <f t="shared" ca="1" si="84"/>
        <v>0</v>
      </c>
      <c r="L73" s="94">
        <f t="shared" ca="1" si="89"/>
        <v>0</v>
      </c>
      <c r="M73" s="163"/>
      <c r="N73" s="169">
        <v>0.36</v>
      </c>
      <c r="O73" s="166">
        <f t="shared" ca="1" si="90"/>
        <v>0</v>
      </c>
      <c r="Q73" s="123"/>
      <c r="R73" s="123">
        <f t="shared" si="91"/>
        <v>0</v>
      </c>
      <c r="S73" s="138"/>
      <c r="T73" s="124">
        <f t="shared" ca="1" si="63"/>
        <v>0</v>
      </c>
      <c r="U73" s="136"/>
    </row>
    <row r="74" spans="1:21" ht="16.5" hidden="1" customHeight="1" x14ac:dyDescent="0.25">
      <c r="A74" s="32">
        <v>11.27</v>
      </c>
      <c r="C74" s="268"/>
      <c r="D74" s="268"/>
      <c r="E74" s="117" t="s">
        <v>107</v>
      </c>
      <c r="F74" s="61">
        <f ca="1">SUMIF(Здание!$G$8:G$293,$E74,Здание!$Q$8:Q$293)</f>
        <v>0</v>
      </c>
      <c r="G74" s="61">
        <f>SUMIF(Здание!$G$245:H$291,$E74,Здание!$Q$245:S$291)</f>
        <v>0</v>
      </c>
      <c r="H74" s="22"/>
      <c r="I74" s="94">
        <f t="shared" ca="1" si="102"/>
        <v>0</v>
      </c>
      <c r="J74" s="95">
        <f t="shared" ca="1" si="28"/>
        <v>0</v>
      </c>
      <c r="K74" s="94">
        <f t="shared" ca="1" si="84"/>
        <v>0</v>
      </c>
      <c r="L74" s="94">
        <f ca="1">K74/A74</f>
        <v>0</v>
      </c>
      <c r="M74" s="163"/>
      <c r="N74" s="169">
        <v>0.32</v>
      </c>
      <c r="O74" s="166">
        <f t="shared" ca="1" si="90"/>
        <v>0</v>
      </c>
      <c r="Q74" s="123"/>
      <c r="R74" s="123">
        <f t="shared" si="91"/>
        <v>0</v>
      </c>
      <c r="S74" s="138"/>
      <c r="T74" s="124">
        <f t="shared" ca="1" si="63"/>
        <v>0</v>
      </c>
      <c r="U74" s="136"/>
    </row>
    <row r="75" spans="1:21" ht="16.5" hidden="1" customHeight="1" x14ac:dyDescent="0.25">
      <c r="A75" s="32">
        <v>9.2200000000000006</v>
      </c>
      <c r="C75" s="268"/>
      <c r="D75" s="268"/>
      <c r="E75" s="117" t="s">
        <v>213</v>
      </c>
      <c r="F75" s="61">
        <f ca="1">SUMIF(Здание!$G$8:G$293,$E75,Здание!$Q$8:Q$293)</f>
        <v>0</v>
      </c>
      <c r="G75" s="61">
        <f>SUMIF(Здание!$G$245:H$291,$E75,Здание!$Q$245:S$291)</f>
        <v>0</v>
      </c>
      <c r="H75" s="62"/>
      <c r="I75" s="94">
        <f t="shared" ca="1" si="102"/>
        <v>0</v>
      </c>
      <c r="J75" s="95">
        <f ca="1">I75/A75</f>
        <v>0</v>
      </c>
      <c r="K75" s="94">
        <f t="shared" ca="1" si="84"/>
        <v>0</v>
      </c>
      <c r="L75" s="94">
        <f ca="1">K75/A75</f>
        <v>0</v>
      </c>
      <c r="M75" s="163"/>
      <c r="N75" s="169">
        <v>0.32</v>
      </c>
      <c r="O75" s="166">
        <f t="shared" ca="1" si="90"/>
        <v>0</v>
      </c>
      <c r="Q75" s="123"/>
      <c r="R75" s="123">
        <f t="shared" si="91"/>
        <v>0</v>
      </c>
      <c r="S75" s="138"/>
      <c r="T75" s="124">
        <f t="shared" ca="1" si="63"/>
        <v>0</v>
      </c>
      <c r="U75" s="136"/>
    </row>
    <row r="76" spans="1:21" ht="16.5" hidden="1" customHeight="1" x14ac:dyDescent="0.25">
      <c r="A76" s="32">
        <v>5.19</v>
      </c>
      <c r="C76" s="268"/>
      <c r="D76" s="268"/>
      <c r="E76" s="117" t="s">
        <v>214</v>
      </c>
      <c r="F76" s="61">
        <f ca="1">SUMIF(Здание!$G$8:G$293,$E76,Здание!$Q$8:Q$293)</f>
        <v>0</v>
      </c>
      <c r="G76" s="61">
        <f>SUMIF(Здание!$G$245:H$291,$E76,Здание!$Q$245:S$291)</f>
        <v>0</v>
      </c>
      <c r="H76" s="62"/>
      <c r="I76" s="94">
        <f t="shared" ca="1" si="102"/>
        <v>0</v>
      </c>
      <c r="J76" s="95">
        <f ca="1">I76/A76</f>
        <v>0</v>
      </c>
      <c r="K76" s="94">
        <f t="shared" ca="1" si="84"/>
        <v>0</v>
      </c>
      <c r="L76" s="94">
        <f ca="1">K76/A76</f>
        <v>0</v>
      </c>
      <c r="M76" s="163"/>
      <c r="N76" s="169">
        <v>0.24</v>
      </c>
      <c r="O76" s="166">
        <f ca="1">N76*L76</f>
        <v>0</v>
      </c>
      <c r="Q76" s="123"/>
      <c r="R76" s="123">
        <f t="shared" si="91"/>
        <v>0</v>
      </c>
      <c r="S76" s="138"/>
      <c r="T76" s="124">
        <f t="shared" ca="1" si="63"/>
        <v>0</v>
      </c>
      <c r="U76" s="136"/>
    </row>
    <row r="77" spans="1:21" ht="2.1" hidden="1" customHeight="1" x14ac:dyDescent="0.25">
      <c r="A77" s="32"/>
      <c r="C77" s="268"/>
      <c r="D77" s="266" t="s">
        <v>289</v>
      </c>
      <c r="E77" s="117"/>
      <c r="F77" s="61"/>
      <c r="G77" s="61"/>
      <c r="H77" s="22"/>
      <c r="I77" s="94"/>
      <c r="J77" s="95"/>
      <c r="K77" s="94"/>
      <c r="L77" s="94"/>
      <c r="M77" s="163"/>
      <c r="N77" s="169"/>
      <c r="O77" s="167"/>
      <c r="Q77" s="123"/>
      <c r="R77" s="123">
        <f t="shared" si="91"/>
        <v>0</v>
      </c>
      <c r="S77" s="138"/>
      <c r="T77" s="124">
        <f t="shared" si="63"/>
        <v>0</v>
      </c>
      <c r="U77" s="136"/>
    </row>
    <row r="78" spans="1:21" ht="16.5" hidden="1" customHeight="1" x14ac:dyDescent="0.25">
      <c r="A78" s="32">
        <v>59.07</v>
      </c>
      <c r="C78" s="268"/>
      <c r="D78" s="267"/>
      <c r="E78" s="117" t="s">
        <v>297</v>
      </c>
      <c r="F78" s="61">
        <f ca="1">SUMIF(Здание!$G$8:G$293,$E78,Здание!$Q$8:Q$293)</f>
        <v>0</v>
      </c>
      <c r="G78" s="61">
        <f>SUMIF(Здание!$G$245:H$291,$E78,Здание!$Q$245:S$291)</f>
        <v>0</v>
      </c>
      <c r="H78" s="22"/>
      <c r="I78" s="94">
        <f t="shared" ref="I78:I84" ca="1" si="103">SUM(F78:H78)</f>
        <v>0</v>
      </c>
      <c r="J78" s="95">
        <f t="shared" ref="J78:J84" ca="1" si="104">I78/A78</f>
        <v>0</v>
      </c>
      <c r="K78" s="94">
        <f t="shared" ref="K78:K109" ca="1" si="105">I78*$C$260</f>
        <v>0</v>
      </c>
      <c r="L78" s="94">
        <f t="shared" ref="L78:L84" ca="1" si="106">K78/A78</f>
        <v>0</v>
      </c>
      <c r="M78" s="163"/>
      <c r="N78" s="169">
        <v>1</v>
      </c>
      <c r="O78" s="166">
        <f t="shared" ref="O78:O141" ca="1" si="107">N78*L78</f>
        <v>0</v>
      </c>
      <c r="Q78" s="123"/>
      <c r="R78" s="123">
        <f t="shared" si="91"/>
        <v>0</v>
      </c>
      <c r="S78" s="138"/>
      <c r="T78" s="124">
        <f t="shared" ca="1" si="63"/>
        <v>0</v>
      </c>
      <c r="U78" s="136"/>
    </row>
    <row r="79" spans="1:21" ht="16.5" hidden="1" customHeight="1" x14ac:dyDescent="0.25">
      <c r="A79" s="32">
        <v>46.51</v>
      </c>
      <c r="C79" s="268"/>
      <c r="D79" s="267"/>
      <c r="E79" s="117" t="s">
        <v>305</v>
      </c>
      <c r="F79" s="61">
        <f ca="1">SUMIF(Здание!$G$8:G$293,$E79,Здание!$Q$8:Q$293)</f>
        <v>0</v>
      </c>
      <c r="G79" s="61">
        <f>SUMIF(Здание!$G$245:H$291,$E79,Здание!$Q$245:S$291)</f>
        <v>0</v>
      </c>
      <c r="H79" s="22"/>
      <c r="I79" s="94">
        <f ca="1">SUM(F79:H79)</f>
        <v>0</v>
      </c>
      <c r="J79" s="95">
        <f ca="1">I79/A79</f>
        <v>0</v>
      </c>
      <c r="K79" s="94">
        <f t="shared" ca="1" si="105"/>
        <v>0</v>
      </c>
      <c r="L79" s="94">
        <f ca="1">K79/A79</f>
        <v>0</v>
      </c>
      <c r="M79" s="163"/>
      <c r="N79" s="169">
        <v>0.8</v>
      </c>
      <c r="O79" s="166">
        <f t="shared" ca="1" si="107"/>
        <v>0</v>
      </c>
      <c r="Q79" s="123"/>
      <c r="R79" s="123">
        <f>SUM(Q79:Q79)</f>
        <v>0</v>
      </c>
      <c r="S79" s="138"/>
      <c r="T79" s="124">
        <f t="shared" ca="1" si="63"/>
        <v>0</v>
      </c>
      <c r="U79" s="136"/>
    </row>
    <row r="80" spans="1:21" ht="16.5" hidden="1" customHeight="1" x14ac:dyDescent="0.25">
      <c r="A80" s="32">
        <v>41.48</v>
      </c>
      <c r="C80" s="268"/>
      <c r="D80" s="267"/>
      <c r="E80" s="117" t="s">
        <v>285</v>
      </c>
      <c r="F80" s="61">
        <f ca="1">SUMIF(Здание!$G$8:G$293,$E80,Здание!$Q$8:Q$293)</f>
        <v>0</v>
      </c>
      <c r="G80" s="61">
        <f>SUMIF(Здание!$G$245:H$291,$E80,Здание!$Q$245:S$291)</f>
        <v>0</v>
      </c>
      <c r="H80" s="22"/>
      <c r="I80" s="94">
        <f t="shared" ca="1" si="103"/>
        <v>0</v>
      </c>
      <c r="J80" s="95">
        <f t="shared" ca="1" si="104"/>
        <v>0</v>
      </c>
      <c r="K80" s="94">
        <f t="shared" ca="1" si="105"/>
        <v>0</v>
      </c>
      <c r="L80" s="94">
        <f t="shared" ca="1" si="106"/>
        <v>0</v>
      </c>
      <c r="M80" s="163"/>
      <c r="N80" s="169">
        <v>0.72</v>
      </c>
      <c r="O80" s="166">
        <f t="shared" ca="1" si="107"/>
        <v>0</v>
      </c>
      <c r="Q80" s="123"/>
      <c r="R80" s="123">
        <f t="shared" si="91"/>
        <v>0</v>
      </c>
      <c r="S80" s="138"/>
      <c r="T80" s="124">
        <f t="shared" ca="1" si="63"/>
        <v>0</v>
      </c>
      <c r="U80" s="136"/>
    </row>
    <row r="81" spans="1:21" ht="16.5" hidden="1" customHeight="1" x14ac:dyDescent="0.25">
      <c r="A81" s="32">
        <v>26.97</v>
      </c>
      <c r="C81" s="268"/>
      <c r="D81" s="267"/>
      <c r="E81" s="117" t="s">
        <v>209</v>
      </c>
      <c r="F81" s="61">
        <f ca="1">SUMIF(Здание!$G$8:G$293,$E81,Здание!$Q$8:Q$293)</f>
        <v>0</v>
      </c>
      <c r="G81" s="61">
        <f>SUMIF(Здание!$G$245:H$291,$E81,Здание!$Q$245:S$291)</f>
        <v>0</v>
      </c>
      <c r="H81" s="22"/>
      <c r="I81" s="94">
        <f t="shared" ca="1" si="103"/>
        <v>0</v>
      </c>
      <c r="J81" s="95">
        <f t="shared" ca="1" si="104"/>
        <v>0</v>
      </c>
      <c r="K81" s="94">
        <f t="shared" ca="1" si="105"/>
        <v>0</v>
      </c>
      <c r="L81" s="94">
        <f t="shared" ca="1" si="106"/>
        <v>0</v>
      </c>
      <c r="M81" s="163"/>
      <c r="N81" s="169">
        <v>0.72</v>
      </c>
      <c r="O81" s="166">
        <f t="shared" ca="1" si="107"/>
        <v>0</v>
      </c>
      <c r="Q81" s="123"/>
      <c r="R81" s="123">
        <f t="shared" si="91"/>
        <v>0</v>
      </c>
      <c r="S81" s="138"/>
      <c r="T81" s="124">
        <f t="shared" ca="1" si="63"/>
        <v>0</v>
      </c>
      <c r="U81" s="136"/>
    </row>
    <row r="82" spans="1:21" ht="16.5" hidden="1" customHeight="1" x14ac:dyDescent="0.25">
      <c r="A82" s="32">
        <v>41.48</v>
      </c>
      <c r="C82" s="268"/>
      <c r="D82" s="267"/>
      <c r="E82" s="117" t="s">
        <v>233</v>
      </c>
      <c r="F82" s="61">
        <f ca="1">SUMIF(Здание!$G$8:G$293,$E82,Здание!$Q$8:Q$293)</f>
        <v>0</v>
      </c>
      <c r="G82" s="61">
        <f>SUMIF(Здание!$G$245:H$291,$E82,Здание!$Q$245:S$291)</f>
        <v>0</v>
      </c>
      <c r="H82" s="22"/>
      <c r="I82" s="94">
        <f t="shared" ca="1" si="103"/>
        <v>0</v>
      </c>
      <c r="J82" s="95">
        <f t="shared" ca="1" si="104"/>
        <v>0</v>
      </c>
      <c r="K82" s="94">
        <f t="shared" ca="1" si="105"/>
        <v>0</v>
      </c>
      <c r="L82" s="94">
        <f t="shared" ca="1" si="106"/>
        <v>0</v>
      </c>
      <c r="M82" s="163"/>
      <c r="N82" s="169">
        <v>0.72</v>
      </c>
      <c r="O82" s="166">
        <f t="shared" ca="1" si="107"/>
        <v>0</v>
      </c>
      <c r="Q82" s="123"/>
      <c r="R82" s="123">
        <f t="shared" si="91"/>
        <v>0</v>
      </c>
      <c r="S82" s="138"/>
      <c r="T82" s="124">
        <f t="shared" ca="1" si="63"/>
        <v>0</v>
      </c>
      <c r="U82" s="136"/>
    </row>
    <row r="83" spans="1:21" ht="16.5" hidden="1" customHeight="1" x14ac:dyDescent="0.25">
      <c r="A83" s="32">
        <v>26.97</v>
      </c>
      <c r="C83" s="268"/>
      <c r="D83" s="267"/>
      <c r="E83" s="117" t="s">
        <v>200</v>
      </c>
      <c r="F83" s="61">
        <f ca="1">SUMIF(Здание!$G$8:G$293,$E83,Здание!$Q$8:Q$293)</f>
        <v>0</v>
      </c>
      <c r="G83" s="61">
        <f>SUMIF(Здание!$G$245:H$291,$E83,Здание!$Q$245:S$291)</f>
        <v>0</v>
      </c>
      <c r="H83" s="22"/>
      <c r="I83" s="94">
        <f t="shared" ca="1" si="103"/>
        <v>0</v>
      </c>
      <c r="J83" s="95">
        <f t="shared" ca="1" si="104"/>
        <v>0</v>
      </c>
      <c r="K83" s="94">
        <f t="shared" ca="1" si="105"/>
        <v>0</v>
      </c>
      <c r="L83" s="94">
        <f t="shared" ca="1" si="106"/>
        <v>0</v>
      </c>
      <c r="M83" s="163"/>
      <c r="N83" s="169">
        <v>0.72</v>
      </c>
      <c r="O83" s="166">
        <f t="shared" ca="1" si="107"/>
        <v>0</v>
      </c>
      <c r="Q83" s="123"/>
      <c r="R83" s="123">
        <f t="shared" ref="R83:R88" si="108">SUM(Q83:Q83)</f>
        <v>0</v>
      </c>
      <c r="S83" s="138"/>
      <c r="T83" s="124">
        <f t="shared" ca="1" si="63"/>
        <v>0</v>
      </c>
      <c r="U83" s="136"/>
    </row>
    <row r="84" spans="1:21" ht="16.5" hidden="1" customHeight="1" x14ac:dyDescent="0.25">
      <c r="A84" s="32">
        <v>32.049999999999997</v>
      </c>
      <c r="C84" s="268"/>
      <c r="D84" s="267"/>
      <c r="E84" s="117" t="s">
        <v>302</v>
      </c>
      <c r="F84" s="61">
        <f ca="1">SUMIF(Здание!$G$8:G$293,$E84,Здание!$Q$8:Q$293)</f>
        <v>0</v>
      </c>
      <c r="G84" s="61">
        <f>SUMIF(Здание!$G$245:H$291,$E84,Здание!$Q$245:S$291)</f>
        <v>0</v>
      </c>
      <c r="H84" s="22"/>
      <c r="I84" s="94">
        <f t="shared" ca="1" si="103"/>
        <v>0</v>
      </c>
      <c r="J84" s="95">
        <f t="shared" ca="1" si="104"/>
        <v>0</v>
      </c>
      <c r="K84" s="94">
        <f t="shared" ca="1" si="105"/>
        <v>0</v>
      </c>
      <c r="L84" s="94">
        <f t="shared" ca="1" si="106"/>
        <v>0</v>
      </c>
      <c r="M84" s="163"/>
      <c r="N84" s="169">
        <v>0.72</v>
      </c>
      <c r="O84" s="166">
        <f t="shared" ca="1" si="107"/>
        <v>0</v>
      </c>
      <c r="Q84" s="123"/>
      <c r="R84" s="123">
        <f t="shared" si="108"/>
        <v>0</v>
      </c>
      <c r="S84" s="138"/>
      <c r="T84" s="124">
        <f t="shared" ca="1" si="63"/>
        <v>0</v>
      </c>
      <c r="U84" s="137"/>
    </row>
    <row r="85" spans="1:21" ht="16.5" hidden="1" customHeight="1" x14ac:dyDescent="0.25">
      <c r="A85" s="32">
        <v>28.29</v>
      </c>
      <c r="C85" s="268"/>
      <c r="D85" s="267"/>
      <c r="E85" s="117" t="s">
        <v>112</v>
      </c>
      <c r="F85" s="61">
        <f ca="1">SUMIF(Здание!$G$8:G$293,$E85,Здание!$Q$8:Q$293)</f>
        <v>0</v>
      </c>
      <c r="G85" s="61">
        <f>SUMIF(Здание!$G$245:H$291,$E85,Здание!$Q$245:S$291)</f>
        <v>0</v>
      </c>
      <c r="H85" s="22"/>
      <c r="I85" s="94">
        <f t="shared" ref="I85:I94" ca="1" si="109">SUM(F85:H85)</f>
        <v>0</v>
      </c>
      <c r="J85" s="95">
        <f t="shared" ref="J85:J146" ca="1" si="110">I85/A85</f>
        <v>0</v>
      </c>
      <c r="K85" s="94">
        <f t="shared" ca="1" si="105"/>
        <v>0</v>
      </c>
      <c r="L85" s="94">
        <f t="shared" ca="1" si="89"/>
        <v>0</v>
      </c>
      <c r="M85" s="163"/>
      <c r="N85" s="169">
        <v>0.64</v>
      </c>
      <c r="O85" s="166">
        <f t="shared" ca="1" si="107"/>
        <v>0</v>
      </c>
      <c r="Q85" s="123"/>
      <c r="R85" s="123">
        <f t="shared" si="108"/>
        <v>0</v>
      </c>
      <c r="S85" s="138"/>
      <c r="T85" s="124">
        <f t="shared" ca="1" si="63"/>
        <v>0</v>
      </c>
      <c r="U85" s="136"/>
    </row>
    <row r="86" spans="1:21" ht="16.5" hidden="1" customHeight="1" x14ac:dyDescent="0.25">
      <c r="A86" s="32">
        <v>23.83</v>
      </c>
      <c r="C86" s="268"/>
      <c r="D86" s="267"/>
      <c r="E86" s="117" t="s">
        <v>299</v>
      </c>
      <c r="F86" s="61">
        <f ca="1">SUMIF(Здание!$G$8:G$293,$E86,Здание!$Q$8:Q$293)</f>
        <v>0</v>
      </c>
      <c r="G86" s="61">
        <f>SUMIF(Здание!$G$245:H$291,$E86,Здание!$Q$245:S$291)</f>
        <v>0</v>
      </c>
      <c r="H86" s="22"/>
      <c r="I86" s="94">
        <f t="shared" ca="1" si="109"/>
        <v>0</v>
      </c>
      <c r="J86" s="95">
        <f t="shared" ca="1" si="110"/>
        <v>0</v>
      </c>
      <c r="K86" s="94">
        <f t="shared" ca="1" si="105"/>
        <v>0</v>
      </c>
      <c r="L86" s="94">
        <f t="shared" ca="1" si="89"/>
        <v>0</v>
      </c>
      <c r="M86" s="163"/>
      <c r="N86" s="169">
        <v>0.64</v>
      </c>
      <c r="O86" s="166">
        <f t="shared" ca="1" si="107"/>
        <v>0</v>
      </c>
      <c r="Q86" s="123"/>
      <c r="R86" s="123">
        <f t="shared" si="108"/>
        <v>0</v>
      </c>
      <c r="S86" s="138"/>
      <c r="T86" s="124">
        <f t="shared" ca="1" si="63"/>
        <v>0</v>
      </c>
      <c r="U86" s="136"/>
    </row>
    <row r="87" spans="1:21" ht="16.5" hidden="1" customHeight="1" x14ac:dyDescent="0.25">
      <c r="A87" s="32">
        <v>36.46</v>
      </c>
      <c r="C87" s="268"/>
      <c r="D87" s="267"/>
      <c r="E87" s="117" t="s">
        <v>111</v>
      </c>
      <c r="F87" s="61">
        <f ca="1">SUMIF(Здание!$G$8:G$293,$E87,Здание!$Q$8:Q$293)</f>
        <v>0</v>
      </c>
      <c r="G87" s="61">
        <f>SUMIF(Здание!$G$245:H$291,$E87,Здание!$Q$245:S$291)</f>
        <v>0</v>
      </c>
      <c r="H87" s="22"/>
      <c r="I87" s="94">
        <f t="shared" ca="1" si="109"/>
        <v>0</v>
      </c>
      <c r="J87" s="95">
        <f t="shared" ca="1" si="110"/>
        <v>0</v>
      </c>
      <c r="K87" s="94">
        <f t="shared" ca="1" si="105"/>
        <v>0</v>
      </c>
      <c r="L87" s="94">
        <f t="shared" ca="1" si="89"/>
        <v>0</v>
      </c>
      <c r="M87" s="163"/>
      <c r="N87" s="169">
        <v>0.64</v>
      </c>
      <c r="O87" s="166">
        <f t="shared" ca="1" si="107"/>
        <v>0</v>
      </c>
      <c r="Q87" s="123"/>
      <c r="R87" s="123">
        <f t="shared" si="108"/>
        <v>0</v>
      </c>
      <c r="S87" s="138"/>
      <c r="T87" s="124">
        <f t="shared" ca="1" si="63"/>
        <v>0</v>
      </c>
      <c r="U87" s="136"/>
    </row>
    <row r="88" spans="1:21" ht="16.5" hidden="1" customHeight="1" x14ac:dyDescent="0.25">
      <c r="A88" s="32">
        <v>20.69</v>
      </c>
      <c r="C88" s="268"/>
      <c r="D88" s="267"/>
      <c r="E88" s="117" t="s">
        <v>327</v>
      </c>
      <c r="F88" s="61">
        <f ca="1">SUMIF(Здание!$G$8:G$293,$E88,Здание!$Q$8:Q$293)</f>
        <v>0</v>
      </c>
      <c r="G88" s="61">
        <f>SUMIF(Здание!$G$245:H$291,$E88,Здание!$Q$245:S$291)</f>
        <v>0</v>
      </c>
      <c r="H88" s="22"/>
      <c r="I88" s="94">
        <f t="shared" ref="I88" ca="1" si="111">SUM(F88:H88)</f>
        <v>0</v>
      </c>
      <c r="J88" s="95">
        <f t="shared" ref="J88" ca="1" si="112">I88/A88</f>
        <v>0</v>
      </c>
      <c r="K88" s="94">
        <f t="shared" ca="1" si="105"/>
        <v>0</v>
      </c>
      <c r="L88" s="94">
        <f t="shared" ref="L88" ca="1" si="113">K88/A88</f>
        <v>0</v>
      </c>
      <c r="M88" s="163"/>
      <c r="N88" s="169">
        <v>0.56000000000000005</v>
      </c>
      <c r="O88" s="166">
        <f t="shared" ca="1" si="107"/>
        <v>0</v>
      </c>
      <c r="Q88" s="123"/>
      <c r="R88" s="123">
        <f t="shared" si="108"/>
        <v>0</v>
      </c>
      <c r="S88" s="138"/>
      <c r="T88" s="124">
        <f t="shared" ca="1" si="63"/>
        <v>0</v>
      </c>
      <c r="U88" s="136"/>
    </row>
    <row r="89" spans="1:21" ht="16.5" hidden="1" customHeight="1" x14ac:dyDescent="0.25">
      <c r="A89" s="32">
        <v>16.760000000000002</v>
      </c>
      <c r="C89" s="268"/>
      <c r="D89" s="267"/>
      <c r="E89" s="117" t="s">
        <v>307</v>
      </c>
      <c r="F89" s="61">
        <f ca="1">SUMIF(Здание!$G$8:G$293,$E89,Здание!$Q$8:Q$293)</f>
        <v>0</v>
      </c>
      <c r="G89" s="61">
        <f>SUMIF(Здание!$G$245:H$291,$E89,Здание!$Q$245:S$291)</f>
        <v>0</v>
      </c>
      <c r="H89" s="22"/>
      <c r="I89" s="94">
        <f t="shared" ca="1" si="109"/>
        <v>0</v>
      </c>
      <c r="J89" s="95">
        <f ca="1">I89/A89</f>
        <v>0</v>
      </c>
      <c r="K89" s="94">
        <f t="shared" ca="1" si="105"/>
        <v>0</v>
      </c>
      <c r="L89" s="94">
        <f ca="1">K89/A89</f>
        <v>0</v>
      </c>
      <c r="M89" s="163"/>
      <c r="N89" s="169">
        <v>0.56000000000000005</v>
      </c>
      <c r="O89" s="166">
        <f t="shared" ca="1" si="107"/>
        <v>0</v>
      </c>
      <c r="Q89" s="123"/>
      <c r="R89" s="123">
        <f>SUM(Q89:Q89)</f>
        <v>0</v>
      </c>
      <c r="S89" s="138"/>
      <c r="T89" s="124">
        <f t="shared" ref="T89:T152" ca="1" si="114">R89-I89</f>
        <v>0</v>
      </c>
      <c r="U89" s="136"/>
    </row>
    <row r="90" spans="1:21" ht="16.5" hidden="1" customHeight="1" x14ac:dyDescent="0.25">
      <c r="A90" s="32">
        <v>20.69</v>
      </c>
      <c r="C90" s="268"/>
      <c r="D90" s="267"/>
      <c r="E90" s="117" t="s">
        <v>110</v>
      </c>
      <c r="F90" s="61">
        <f ca="1">SUMIF(Здание!$G$8:G$293,$E90,Здание!$Q$8:Q$293)</f>
        <v>0</v>
      </c>
      <c r="G90" s="61">
        <f>SUMIF(Здание!$G$245:H$291,$E90,Здание!$Q$245:S$291)</f>
        <v>0</v>
      </c>
      <c r="H90" s="22"/>
      <c r="I90" s="94">
        <f t="shared" ca="1" si="109"/>
        <v>0</v>
      </c>
      <c r="J90" s="95">
        <f t="shared" ca="1" si="110"/>
        <v>0</v>
      </c>
      <c r="K90" s="94">
        <f t="shared" ca="1" si="105"/>
        <v>0</v>
      </c>
      <c r="L90" s="94">
        <f t="shared" ca="1" si="89"/>
        <v>0</v>
      </c>
      <c r="M90" s="163"/>
      <c r="N90" s="169">
        <v>0.56000000000000005</v>
      </c>
      <c r="O90" s="166">
        <f t="shared" ca="1" si="107"/>
        <v>0</v>
      </c>
      <c r="Q90" s="123"/>
      <c r="R90" s="123">
        <f t="shared" si="91"/>
        <v>0</v>
      </c>
      <c r="S90" s="138"/>
      <c r="T90" s="124">
        <f t="shared" ca="1" si="114"/>
        <v>0</v>
      </c>
      <c r="U90" s="136"/>
    </row>
    <row r="91" spans="1:21" ht="16.5" hidden="1" customHeight="1" x14ac:dyDescent="0.25">
      <c r="A91" s="32">
        <v>21.69</v>
      </c>
      <c r="C91" s="268"/>
      <c r="D91" s="267"/>
      <c r="E91" s="117" t="s">
        <v>321</v>
      </c>
      <c r="F91" s="61">
        <f ca="1">SUMIF(Здание!$G$8:G$293,$E91,Здание!$Q$8:Q$293)</f>
        <v>0</v>
      </c>
      <c r="G91" s="61">
        <f>SUMIF(Здание!$G$245:H$291,$E91,Здание!$Q$245:S$291)</f>
        <v>0</v>
      </c>
      <c r="H91" s="22"/>
      <c r="I91" s="94">
        <f t="shared" ca="1" si="109"/>
        <v>0</v>
      </c>
      <c r="J91" s="95">
        <f t="shared" ca="1" si="110"/>
        <v>0</v>
      </c>
      <c r="K91" s="94">
        <f t="shared" ca="1" si="105"/>
        <v>0</v>
      </c>
      <c r="L91" s="94">
        <f t="shared" ca="1" si="89"/>
        <v>0</v>
      </c>
      <c r="M91" s="163"/>
      <c r="N91" s="169">
        <v>0.5</v>
      </c>
      <c r="O91" s="166">
        <f t="shared" ca="1" si="107"/>
        <v>0</v>
      </c>
      <c r="Q91" s="123"/>
      <c r="R91" s="123">
        <f t="shared" si="91"/>
        <v>0</v>
      </c>
      <c r="S91" s="138"/>
      <c r="T91" s="124">
        <f t="shared" ca="1" si="114"/>
        <v>0</v>
      </c>
      <c r="U91" s="136"/>
    </row>
    <row r="92" spans="1:21" ht="16.5" hidden="1" customHeight="1" x14ac:dyDescent="0.25">
      <c r="A92" s="22">
        <v>27.91</v>
      </c>
      <c r="C92" s="268"/>
      <c r="D92" s="267"/>
      <c r="E92" s="117" t="s">
        <v>127</v>
      </c>
      <c r="F92" s="61">
        <f ca="1">SUMIF(Здание!$G$8:G$293,$E92,Здание!$Q$8:Q$293)</f>
        <v>0</v>
      </c>
      <c r="G92" s="61">
        <f>SUMIF(Здание!$G$245:H$291,$E92,Здание!$Q$245:S$291)</f>
        <v>0</v>
      </c>
      <c r="H92" s="22"/>
      <c r="I92" s="94">
        <f t="shared" ca="1" si="109"/>
        <v>0</v>
      </c>
      <c r="J92" s="95">
        <f t="shared" ca="1" si="110"/>
        <v>0</v>
      </c>
      <c r="K92" s="94">
        <f t="shared" ca="1" si="105"/>
        <v>0</v>
      </c>
      <c r="L92" s="94">
        <f t="shared" ca="1" si="89"/>
        <v>0</v>
      </c>
      <c r="M92" s="163"/>
      <c r="N92" s="169">
        <v>0.56000000000000005</v>
      </c>
      <c r="O92" s="166">
        <f t="shared" ca="1" si="107"/>
        <v>0</v>
      </c>
      <c r="Q92" s="123"/>
      <c r="R92" s="123">
        <f t="shared" si="91"/>
        <v>0</v>
      </c>
      <c r="S92" s="138"/>
      <c r="T92" s="124">
        <f t="shared" ca="1" si="114"/>
        <v>0</v>
      </c>
      <c r="U92" s="136"/>
    </row>
    <row r="93" spans="1:21" ht="16.5" hidden="1" customHeight="1" x14ac:dyDescent="0.25">
      <c r="A93" s="22">
        <v>31.43</v>
      </c>
      <c r="C93" s="268"/>
      <c r="D93" s="267"/>
      <c r="E93" s="117" t="s">
        <v>102</v>
      </c>
      <c r="F93" s="61">
        <f ca="1">SUMIF(Здание!$G$8:G$293,$E93,Здание!$Q$8:Q$293)</f>
        <v>0</v>
      </c>
      <c r="G93" s="61">
        <f>SUMIF(Здание!$G$245:H$291,$E93,Здание!$Q$245:S$291)</f>
        <v>0</v>
      </c>
      <c r="H93" s="22"/>
      <c r="I93" s="94">
        <f t="shared" ca="1" si="109"/>
        <v>0</v>
      </c>
      <c r="J93" s="95">
        <f t="shared" ca="1" si="110"/>
        <v>0</v>
      </c>
      <c r="K93" s="94">
        <f t="shared" ca="1" si="105"/>
        <v>0</v>
      </c>
      <c r="L93" s="94">
        <f t="shared" ca="1" si="89"/>
        <v>0</v>
      </c>
      <c r="M93" s="163"/>
      <c r="N93" s="169">
        <v>0.56000000000000005</v>
      </c>
      <c r="O93" s="166">
        <f t="shared" ca="1" si="107"/>
        <v>0</v>
      </c>
      <c r="Q93" s="123"/>
      <c r="R93" s="123">
        <f t="shared" si="91"/>
        <v>0</v>
      </c>
      <c r="S93" s="138"/>
      <c r="T93" s="124">
        <f t="shared" ca="1" si="114"/>
        <v>0</v>
      </c>
      <c r="U93" s="136"/>
    </row>
    <row r="94" spans="1:21" ht="16.5" hidden="1" customHeight="1" x14ac:dyDescent="0.25">
      <c r="A94" s="22">
        <v>14.25</v>
      </c>
      <c r="C94" s="268"/>
      <c r="D94" s="267"/>
      <c r="E94" s="117" t="s">
        <v>274</v>
      </c>
      <c r="F94" s="61">
        <f ca="1">SUMIF(Здание!$G$8:G$293,$E94,Здание!$Q$8:Q$293)</f>
        <v>0</v>
      </c>
      <c r="G94" s="61">
        <f>SUMIF(Здание!$G$245:H$291,$E94,Здание!$Q$245:S$291)</f>
        <v>0</v>
      </c>
      <c r="H94" s="22"/>
      <c r="I94" s="94">
        <f t="shared" ca="1" si="109"/>
        <v>0</v>
      </c>
      <c r="J94" s="95">
        <f t="shared" ca="1" si="110"/>
        <v>0</v>
      </c>
      <c r="K94" s="94">
        <f t="shared" ca="1" si="105"/>
        <v>0</v>
      </c>
      <c r="L94" s="94">
        <f t="shared" ca="1" si="89"/>
        <v>0</v>
      </c>
      <c r="M94" s="163"/>
      <c r="N94" s="169">
        <v>0.48</v>
      </c>
      <c r="O94" s="166">
        <f t="shared" ca="1" si="107"/>
        <v>0</v>
      </c>
      <c r="Q94" s="123"/>
      <c r="R94" s="123">
        <f t="shared" si="91"/>
        <v>0</v>
      </c>
      <c r="S94" s="138"/>
      <c r="T94" s="124">
        <f t="shared" ca="1" si="114"/>
        <v>0</v>
      </c>
      <c r="U94" s="136"/>
    </row>
    <row r="95" spans="1:21" ht="16.5" hidden="1" customHeight="1" x14ac:dyDescent="0.25">
      <c r="A95" s="22">
        <v>19.12</v>
      </c>
      <c r="C95" s="268"/>
      <c r="D95" s="267"/>
      <c r="E95" s="117" t="s">
        <v>128</v>
      </c>
      <c r="F95" s="61">
        <f ca="1">SUMIF(Здание!$G$8:G$293,$E95,Здание!$Q$8:Q$293)</f>
        <v>0</v>
      </c>
      <c r="G95" s="61">
        <f>SUMIF(Здание!$G$245:H$291,$E95,Здание!$Q$245:S$291)</f>
        <v>0</v>
      </c>
      <c r="H95" s="62"/>
      <c r="I95" s="94">
        <f t="shared" ref="I95:I172" ca="1" si="115">SUM(F95:H95)</f>
        <v>0</v>
      </c>
      <c r="J95" s="95">
        <f t="shared" ca="1" si="110"/>
        <v>0</v>
      </c>
      <c r="K95" s="94">
        <f t="shared" ca="1" si="105"/>
        <v>0</v>
      </c>
      <c r="L95" s="94">
        <f t="shared" ca="1" si="89"/>
        <v>0</v>
      </c>
      <c r="M95" s="163"/>
      <c r="N95" s="169">
        <v>0.52</v>
      </c>
      <c r="O95" s="166">
        <f t="shared" ca="1" si="107"/>
        <v>0</v>
      </c>
      <c r="Q95" s="123"/>
      <c r="R95" s="123">
        <f t="shared" si="91"/>
        <v>0</v>
      </c>
      <c r="S95" s="138"/>
      <c r="T95" s="124">
        <f t="shared" ca="1" si="114"/>
        <v>0</v>
      </c>
      <c r="U95" s="136"/>
    </row>
    <row r="96" spans="1:21" ht="16.5" hidden="1" customHeight="1" x14ac:dyDescent="0.25">
      <c r="A96" s="32">
        <v>25.71</v>
      </c>
      <c r="C96" s="268"/>
      <c r="D96" s="267"/>
      <c r="E96" s="117" t="s">
        <v>62</v>
      </c>
      <c r="F96" s="61">
        <f ca="1">SUMIF(Здание!$G$8:G$293,$E96,Здание!$Q$8:Q$293)</f>
        <v>0</v>
      </c>
      <c r="G96" s="61">
        <f>SUMIF(Здание!$G$245:H$291,$E96,Здание!$Q$245:S$291)</f>
        <v>0</v>
      </c>
      <c r="H96" s="62"/>
      <c r="I96" s="94">
        <f t="shared" ca="1" si="115"/>
        <v>0</v>
      </c>
      <c r="J96" s="95">
        <f t="shared" ca="1" si="110"/>
        <v>0</v>
      </c>
      <c r="K96" s="94">
        <f t="shared" ca="1" si="105"/>
        <v>0</v>
      </c>
      <c r="L96" s="94">
        <f t="shared" ca="1" si="89"/>
        <v>0</v>
      </c>
      <c r="M96" s="163"/>
      <c r="N96" s="169">
        <v>0.52</v>
      </c>
      <c r="O96" s="166">
        <f t="shared" ca="1" si="107"/>
        <v>0</v>
      </c>
      <c r="Q96" s="123"/>
      <c r="R96" s="123">
        <f t="shared" si="91"/>
        <v>0</v>
      </c>
      <c r="S96" s="138"/>
      <c r="T96" s="124">
        <f t="shared" ca="1" si="114"/>
        <v>0</v>
      </c>
      <c r="U96" s="136"/>
    </row>
    <row r="97" spans="1:21" ht="16.5" hidden="1" customHeight="1" x14ac:dyDescent="0.25">
      <c r="A97" s="32">
        <v>17.55</v>
      </c>
      <c r="C97" s="268"/>
      <c r="D97" s="267"/>
      <c r="E97" s="117" t="s">
        <v>32</v>
      </c>
      <c r="F97" s="61">
        <f ca="1">SUMIF(Здание!$G$8:G$293,$E97,Здание!$Q$8:Q$293)</f>
        <v>0</v>
      </c>
      <c r="G97" s="61">
        <f>SUMIF(Здание!$G$245:H$291,$E97,Здание!$Q$245:S$291)</f>
        <v>0</v>
      </c>
      <c r="H97" s="62"/>
      <c r="I97" s="94">
        <f t="shared" ca="1" si="115"/>
        <v>0</v>
      </c>
      <c r="J97" s="95">
        <f t="shared" ca="1" si="110"/>
        <v>0</v>
      </c>
      <c r="K97" s="94">
        <f t="shared" ca="1" si="105"/>
        <v>0</v>
      </c>
      <c r="L97" s="94">
        <f t="shared" ca="1" si="89"/>
        <v>0</v>
      </c>
      <c r="M97" s="163"/>
      <c r="N97" s="169">
        <v>0.48</v>
      </c>
      <c r="O97" s="166">
        <f t="shared" ca="1" si="107"/>
        <v>0</v>
      </c>
      <c r="Q97" s="123"/>
      <c r="R97" s="123">
        <f t="shared" si="91"/>
        <v>0</v>
      </c>
      <c r="S97" s="138"/>
      <c r="T97" s="124">
        <f t="shared" ca="1" si="114"/>
        <v>0</v>
      </c>
      <c r="U97" s="136"/>
    </row>
    <row r="98" spans="1:21" ht="16.5" hidden="1" customHeight="1" x14ac:dyDescent="0.25">
      <c r="A98" s="32">
        <v>20.75</v>
      </c>
      <c r="C98" s="268"/>
      <c r="D98" s="267"/>
      <c r="E98" s="117" t="s">
        <v>61</v>
      </c>
      <c r="F98" s="61">
        <f ca="1">SUMIF(Здание!$G$8:G$293,$E98,Здание!$Q$8:Q$293)</f>
        <v>0</v>
      </c>
      <c r="G98" s="61">
        <f>SUMIF(Здание!$G$245:H$291,$E98,Здание!$Q$245:S$291)</f>
        <v>0</v>
      </c>
      <c r="H98" s="62"/>
      <c r="I98" s="94">
        <f t="shared" ca="1" si="115"/>
        <v>0</v>
      </c>
      <c r="J98" s="95">
        <f t="shared" ca="1" si="110"/>
        <v>0</v>
      </c>
      <c r="K98" s="94">
        <f t="shared" ca="1" si="105"/>
        <v>0</v>
      </c>
      <c r="L98" s="94">
        <f t="shared" ca="1" si="89"/>
        <v>0</v>
      </c>
      <c r="M98" s="163"/>
      <c r="N98" s="169">
        <v>0.48</v>
      </c>
      <c r="O98" s="166">
        <f t="shared" ca="1" si="107"/>
        <v>0</v>
      </c>
      <c r="Q98" s="123"/>
      <c r="R98" s="123">
        <f t="shared" si="91"/>
        <v>0</v>
      </c>
      <c r="S98" s="138"/>
      <c r="T98" s="124">
        <f t="shared" ca="1" si="114"/>
        <v>0</v>
      </c>
      <c r="U98" s="136"/>
    </row>
    <row r="99" spans="1:21" ht="16.5" hidden="1" customHeight="1" x14ac:dyDescent="0.25">
      <c r="A99" s="32">
        <v>23.52</v>
      </c>
      <c r="C99" s="268"/>
      <c r="D99" s="267"/>
      <c r="E99" s="117" t="s">
        <v>129</v>
      </c>
      <c r="F99" s="61">
        <f ca="1">SUMIF(Здание!$G$8:G$293,$E99,Здание!$Q$8:Q$293)</f>
        <v>0</v>
      </c>
      <c r="G99" s="61">
        <f>SUMIF(Здание!$G$245:H$291,$E99,Здание!$Q$245:S$291)</f>
        <v>0</v>
      </c>
      <c r="H99" s="62"/>
      <c r="I99" s="94">
        <f t="shared" ca="1" si="115"/>
        <v>0</v>
      </c>
      <c r="J99" s="95">
        <f t="shared" ca="1" si="110"/>
        <v>0</v>
      </c>
      <c r="K99" s="94">
        <f t="shared" ca="1" si="105"/>
        <v>0</v>
      </c>
      <c r="L99" s="94">
        <f t="shared" ca="1" si="89"/>
        <v>0</v>
      </c>
      <c r="M99" s="163"/>
      <c r="N99" s="169">
        <v>0.48</v>
      </c>
      <c r="O99" s="166">
        <f t="shared" ca="1" si="107"/>
        <v>0</v>
      </c>
      <c r="Q99" s="123"/>
      <c r="R99" s="123">
        <f t="shared" si="91"/>
        <v>0</v>
      </c>
      <c r="S99" s="138"/>
      <c r="T99" s="124">
        <f t="shared" ca="1" si="114"/>
        <v>0</v>
      </c>
      <c r="U99" s="136"/>
    </row>
    <row r="100" spans="1:21" ht="16.5" hidden="1" customHeight="1" x14ac:dyDescent="0.25">
      <c r="A100" s="32">
        <v>14.41</v>
      </c>
      <c r="C100" s="268"/>
      <c r="D100" s="267"/>
      <c r="E100" s="117" t="s">
        <v>63</v>
      </c>
      <c r="F100" s="61">
        <f ca="1">SUMIF(Здание!$G$8:G$293,$E100,Здание!$Q$8:Q$293)</f>
        <v>0</v>
      </c>
      <c r="G100" s="61">
        <f>SUMIF(Здание!$G$245:H$291,$E100,Здание!$Q$245:S$291)</f>
        <v>0</v>
      </c>
      <c r="H100" s="62"/>
      <c r="I100" s="94">
        <f t="shared" ca="1" si="115"/>
        <v>0</v>
      </c>
      <c r="J100" s="95">
        <f t="shared" ca="1" si="110"/>
        <v>0</v>
      </c>
      <c r="K100" s="94">
        <f t="shared" ca="1" si="105"/>
        <v>0</v>
      </c>
      <c r="L100" s="94">
        <f t="shared" ca="1" si="89"/>
        <v>0</v>
      </c>
      <c r="M100" s="163"/>
      <c r="N100" s="169">
        <v>0.4</v>
      </c>
      <c r="O100" s="166">
        <f t="shared" ca="1" si="107"/>
        <v>0</v>
      </c>
      <c r="Q100" s="123"/>
      <c r="R100" s="123">
        <f t="shared" si="91"/>
        <v>0</v>
      </c>
      <c r="S100" s="138"/>
      <c r="T100" s="124">
        <f t="shared" ca="1" si="114"/>
        <v>0</v>
      </c>
      <c r="U100" s="136"/>
    </row>
    <row r="101" spans="1:21" ht="16.5" hidden="1" customHeight="1" x14ac:dyDescent="0.25">
      <c r="A101" s="32">
        <v>16.98</v>
      </c>
      <c r="C101" s="268"/>
      <c r="D101" s="267"/>
      <c r="E101" s="117" t="s">
        <v>64</v>
      </c>
      <c r="F101" s="61">
        <f ca="1">SUMIF(Здание!$G$8:G$293,$E101,Здание!$Q$8:Q$293)</f>
        <v>0</v>
      </c>
      <c r="G101" s="61">
        <f>SUMIF(Здание!$G$245:H$291,$E101,Здание!$Q$245:S$291)</f>
        <v>0</v>
      </c>
      <c r="H101" s="62"/>
      <c r="I101" s="94">
        <f t="shared" ca="1" si="115"/>
        <v>0</v>
      </c>
      <c r="J101" s="95">
        <f t="shared" ca="1" si="110"/>
        <v>0</v>
      </c>
      <c r="K101" s="94">
        <f t="shared" ca="1" si="105"/>
        <v>0</v>
      </c>
      <c r="L101" s="94">
        <f t="shared" ca="1" si="89"/>
        <v>0</v>
      </c>
      <c r="M101" s="163"/>
      <c r="N101" s="169">
        <v>0.4</v>
      </c>
      <c r="O101" s="166">
        <f t="shared" ca="1" si="107"/>
        <v>0</v>
      </c>
      <c r="Q101" s="123"/>
      <c r="R101" s="123">
        <f t="shared" si="91"/>
        <v>0</v>
      </c>
      <c r="S101" s="138"/>
      <c r="T101" s="124">
        <f t="shared" ca="1" si="114"/>
        <v>0</v>
      </c>
      <c r="U101" s="136"/>
    </row>
    <row r="102" spans="1:21" ht="16.5" hidden="1" customHeight="1" x14ac:dyDescent="0.25">
      <c r="A102" s="32">
        <v>19.12</v>
      </c>
      <c r="C102" s="268"/>
      <c r="D102" s="267"/>
      <c r="E102" s="117" t="s">
        <v>130</v>
      </c>
      <c r="F102" s="61">
        <f ca="1">SUMIF(Здание!$G$8:G$293,$E102,Здание!$Q$8:Q$293)</f>
        <v>0</v>
      </c>
      <c r="G102" s="61">
        <f>SUMIF(Здание!$G$245:H$291,$E102,Здание!$Q$245:S$291)</f>
        <v>0</v>
      </c>
      <c r="H102" s="62"/>
      <c r="I102" s="94">
        <f t="shared" ca="1" si="115"/>
        <v>0</v>
      </c>
      <c r="J102" s="95">
        <f t="shared" ca="1" si="110"/>
        <v>0</v>
      </c>
      <c r="K102" s="94">
        <f t="shared" ca="1" si="105"/>
        <v>0</v>
      </c>
      <c r="L102" s="94">
        <f t="shared" ca="1" si="89"/>
        <v>0</v>
      </c>
      <c r="M102" s="163"/>
      <c r="N102" s="169">
        <v>0.4</v>
      </c>
      <c r="O102" s="166">
        <f t="shared" ca="1" si="107"/>
        <v>0</v>
      </c>
      <c r="Q102" s="123"/>
      <c r="R102" s="123">
        <f t="shared" si="91"/>
        <v>0</v>
      </c>
      <c r="S102" s="138"/>
      <c r="T102" s="124">
        <f t="shared" ca="1" si="114"/>
        <v>0</v>
      </c>
      <c r="U102" s="136"/>
    </row>
    <row r="103" spans="1:21" ht="16.5" hidden="1" customHeight="1" x14ac:dyDescent="0.25">
      <c r="A103" s="32">
        <v>12.84</v>
      </c>
      <c r="C103" s="268"/>
      <c r="D103" s="267"/>
      <c r="E103" s="117" t="s">
        <v>168</v>
      </c>
      <c r="F103" s="61">
        <f ca="1">SUMIF(Здание!$G$8:G$293,$E103,Здание!$Q$8:Q$293)</f>
        <v>0</v>
      </c>
      <c r="G103" s="61">
        <f>SUMIF(Здание!$G$245:H$291,$E103,Здание!$Q$245:S$291)</f>
        <v>0</v>
      </c>
      <c r="H103" s="62"/>
      <c r="I103" s="94">
        <f ca="1">SUM(F103:H103)</f>
        <v>0</v>
      </c>
      <c r="J103" s="95">
        <f ca="1">I103/A103</f>
        <v>0</v>
      </c>
      <c r="K103" s="94">
        <f t="shared" ca="1" si="105"/>
        <v>0</v>
      </c>
      <c r="L103" s="94">
        <f ca="1">K103/A103</f>
        <v>0</v>
      </c>
      <c r="M103" s="163"/>
      <c r="N103" s="169">
        <v>0.3</v>
      </c>
      <c r="O103" s="166">
        <f t="shared" ca="1" si="107"/>
        <v>0</v>
      </c>
      <c r="Q103" s="123"/>
      <c r="R103" s="123">
        <f t="shared" si="91"/>
        <v>0</v>
      </c>
      <c r="S103" s="138"/>
      <c r="T103" s="124">
        <f t="shared" ca="1" si="114"/>
        <v>0</v>
      </c>
      <c r="U103" s="136"/>
    </row>
    <row r="104" spans="1:21" ht="16.5" hidden="1" customHeight="1" x14ac:dyDescent="0.25">
      <c r="A104" s="32">
        <v>10.48</v>
      </c>
      <c r="C104" s="268"/>
      <c r="D104" s="267"/>
      <c r="E104" s="117" t="s">
        <v>135</v>
      </c>
      <c r="F104" s="61">
        <f ca="1">SUMIF(Здание!$G$8:G$293,$E104,Здание!$Q$8:Q$293)</f>
        <v>0</v>
      </c>
      <c r="G104" s="61">
        <f>SUMIF(Здание!$G$245:H$291,$E104,Здание!$Q$245:S$291)</f>
        <v>0</v>
      </c>
      <c r="H104" s="62"/>
      <c r="I104" s="94">
        <f t="shared" ca="1" si="115"/>
        <v>0</v>
      </c>
      <c r="J104" s="95">
        <f t="shared" ca="1" si="110"/>
        <v>0</v>
      </c>
      <c r="K104" s="94">
        <f t="shared" ca="1" si="105"/>
        <v>0</v>
      </c>
      <c r="L104" s="94">
        <f t="shared" ca="1" si="89"/>
        <v>0</v>
      </c>
      <c r="M104" s="163"/>
      <c r="N104" s="169">
        <v>0.36</v>
      </c>
      <c r="O104" s="166">
        <f t="shared" ca="1" si="107"/>
        <v>0</v>
      </c>
      <c r="Q104" s="123"/>
      <c r="R104" s="123">
        <f t="shared" si="91"/>
        <v>0</v>
      </c>
      <c r="S104" s="138"/>
      <c r="T104" s="124">
        <f t="shared" ca="1" si="114"/>
        <v>0</v>
      </c>
      <c r="U104" s="136"/>
    </row>
    <row r="105" spans="1:21" ht="16.5" hidden="1" customHeight="1" x14ac:dyDescent="0.25">
      <c r="A105" s="32">
        <v>11.27</v>
      </c>
      <c r="C105" s="268"/>
      <c r="D105" s="267"/>
      <c r="E105" s="117" t="s">
        <v>131</v>
      </c>
      <c r="F105" s="61">
        <f ca="1">SUMIF(Здание!$G$8:G$293,$E105,Здание!$Q$8:Q$293)</f>
        <v>0</v>
      </c>
      <c r="G105" s="61">
        <f>SUMIF(Здание!$G$245:H$291,$E105,Здание!$Q$245:S$291)</f>
        <v>0</v>
      </c>
      <c r="H105" s="62"/>
      <c r="I105" s="94">
        <f t="shared" ca="1" si="115"/>
        <v>0</v>
      </c>
      <c r="J105" s="95">
        <f t="shared" ca="1" si="110"/>
        <v>0</v>
      </c>
      <c r="K105" s="94">
        <f t="shared" ca="1" si="105"/>
        <v>0</v>
      </c>
      <c r="L105" s="94">
        <f t="shared" ca="1" si="89"/>
        <v>0</v>
      </c>
      <c r="M105" s="163"/>
      <c r="N105" s="169">
        <v>0.32</v>
      </c>
      <c r="O105" s="166">
        <f t="shared" ca="1" si="107"/>
        <v>0</v>
      </c>
      <c r="Q105" s="123"/>
      <c r="R105" s="123">
        <f t="shared" si="91"/>
        <v>0</v>
      </c>
      <c r="S105" s="138"/>
      <c r="T105" s="124">
        <f t="shared" ca="1" si="114"/>
        <v>0</v>
      </c>
      <c r="U105" s="136"/>
    </row>
    <row r="106" spans="1:21" ht="16.5" hidden="1" customHeight="1" x14ac:dyDescent="0.25">
      <c r="A106" s="32">
        <v>11.33</v>
      </c>
      <c r="C106" s="268"/>
      <c r="D106" s="267"/>
      <c r="E106" s="117" t="s">
        <v>281</v>
      </c>
      <c r="F106" s="61">
        <f ca="1">SUMIF(Здание!$G$8:G$293,$E106,Здание!$Q$8:Q$293)</f>
        <v>0</v>
      </c>
      <c r="G106" s="61">
        <f>SUMIF(Здание!$G$245:H$291,$E106,Здание!$Q$245:S$291)</f>
        <v>0</v>
      </c>
      <c r="H106" s="62"/>
      <c r="I106" s="94">
        <f t="shared" ca="1" si="115"/>
        <v>0</v>
      </c>
      <c r="J106" s="95">
        <f t="shared" ca="1" si="110"/>
        <v>0</v>
      </c>
      <c r="K106" s="94">
        <f t="shared" ca="1" si="105"/>
        <v>0</v>
      </c>
      <c r="L106" s="94">
        <f t="shared" ca="1" si="89"/>
        <v>0</v>
      </c>
      <c r="M106" s="163"/>
      <c r="N106" s="169">
        <v>0.28000000000000003</v>
      </c>
      <c r="O106" s="166">
        <f t="shared" ca="1" si="107"/>
        <v>0</v>
      </c>
      <c r="Q106" s="123"/>
      <c r="R106" s="123">
        <f t="shared" si="91"/>
        <v>0</v>
      </c>
      <c r="S106" s="138"/>
      <c r="T106" s="124">
        <f t="shared" ca="1" si="114"/>
        <v>0</v>
      </c>
      <c r="U106" s="136"/>
    </row>
    <row r="107" spans="1:21" ht="16.5" hidden="1" customHeight="1" x14ac:dyDescent="0.25">
      <c r="A107" s="32">
        <v>72.66</v>
      </c>
      <c r="C107" s="268"/>
      <c r="D107" s="267"/>
      <c r="E107" s="117" t="s">
        <v>298</v>
      </c>
      <c r="F107" s="61">
        <f ca="1">SUMIF(Здание!$G$8:G$293,$E107,Здание!$Q$8:Q$293)</f>
        <v>0</v>
      </c>
      <c r="G107" s="61">
        <f>SUMIF(Здание!$G$245:H$291,$E107,Здание!$Q$245:S$291)</f>
        <v>0</v>
      </c>
      <c r="H107" s="62"/>
      <c r="I107" s="94">
        <f t="shared" ca="1" si="115"/>
        <v>0</v>
      </c>
      <c r="J107" s="95">
        <f t="shared" ca="1" si="110"/>
        <v>0</v>
      </c>
      <c r="K107" s="94">
        <f t="shared" ca="1" si="105"/>
        <v>0</v>
      </c>
      <c r="L107" s="94">
        <f t="shared" ca="1" si="89"/>
        <v>0</v>
      </c>
      <c r="M107" s="163"/>
      <c r="N107" s="169">
        <v>1</v>
      </c>
      <c r="O107" s="166">
        <f t="shared" ca="1" si="107"/>
        <v>0</v>
      </c>
      <c r="Q107" s="123"/>
      <c r="R107" s="123">
        <f t="shared" si="91"/>
        <v>0</v>
      </c>
      <c r="S107" s="138"/>
      <c r="T107" s="124">
        <f t="shared" ca="1" si="114"/>
        <v>0</v>
      </c>
      <c r="U107" s="136"/>
    </row>
    <row r="108" spans="1:21" ht="16.5" hidden="1" customHeight="1" x14ac:dyDescent="0.25">
      <c r="A108" s="32">
        <v>59.07</v>
      </c>
      <c r="C108" s="268"/>
      <c r="D108" s="267"/>
      <c r="E108" s="117" t="s">
        <v>303</v>
      </c>
      <c r="F108" s="61">
        <f ca="1">SUMIF(Здание!$G$8:G$293,$E108,Здание!$Q$8:Q$293)</f>
        <v>0</v>
      </c>
      <c r="G108" s="61">
        <f>SUMIF(Здание!$G$245:H$291,$E108,Здание!$Q$245:S$291)</f>
        <v>0</v>
      </c>
      <c r="H108" s="62"/>
      <c r="I108" s="94">
        <f ca="1">SUM(F108:H108)</f>
        <v>0</v>
      </c>
      <c r="J108" s="95">
        <f ca="1">I108/A108</f>
        <v>0</v>
      </c>
      <c r="K108" s="94">
        <f t="shared" ca="1" si="105"/>
        <v>0</v>
      </c>
      <c r="L108" s="94">
        <f ca="1">K108/A108</f>
        <v>0</v>
      </c>
      <c r="M108" s="163"/>
      <c r="N108" s="169">
        <v>1</v>
      </c>
      <c r="O108" s="166">
        <f t="shared" ca="1" si="107"/>
        <v>0</v>
      </c>
      <c r="Q108" s="123"/>
      <c r="R108" s="123">
        <f t="shared" si="91"/>
        <v>0</v>
      </c>
      <c r="S108" s="138"/>
      <c r="T108" s="124">
        <f t="shared" ca="1" si="114"/>
        <v>0</v>
      </c>
      <c r="U108" s="137"/>
    </row>
    <row r="109" spans="1:21" ht="16.5" hidden="1" customHeight="1" x14ac:dyDescent="0.25">
      <c r="A109" s="32">
        <v>46.51</v>
      </c>
      <c r="C109" s="268"/>
      <c r="D109" s="267"/>
      <c r="E109" s="117" t="s">
        <v>245</v>
      </c>
      <c r="F109" s="61">
        <f ca="1">SUMIF(Здание!$G$8:G$293,$E109,Здание!$Q$8:Q$293)</f>
        <v>0</v>
      </c>
      <c r="G109" s="61">
        <f>SUMIF(Здание!$G$245:H$291,$E109,Здание!$Q$245:S$291)</f>
        <v>0</v>
      </c>
      <c r="H109" s="62"/>
      <c r="I109" s="94">
        <f t="shared" ca="1" si="115"/>
        <v>0</v>
      </c>
      <c r="J109" s="95">
        <f t="shared" ca="1" si="110"/>
        <v>0</v>
      </c>
      <c r="K109" s="94">
        <f t="shared" ca="1" si="105"/>
        <v>0</v>
      </c>
      <c r="L109" s="94">
        <f t="shared" ca="1" si="89"/>
        <v>0</v>
      </c>
      <c r="M109" s="163"/>
      <c r="N109" s="169">
        <v>0.8</v>
      </c>
      <c r="O109" s="166">
        <f t="shared" ca="1" si="107"/>
        <v>0</v>
      </c>
      <c r="Q109" s="123"/>
      <c r="R109" s="160">
        <f>S109*A109</f>
        <v>0</v>
      </c>
      <c r="S109" s="138"/>
      <c r="T109" s="124">
        <f t="shared" ca="1" si="114"/>
        <v>0</v>
      </c>
      <c r="U109" s="137"/>
    </row>
    <row r="110" spans="1:21" ht="30" customHeight="1" x14ac:dyDescent="0.25">
      <c r="A110" s="32">
        <v>35.82</v>
      </c>
      <c r="C110" s="268"/>
      <c r="D110" s="267"/>
      <c r="E110" s="117" t="s">
        <v>85</v>
      </c>
      <c r="F110" s="61">
        <f ca="1">SUMIF(Здание!$G$8:G$293,$E110,Здание!$Q$8:Q$293)</f>
        <v>7597.8518400000003</v>
      </c>
      <c r="G110" s="61">
        <f>SUMIF(Здание!$G$245:H$291,$E110,Здание!$Q$245:S$291)</f>
        <v>0</v>
      </c>
      <c r="H110" s="62"/>
      <c r="I110" s="94">
        <f t="shared" ca="1" si="115"/>
        <v>7597.8518400000003</v>
      </c>
      <c r="J110" s="95">
        <f t="shared" ca="1" si="110"/>
        <v>212.11199999999999</v>
      </c>
      <c r="K110" s="94">
        <f t="shared" ref="K110:K141" ca="1" si="116">I110*$C$260</f>
        <v>7825.7873952000009</v>
      </c>
      <c r="L110" s="94">
        <f t="shared" ca="1" si="89"/>
        <v>218.47536000000002</v>
      </c>
      <c r="M110" s="163"/>
      <c r="N110" s="169">
        <v>0.8</v>
      </c>
      <c r="O110" s="166">
        <f t="shared" ca="1" si="107"/>
        <v>174.78028800000004</v>
      </c>
      <c r="Q110" s="123">
        <v>7265</v>
      </c>
      <c r="R110" s="160"/>
      <c r="S110" s="138"/>
      <c r="T110" s="124">
        <f t="shared" ca="1" si="114"/>
        <v>-7597.8518400000003</v>
      </c>
      <c r="U110" s="136"/>
    </row>
    <row r="111" spans="1:21" ht="16.5" hidden="1" customHeight="1" x14ac:dyDescent="0.25">
      <c r="A111" s="32">
        <v>30.1</v>
      </c>
      <c r="C111" s="268"/>
      <c r="D111" s="267"/>
      <c r="E111" s="117" t="s">
        <v>284</v>
      </c>
      <c r="F111" s="61">
        <f ca="1">SUMIF(Здание!$G$8:G$293,$E111,Здание!$Q$8:Q$293)</f>
        <v>0</v>
      </c>
      <c r="G111" s="61">
        <f>SUMIF(Здание!$G$245:H$291,$E111,Здание!$Q$245:S$291)</f>
        <v>0</v>
      </c>
      <c r="H111" s="62"/>
      <c r="I111" s="94">
        <f t="shared" ca="1" si="115"/>
        <v>0</v>
      </c>
      <c r="J111" s="95">
        <f t="shared" ca="1" si="110"/>
        <v>0</v>
      </c>
      <c r="K111" s="94">
        <f t="shared" ca="1" si="116"/>
        <v>0</v>
      </c>
      <c r="L111" s="94">
        <f t="shared" ca="1" si="89"/>
        <v>0</v>
      </c>
      <c r="M111" s="163"/>
      <c r="N111" s="169">
        <v>0.8</v>
      </c>
      <c r="O111" s="166">
        <f t="shared" ca="1" si="107"/>
        <v>0</v>
      </c>
      <c r="Q111" s="123"/>
      <c r="R111" s="123">
        <f t="shared" si="91"/>
        <v>0</v>
      </c>
      <c r="S111" s="138"/>
      <c r="T111" s="124">
        <f t="shared" ca="1" si="114"/>
        <v>0</v>
      </c>
      <c r="U111" s="136"/>
    </row>
    <row r="112" spans="1:21" ht="16.5" hidden="1" customHeight="1" x14ac:dyDescent="0.25">
      <c r="A112" s="32">
        <v>26.97</v>
      </c>
      <c r="C112" s="268"/>
      <c r="D112" s="267"/>
      <c r="E112" s="117" t="s">
        <v>343</v>
      </c>
      <c r="F112" s="61">
        <f ca="1">SUMIF(Здание!$G$8:G$293,$E112,Здание!$Q$8:Q$293)</f>
        <v>0</v>
      </c>
      <c r="G112" s="61">
        <f>SUMIF(Здание!$G$245:H$291,$E112,Здание!$Q$245:S$291)</f>
        <v>0</v>
      </c>
      <c r="H112" s="62"/>
      <c r="I112" s="94">
        <f t="shared" ref="I112" ca="1" si="117">SUM(F112:H112)</f>
        <v>0</v>
      </c>
      <c r="J112" s="95">
        <f t="shared" ref="J112" ca="1" si="118">I112/A112</f>
        <v>0</v>
      </c>
      <c r="K112" s="94">
        <f t="shared" ca="1" si="116"/>
        <v>0</v>
      </c>
      <c r="L112" s="94">
        <f t="shared" ref="L112" ca="1" si="119">K112/A112</f>
        <v>0</v>
      </c>
      <c r="M112" s="163"/>
      <c r="N112" s="169">
        <v>0.72</v>
      </c>
      <c r="O112" s="166">
        <f t="shared" ca="1" si="107"/>
        <v>0</v>
      </c>
      <c r="Q112" s="123"/>
      <c r="R112" s="123">
        <f t="shared" ref="R112" si="120">SUM(Q112:Q112)</f>
        <v>0</v>
      </c>
      <c r="S112" s="138"/>
      <c r="T112" s="124">
        <f t="shared" ca="1" si="114"/>
        <v>0</v>
      </c>
      <c r="U112" s="136"/>
    </row>
    <row r="113" spans="1:21" ht="16.5" hidden="1" customHeight="1" x14ac:dyDescent="0.25">
      <c r="A113" s="32">
        <v>32.049999999999997</v>
      </c>
      <c r="C113" s="268"/>
      <c r="D113" s="267"/>
      <c r="E113" s="117" t="s">
        <v>336</v>
      </c>
      <c r="F113" s="61">
        <f ca="1">SUMIF(Здание!$G$8:G$293,$E113,Здание!$Q$8:Q$293)</f>
        <v>0</v>
      </c>
      <c r="G113" s="61">
        <f>SUMIF(Здание!$G$245:H$291,$E113,Здание!$Q$245:S$291)</f>
        <v>0</v>
      </c>
      <c r="H113" s="62"/>
      <c r="I113" s="94">
        <f t="shared" ca="1" si="115"/>
        <v>0</v>
      </c>
      <c r="J113" s="95">
        <f t="shared" ca="1" si="110"/>
        <v>0</v>
      </c>
      <c r="K113" s="94">
        <f t="shared" ca="1" si="116"/>
        <v>0</v>
      </c>
      <c r="L113" s="94">
        <f t="shared" ca="1" si="89"/>
        <v>0</v>
      </c>
      <c r="M113" s="163"/>
      <c r="N113" s="169">
        <v>0.72</v>
      </c>
      <c r="O113" s="166">
        <f t="shared" ca="1" si="107"/>
        <v>0</v>
      </c>
      <c r="Q113" s="123"/>
      <c r="R113" s="123">
        <f t="shared" si="91"/>
        <v>0</v>
      </c>
      <c r="S113" s="138"/>
      <c r="T113" s="124">
        <f t="shared" ca="1" si="114"/>
        <v>0</v>
      </c>
      <c r="U113" s="136"/>
    </row>
    <row r="114" spans="1:21" ht="16.5" hidden="1" customHeight="1" x14ac:dyDescent="0.25">
      <c r="A114" s="32">
        <v>19.27</v>
      </c>
      <c r="C114" s="268"/>
      <c r="D114" s="267"/>
      <c r="E114" s="117" t="s">
        <v>301</v>
      </c>
      <c r="F114" s="61">
        <f ca="1">SUMIF(Здание!$G$8:G$293,$E114,Здание!$Q$8:Q$293)</f>
        <v>0</v>
      </c>
      <c r="G114" s="61">
        <f>SUMIF(Здание!$G$245:H$291,$E114,Здание!$Q$245:S$291)</f>
        <v>0</v>
      </c>
      <c r="H114" s="62"/>
      <c r="I114" s="94">
        <f t="shared" ca="1" si="115"/>
        <v>0</v>
      </c>
      <c r="J114" s="95">
        <f t="shared" ca="1" si="110"/>
        <v>0</v>
      </c>
      <c r="K114" s="94">
        <f t="shared" ca="1" si="116"/>
        <v>0</v>
      </c>
      <c r="L114" s="94">
        <f t="shared" ca="1" si="89"/>
        <v>0</v>
      </c>
      <c r="M114" s="163"/>
      <c r="N114" s="169">
        <v>0.64</v>
      </c>
      <c r="O114" s="166">
        <f t="shared" ca="1" si="107"/>
        <v>0</v>
      </c>
      <c r="Q114" s="123"/>
      <c r="R114" s="123">
        <f t="shared" si="91"/>
        <v>0</v>
      </c>
      <c r="S114" s="138"/>
      <c r="T114" s="124">
        <f t="shared" ca="1" si="114"/>
        <v>0</v>
      </c>
      <c r="U114" s="136"/>
    </row>
    <row r="115" spans="1:21" ht="16.5" hidden="1" customHeight="1" x14ac:dyDescent="0.25">
      <c r="A115" s="32">
        <v>24</v>
      </c>
      <c r="C115" s="268"/>
      <c r="D115" s="267"/>
      <c r="E115" s="117" t="s">
        <v>156</v>
      </c>
      <c r="F115" s="61">
        <f ca="1">SUMIF(Здание!$G$8:G$293,$E115,Здание!$Q$8:Q$293)</f>
        <v>0</v>
      </c>
      <c r="G115" s="61">
        <f>SUMIF(Здание!$G$245:H$291,$E115,Здание!$Q$245:S$291)</f>
        <v>0</v>
      </c>
      <c r="H115" s="62"/>
      <c r="I115" s="94">
        <f ca="1">SUM(F115:H115)</f>
        <v>0</v>
      </c>
      <c r="J115" s="95">
        <f ca="1">I115/A115</f>
        <v>0</v>
      </c>
      <c r="K115" s="94">
        <f t="shared" ca="1" si="116"/>
        <v>0</v>
      </c>
      <c r="L115" s="94">
        <f ca="1">K115/A115</f>
        <v>0</v>
      </c>
      <c r="M115" s="163"/>
      <c r="N115" s="169">
        <v>0.64</v>
      </c>
      <c r="O115" s="166">
        <f t="shared" ca="1" si="107"/>
        <v>0</v>
      </c>
      <c r="Q115" s="123"/>
      <c r="R115" s="123">
        <f t="shared" si="91"/>
        <v>0</v>
      </c>
      <c r="S115" s="138"/>
      <c r="T115" s="124">
        <f t="shared" ca="1" si="114"/>
        <v>0</v>
      </c>
      <c r="U115" s="136"/>
    </row>
    <row r="116" spans="1:21" ht="16.5" hidden="1" customHeight="1" x14ac:dyDescent="0.25">
      <c r="A116" s="32">
        <v>28.29</v>
      </c>
      <c r="C116" s="268"/>
      <c r="D116" s="267"/>
      <c r="E116" s="117" t="s">
        <v>109</v>
      </c>
      <c r="F116" s="61">
        <f ca="1">SUMIF(Здание!$G$8:G$293,$E116,Здание!$Q$8:Q$293)</f>
        <v>0</v>
      </c>
      <c r="G116" s="61">
        <f>SUMIF(Здание!$G$245:H$291,$E116,Здание!$Q$245:S$291)</f>
        <v>0</v>
      </c>
      <c r="H116" s="62"/>
      <c r="I116" s="94">
        <f t="shared" ca="1" si="115"/>
        <v>0</v>
      </c>
      <c r="J116" s="95">
        <f t="shared" ca="1" si="110"/>
        <v>0</v>
      </c>
      <c r="K116" s="94">
        <f t="shared" ca="1" si="116"/>
        <v>0</v>
      </c>
      <c r="L116" s="94">
        <f t="shared" ca="1" si="89"/>
        <v>0</v>
      </c>
      <c r="M116" s="163"/>
      <c r="N116" s="169">
        <v>0.64</v>
      </c>
      <c r="O116" s="166">
        <f t="shared" ca="1" si="107"/>
        <v>0</v>
      </c>
      <c r="Q116" s="123"/>
      <c r="R116" s="123">
        <f t="shared" si="91"/>
        <v>0</v>
      </c>
      <c r="S116" s="138"/>
      <c r="T116" s="124">
        <f t="shared" ca="1" si="114"/>
        <v>0</v>
      </c>
      <c r="U116" s="137"/>
    </row>
    <row r="117" spans="1:21" ht="16.5" hidden="1" customHeight="1" x14ac:dyDescent="0.25">
      <c r="A117" s="32">
        <v>32.31</v>
      </c>
      <c r="C117" s="268"/>
      <c r="D117" s="267"/>
      <c r="E117" s="117" t="s">
        <v>99</v>
      </c>
      <c r="F117" s="61">
        <f ca="1">SUMIF(Здание!$G$8:G$293,$E117,Здание!$Q$8:Q$293)</f>
        <v>0</v>
      </c>
      <c r="G117" s="61">
        <f>SUMIF(Здание!$G$245:H$291,$E117,Здание!$Q$245:S$291)</f>
        <v>0</v>
      </c>
      <c r="H117" s="62"/>
      <c r="I117" s="94">
        <f t="shared" ca="1" si="115"/>
        <v>0</v>
      </c>
      <c r="J117" s="95">
        <f t="shared" ca="1" si="110"/>
        <v>0</v>
      </c>
      <c r="K117" s="94">
        <f t="shared" ca="1" si="116"/>
        <v>0</v>
      </c>
      <c r="L117" s="94">
        <f t="shared" ca="1" si="89"/>
        <v>0</v>
      </c>
      <c r="M117" s="163"/>
      <c r="N117" s="169">
        <v>0.64</v>
      </c>
      <c r="O117" s="166">
        <f t="shared" ca="1" si="107"/>
        <v>0</v>
      </c>
      <c r="Q117" s="123"/>
      <c r="R117" s="123">
        <f t="shared" si="91"/>
        <v>0</v>
      </c>
      <c r="S117" s="138"/>
      <c r="T117" s="124">
        <f t="shared" ca="1" si="114"/>
        <v>0</v>
      </c>
      <c r="U117" s="136"/>
    </row>
    <row r="118" spans="1:21" ht="16.5" hidden="1" customHeight="1" x14ac:dyDescent="0.25">
      <c r="A118" s="32">
        <v>36.46</v>
      </c>
      <c r="C118" s="268"/>
      <c r="D118" s="267"/>
      <c r="E118" s="117" t="s">
        <v>60</v>
      </c>
      <c r="F118" s="61">
        <f ca="1">SUMIF(Здание!$G$8:G$293,$E118,Здание!$Q$8:Q$293)</f>
        <v>0</v>
      </c>
      <c r="G118" s="61">
        <f>SUMIF(Здание!$G$245:H$291,$E118,Здание!$Q$245:S$291)</f>
        <v>0</v>
      </c>
      <c r="H118" s="62"/>
      <c r="I118" s="94">
        <f t="shared" ca="1" si="115"/>
        <v>0</v>
      </c>
      <c r="J118" s="95">
        <f t="shared" ca="1" si="110"/>
        <v>0</v>
      </c>
      <c r="K118" s="94">
        <f t="shared" ca="1" si="116"/>
        <v>0</v>
      </c>
      <c r="L118" s="94">
        <f t="shared" ref="L118:L179" ca="1" si="121">K118/A118</f>
        <v>0</v>
      </c>
      <c r="M118" s="163"/>
      <c r="N118" s="169">
        <v>0.64</v>
      </c>
      <c r="O118" s="166">
        <f t="shared" ca="1" si="107"/>
        <v>0</v>
      </c>
      <c r="Q118" s="123"/>
      <c r="R118" s="123">
        <f t="shared" ref="R118:R178" si="122">SUM(Q118:Q118)</f>
        <v>0</v>
      </c>
      <c r="S118" s="138"/>
      <c r="T118" s="124">
        <f t="shared" ca="1" si="114"/>
        <v>0</v>
      </c>
      <c r="U118" s="136"/>
    </row>
    <row r="119" spans="1:21" ht="16.5" hidden="1" customHeight="1" x14ac:dyDescent="0.25">
      <c r="A119" s="32">
        <v>26.4</v>
      </c>
      <c r="C119" s="268"/>
      <c r="D119" s="267"/>
      <c r="E119" s="117" t="s">
        <v>329</v>
      </c>
      <c r="F119" s="61">
        <f ca="1">SUMIF(Здание!$G$8:G$293,$E119,Здание!$Q$8:Q$293)</f>
        <v>0</v>
      </c>
      <c r="G119" s="61">
        <f>SUMIF(Здание!$G$245:H$291,$E119,Здание!$Q$245:S$291)</f>
        <v>0</v>
      </c>
      <c r="H119" s="62"/>
      <c r="I119" s="94">
        <f t="shared" ca="1" si="115"/>
        <v>0</v>
      </c>
      <c r="J119" s="95">
        <f t="shared" ca="1" si="110"/>
        <v>0</v>
      </c>
      <c r="K119" s="94">
        <f t="shared" ca="1" si="116"/>
        <v>0</v>
      </c>
      <c r="L119" s="94">
        <f t="shared" ca="1" si="121"/>
        <v>0</v>
      </c>
      <c r="M119" s="163"/>
      <c r="N119" s="169">
        <v>0.6</v>
      </c>
      <c r="O119" s="166">
        <f t="shared" ca="1" si="107"/>
        <v>0</v>
      </c>
      <c r="Q119" s="123"/>
      <c r="R119" s="123">
        <f t="shared" si="122"/>
        <v>0</v>
      </c>
      <c r="S119" s="138"/>
      <c r="T119" s="124">
        <f t="shared" ca="1" si="114"/>
        <v>0</v>
      </c>
      <c r="U119" s="136"/>
    </row>
    <row r="120" spans="1:21" ht="16.5" hidden="1" customHeight="1" x14ac:dyDescent="0.25">
      <c r="A120" s="32">
        <v>30.11</v>
      </c>
      <c r="C120" s="268"/>
      <c r="D120" s="267"/>
      <c r="E120" s="117" t="s">
        <v>96</v>
      </c>
      <c r="F120" s="61">
        <f ca="1">SUMIF(Здание!$G$8:G$293,$E120,Здание!$Q$8:Q$293)</f>
        <v>0</v>
      </c>
      <c r="G120" s="61">
        <f>SUMIF(Здание!$G$245:H$291,$E120,Здание!$Q$245:S$291)</f>
        <v>0</v>
      </c>
      <c r="H120" s="62"/>
      <c r="I120" s="94">
        <f t="shared" ref="I120" ca="1" si="123">SUM(F120:H120)</f>
        <v>0</v>
      </c>
      <c r="J120" s="95">
        <f t="shared" ref="J120" ca="1" si="124">I120/A120</f>
        <v>0</v>
      </c>
      <c r="K120" s="94">
        <f t="shared" ca="1" si="116"/>
        <v>0</v>
      </c>
      <c r="L120" s="94">
        <f t="shared" ref="L120" ca="1" si="125">K120/A120</f>
        <v>0</v>
      </c>
      <c r="M120" s="163"/>
      <c r="N120" s="169">
        <v>0.6</v>
      </c>
      <c r="O120" s="166">
        <f t="shared" ca="1" si="107"/>
        <v>0</v>
      </c>
      <c r="Q120" s="123"/>
      <c r="R120" s="123">
        <f t="shared" ref="R120" si="126">SUM(Q120:Q120)</f>
        <v>0</v>
      </c>
      <c r="S120" s="138"/>
      <c r="T120" s="124">
        <f t="shared" ca="1" si="114"/>
        <v>0</v>
      </c>
      <c r="U120" s="136"/>
    </row>
    <row r="121" spans="1:21" ht="16.5" hidden="1" customHeight="1" x14ac:dyDescent="0.25">
      <c r="A121" s="32">
        <v>16.760000000000002</v>
      </c>
      <c r="C121" s="268"/>
      <c r="D121" s="267"/>
      <c r="E121" s="117" t="s">
        <v>77</v>
      </c>
      <c r="F121" s="61">
        <f ca="1">SUMIF(Здание!$G$8:G$293,$E121,Здание!$Q$8:Q$293)</f>
        <v>0</v>
      </c>
      <c r="G121" s="61">
        <f>SUMIF(Здание!$G$245:H$291,$E121,Здание!$Q$245:S$291)</f>
        <v>0</v>
      </c>
      <c r="H121" s="62"/>
      <c r="I121" s="94">
        <f t="shared" ca="1" si="115"/>
        <v>0</v>
      </c>
      <c r="J121" s="95">
        <f t="shared" ca="1" si="110"/>
        <v>0</v>
      </c>
      <c r="K121" s="94">
        <f t="shared" ca="1" si="116"/>
        <v>0</v>
      </c>
      <c r="L121" s="94">
        <f t="shared" ca="1" si="121"/>
        <v>0</v>
      </c>
      <c r="M121" s="163"/>
      <c r="N121" s="169">
        <v>0.56000000000000005</v>
      </c>
      <c r="O121" s="166">
        <f t="shared" ca="1" si="107"/>
        <v>0</v>
      </c>
      <c r="Q121" s="123"/>
      <c r="R121" s="160">
        <f>S121*A121</f>
        <v>0</v>
      </c>
      <c r="S121" s="138"/>
      <c r="T121" s="124">
        <f t="shared" ca="1" si="114"/>
        <v>0</v>
      </c>
      <c r="U121" s="136"/>
    </row>
    <row r="122" spans="1:21" ht="16.5" hidden="1" customHeight="1" x14ac:dyDescent="0.25">
      <c r="A122" s="32">
        <v>20.69</v>
      </c>
      <c r="C122" s="268"/>
      <c r="D122" s="267"/>
      <c r="E122" s="117" t="s">
        <v>76</v>
      </c>
      <c r="F122" s="61">
        <f ca="1">SUMIF(Здание!$G$8:G$293,$E122,Здание!$Q$8:Q$293)</f>
        <v>0</v>
      </c>
      <c r="G122" s="61">
        <f>SUMIF(Здание!$G$245:H$291,$E122,Здание!$Q$245:S$291)</f>
        <v>0</v>
      </c>
      <c r="H122" s="62"/>
      <c r="I122" s="94">
        <f t="shared" ca="1" si="115"/>
        <v>0</v>
      </c>
      <c r="J122" s="95">
        <f t="shared" ca="1" si="110"/>
        <v>0</v>
      </c>
      <c r="K122" s="94">
        <f t="shared" ca="1" si="116"/>
        <v>0</v>
      </c>
      <c r="L122" s="94">
        <f t="shared" ca="1" si="121"/>
        <v>0</v>
      </c>
      <c r="M122" s="163"/>
      <c r="N122" s="169">
        <v>0.56000000000000005</v>
      </c>
      <c r="O122" s="166">
        <f t="shared" ca="1" si="107"/>
        <v>0</v>
      </c>
      <c r="Q122" s="123"/>
      <c r="R122" s="123">
        <f t="shared" si="122"/>
        <v>0</v>
      </c>
      <c r="S122" s="138"/>
      <c r="T122" s="124">
        <f t="shared" ca="1" si="114"/>
        <v>0</v>
      </c>
      <c r="U122" s="137"/>
    </row>
    <row r="123" spans="1:21" ht="22.5" hidden="1" customHeight="1" x14ac:dyDescent="0.25">
      <c r="A123" s="32">
        <v>24.52</v>
      </c>
      <c r="C123" s="268"/>
      <c r="D123" s="267"/>
      <c r="E123" s="117" t="s">
        <v>55</v>
      </c>
      <c r="F123" s="61">
        <f ca="1">SUMIF(Здание!$G$8:G$293,$E123,Здание!$Q$8:Q$293)</f>
        <v>0</v>
      </c>
      <c r="G123" s="61">
        <f>SUMIF(Здание!$G$245:H$291,$E123,Здание!$Q$245:S$291)</f>
        <v>0</v>
      </c>
      <c r="H123" s="62"/>
      <c r="I123" s="94">
        <f t="shared" ca="1" si="115"/>
        <v>0</v>
      </c>
      <c r="J123" s="95">
        <f t="shared" ca="1" si="110"/>
        <v>0</v>
      </c>
      <c r="K123" s="94">
        <f t="shared" ca="1" si="116"/>
        <v>0</v>
      </c>
      <c r="L123" s="94">
        <f t="shared" ca="1" si="121"/>
        <v>0</v>
      </c>
      <c r="M123" s="163"/>
      <c r="N123" s="169">
        <v>0.56000000000000005</v>
      </c>
      <c r="O123" s="166">
        <f t="shared" ca="1" si="107"/>
        <v>0</v>
      </c>
      <c r="Q123" s="123"/>
      <c r="R123" s="123">
        <f t="shared" si="122"/>
        <v>0</v>
      </c>
      <c r="S123" s="138"/>
      <c r="T123" s="124">
        <f t="shared" ca="1" si="114"/>
        <v>0</v>
      </c>
      <c r="U123" s="136"/>
    </row>
    <row r="124" spans="1:21" ht="16.5" hidden="1" customHeight="1" x14ac:dyDescent="0.25">
      <c r="A124" s="32">
        <v>27.91</v>
      </c>
      <c r="C124" s="268"/>
      <c r="D124" s="267"/>
      <c r="E124" s="117" t="s">
        <v>58</v>
      </c>
      <c r="F124" s="61">
        <f ca="1">SUMIF(Здание!$G$8:G$293,$E124,Здание!$Q$8:Q$293)</f>
        <v>0</v>
      </c>
      <c r="G124" s="61">
        <f>SUMIF(Здание!$G$245:H$291,$E124,Здание!$Q$245:S$291)</f>
        <v>0</v>
      </c>
      <c r="H124" s="62"/>
      <c r="I124" s="94">
        <f t="shared" ca="1" si="115"/>
        <v>0</v>
      </c>
      <c r="J124" s="95">
        <f t="shared" ca="1" si="110"/>
        <v>0</v>
      </c>
      <c r="K124" s="94">
        <f t="shared" ca="1" si="116"/>
        <v>0</v>
      </c>
      <c r="L124" s="94">
        <f t="shared" ca="1" si="121"/>
        <v>0</v>
      </c>
      <c r="M124" s="163"/>
      <c r="N124" s="169">
        <v>0.56000000000000005</v>
      </c>
      <c r="O124" s="166">
        <f t="shared" ca="1" si="107"/>
        <v>0</v>
      </c>
      <c r="Q124" s="123"/>
      <c r="R124" s="123">
        <f t="shared" si="122"/>
        <v>0</v>
      </c>
      <c r="S124" s="138"/>
      <c r="T124" s="124">
        <f t="shared" ca="1" si="114"/>
        <v>0</v>
      </c>
      <c r="U124" s="136"/>
    </row>
    <row r="125" spans="1:21" ht="16.5" hidden="1" customHeight="1" x14ac:dyDescent="0.25">
      <c r="A125" s="32">
        <v>31.48</v>
      </c>
      <c r="C125" s="268"/>
      <c r="D125" s="267"/>
      <c r="E125" s="117" t="s">
        <v>59</v>
      </c>
      <c r="F125" s="61">
        <f ca="1">SUMIF(Здание!$G$8:G$293,$E125,Здание!$Q$8:Q$293)</f>
        <v>0</v>
      </c>
      <c r="G125" s="61">
        <f>SUMIF(Здание!$G$245:H$291,$E125,Здание!$Q$245:S$291)</f>
        <v>0</v>
      </c>
      <c r="H125" s="62"/>
      <c r="I125" s="94">
        <f t="shared" ca="1" si="115"/>
        <v>0</v>
      </c>
      <c r="J125" s="95">
        <f t="shared" ca="1" si="110"/>
        <v>0</v>
      </c>
      <c r="K125" s="94">
        <f t="shared" ca="1" si="116"/>
        <v>0</v>
      </c>
      <c r="L125" s="94">
        <f t="shared" ca="1" si="121"/>
        <v>0</v>
      </c>
      <c r="M125" s="163"/>
      <c r="N125" s="169">
        <v>0.56000000000000005</v>
      </c>
      <c r="O125" s="166">
        <f t="shared" ca="1" si="107"/>
        <v>0</v>
      </c>
      <c r="Q125" s="123"/>
      <c r="R125" s="123">
        <f t="shared" si="122"/>
        <v>0</v>
      </c>
      <c r="S125" s="138"/>
      <c r="T125" s="124">
        <f t="shared" ca="1" si="114"/>
        <v>0</v>
      </c>
      <c r="U125" s="136"/>
    </row>
    <row r="126" spans="1:21" ht="22.5" hidden="1" customHeight="1" x14ac:dyDescent="0.25">
      <c r="A126" s="32">
        <v>14.25</v>
      </c>
      <c r="C126" s="268"/>
      <c r="D126" s="267"/>
      <c r="E126" s="117" t="s">
        <v>78</v>
      </c>
      <c r="F126" s="61">
        <f ca="1">SUMIF(Здание!$G$8:G$293,$E126,Здание!$Q$8:Q$293)</f>
        <v>0</v>
      </c>
      <c r="G126" s="61">
        <f>SUMIF(Здание!$G$245:H$291,$E126,Здание!$Q$245:S$291)</f>
        <v>0</v>
      </c>
      <c r="H126" s="62"/>
      <c r="I126" s="94">
        <f t="shared" ca="1" si="115"/>
        <v>0</v>
      </c>
      <c r="J126" s="95">
        <f t="shared" ca="1" si="110"/>
        <v>0</v>
      </c>
      <c r="K126" s="94">
        <f t="shared" ca="1" si="116"/>
        <v>0</v>
      </c>
      <c r="L126" s="94">
        <f t="shared" ca="1" si="121"/>
        <v>0</v>
      </c>
      <c r="M126" s="163"/>
      <c r="N126" s="169">
        <v>0.48</v>
      </c>
      <c r="O126" s="166">
        <f t="shared" ca="1" si="107"/>
        <v>0</v>
      </c>
      <c r="Q126" s="123"/>
      <c r="R126" s="123">
        <f t="shared" si="122"/>
        <v>0</v>
      </c>
      <c r="S126" s="138"/>
      <c r="T126" s="124">
        <f t="shared" ca="1" si="114"/>
        <v>0</v>
      </c>
      <c r="U126" s="137"/>
    </row>
    <row r="127" spans="1:21" ht="16.5" hidden="1" customHeight="1" x14ac:dyDescent="0.25">
      <c r="A127" s="32">
        <v>17.55</v>
      </c>
      <c r="C127" s="268"/>
      <c r="D127" s="267"/>
      <c r="E127" s="117" t="s">
        <v>97</v>
      </c>
      <c r="F127" s="61">
        <f ca="1">SUMIF(Здание!$G$8:G$293,$E127,Здание!$Q$8:Q$293)</f>
        <v>0</v>
      </c>
      <c r="G127" s="61">
        <f>SUMIF(Здание!$G$245:H$291,$E127,Здание!$Q$245:S$291)</f>
        <v>0</v>
      </c>
      <c r="H127" s="62"/>
      <c r="I127" s="94">
        <f t="shared" ca="1" si="115"/>
        <v>0</v>
      </c>
      <c r="J127" s="95">
        <f t="shared" ca="1" si="110"/>
        <v>0</v>
      </c>
      <c r="K127" s="94">
        <f t="shared" ca="1" si="116"/>
        <v>0</v>
      </c>
      <c r="L127" s="94">
        <f t="shared" ca="1" si="121"/>
        <v>0</v>
      </c>
      <c r="M127" s="163"/>
      <c r="N127" s="169">
        <v>0.48</v>
      </c>
      <c r="O127" s="166">
        <f t="shared" ca="1" si="107"/>
        <v>0</v>
      </c>
      <c r="Q127" s="123"/>
      <c r="R127" s="123">
        <f t="shared" si="122"/>
        <v>0</v>
      </c>
      <c r="S127" s="138"/>
      <c r="T127" s="124">
        <f t="shared" ca="1" si="114"/>
        <v>0</v>
      </c>
      <c r="U127" s="136"/>
    </row>
    <row r="128" spans="1:21" ht="16.5" hidden="1" customHeight="1" x14ac:dyDescent="0.25">
      <c r="A128" s="32">
        <v>20.75</v>
      </c>
      <c r="C128" s="268"/>
      <c r="D128" s="267"/>
      <c r="E128" s="117" t="s">
        <v>31</v>
      </c>
      <c r="F128" s="61">
        <f ca="1">SUMIF(Здание!$G$8:G$293,$E128,Здание!$Q$8:Q$293)</f>
        <v>0</v>
      </c>
      <c r="G128" s="61">
        <f>SUMIF(Здание!$G$245:H$291,$E128,Здание!$Q$245:S$291)</f>
        <v>0</v>
      </c>
      <c r="H128" s="62"/>
      <c r="I128" s="94">
        <f t="shared" ca="1" si="115"/>
        <v>0</v>
      </c>
      <c r="J128" s="95">
        <f t="shared" ca="1" si="110"/>
        <v>0</v>
      </c>
      <c r="K128" s="94">
        <f t="shared" ca="1" si="116"/>
        <v>0</v>
      </c>
      <c r="L128" s="94">
        <f t="shared" ca="1" si="121"/>
        <v>0</v>
      </c>
      <c r="M128" s="163"/>
      <c r="N128" s="169">
        <v>0.48</v>
      </c>
      <c r="O128" s="166">
        <f t="shared" ca="1" si="107"/>
        <v>0</v>
      </c>
      <c r="Q128" s="123"/>
      <c r="R128" s="123">
        <f t="shared" si="122"/>
        <v>0</v>
      </c>
      <c r="S128" s="138"/>
      <c r="T128" s="124">
        <f t="shared" ca="1" si="114"/>
        <v>0</v>
      </c>
      <c r="U128" s="136"/>
    </row>
    <row r="129" spans="1:21" ht="16.5" hidden="1" customHeight="1" x14ac:dyDescent="0.25">
      <c r="A129" s="32">
        <v>23.52</v>
      </c>
      <c r="C129" s="268"/>
      <c r="D129" s="267"/>
      <c r="E129" s="117" t="s">
        <v>48</v>
      </c>
      <c r="F129" s="61">
        <f ca="1">SUMIF(Здание!$G$8:G$293,$E129,Здание!$Q$8:Q$293)</f>
        <v>0</v>
      </c>
      <c r="G129" s="61">
        <f>SUMIF(Здание!$G$245:H$291,$E129,Здание!$Q$245:S$291)</f>
        <v>0</v>
      </c>
      <c r="H129" s="62"/>
      <c r="I129" s="94">
        <f t="shared" ca="1" si="115"/>
        <v>0</v>
      </c>
      <c r="J129" s="95">
        <f t="shared" ca="1" si="110"/>
        <v>0</v>
      </c>
      <c r="K129" s="94">
        <f t="shared" ca="1" si="116"/>
        <v>0</v>
      </c>
      <c r="L129" s="94">
        <f t="shared" ca="1" si="121"/>
        <v>0</v>
      </c>
      <c r="M129" s="163"/>
      <c r="N129" s="169">
        <v>0.48</v>
      </c>
      <c r="O129" s="166">
        <f t="shared" ca="1" si="107"/>
        <v>0</v>
      </c>
      <c r="Q129" s="123"/>
      <c r="R129" s="123">
        <f t="shared" si="122"/>
        <v>0</v>
      </c>
      <c r="S129" s="138"/>
      <c r="T129" s="124">
        <f t="shared" ca="1" si="114"/>
        <v>0</v>
      </c>
      <c r="U129" s="136"/>
    </row>
    <row r="130" spans="1:21" ht="16.5" hidden="1" customHeight="1" x14ac:dyDescent="0.25">
      <c r="A130" s="32">
        <v>26.41</v>
      </c>
      <c r="C130" s="268"/>
      <c r="D130" s="267"/>
      <c r="E130" s="117" t="s">
        <v>57</v>
      </c>
      <c r="F130" s="61">
        <f ca="1">SUMIF(Здание!$G$8:G$293,$E130,Здание!$Q$8:Q$293)</f>
        <v>0</v>
      </c>
      <c r="G130" s="61">
        <f>SUMIF(Здание!$G$245:H$291,$E130,Здание!$Q$245:S$291)</f>
        <v>0</v>
      </c>
      <c r="H130" s="62"/>
      <c r="I130" s="94">
        <f t="shared" ca="1" si="115"/>
        <v>0</v>
      </c>
      <c r="J130" s="95">
        <f t="shared" ca="1" si="110"/>
        <v>0</v>
      </c>
      <c r="K130" s="94">
        <f t="shared" ca="1" si="116"/>
        <v>0</v>
      </c>
      <c r="L130" s="94">
        <f t="shared" ca="1" si="121"/>
        <v>0</v>
      </c>
      <c r="M130" s="163"/>
      <c r="N130" s="169">
        <v>0.48</v>
      </c>
      <c r="O130" s="166">
        <f t="shared" ca="1" si="107"/>
        <v>0</v>
      </c>
      <c r="Q130" s="123"/>
      <c r="R130" s="123">
        <f t="shared" si="122"/>
        <v>0</v>
      </c>
      <c r="S130" s="138"/>
      <c r="T130" s="124">
        <f t="shared" ca="1" si="114"/>
        <v>0</v>
      </c>
      <c r="U130" s="136"/>
    </row>
    <row r="131" spans="1:21" ht="16.5" hidden="1" customHeight="1" x14ac:dyDescent="0.25">
      <c r="A131" s="32">
        <v>20.5</v>
      </c>
      <c r="C131" s="268"/>
      <c r="D131" s="267"/>
      <c r="E131" s="117" t="s">
        <v>234</v>
      </c>
      <c r="F131" s="61">
        <f ca="1">SUMIF(Здание!$G$8:G$293,$E131,Здание!$Q$8:Q$293)</f>
        <v>0</v>
      </c>
      <c r="G131" s="61">
        <f>SUMIF(Здание!$G$245:H$291,$E131,Здание!$Q$245:S$291)</f>
        <v>0</v>
      </c>
      <c r="H131" s="62"/>
      <c r="I131" s="94">
        <f ca="1">SUM(F131:H131)</f>
        <v>0</v>
      </c>
      <c r="J131" s="95">
        <f ca="1">I131/A131</f>
        <v>0</v>
      </c>
      <c r="K131" s="94">
        <f t="shared" ca="1" si="116"/>
        <v>0</v>
      </c>
      <c r="L131" s="94">
        <f ca="1">K131/A131</f>
        <v>0</v>
      </c>
      <c r="M131" s="163"/>
      <c r="N131" s="169">
        <v>0.4</v>
      </c>
      <c r="O131" s="166">
        <f t="shared" ca="1" si="107"/>
        <v>0</v>
      </c>
      <c r="Q131" s="123"/>
      <c r="R131" s="123">
        <f t="shared" si="122"/>
        <v>0</v>
      </c>
      <c r="S131" s="138"/>
      <c r="T131" s="124">
        <f t="shared" ca="1" si="114"/>
        <v>0</v>
      </c>
      <c r="U131" s="136"/>
    </row>
    <row r="132" spans="1:21" ht="16.5" hidden="1" customHeight="1" x14ac:dyDescent="0.25">
      <c r="A132" s="32">
        <v>16.98</v>
      </c>
      <c r="C132" s="268"/>
      <c r="D132" s="267"/>
      <c r="E132" s="117" t="s">
        <v>54</v>
      </c>
      <c r="F132" s="61">
        <f ca="1">SUMIF(Здание!$G$8:G$293,$E132,Здание!$Q$8:Q$293)</f>
        <v>0</v>
      </c>
      <c r="G132" s="61">
        <f>SUMIF(Здание!$G$245:H$291,$E132,Здание!$Q$245:S$291)</f>
        <v>0</v>
      </c>
      <c r="H132" s="62"/>
      <c r="I132" s="94">
        <f t="shared" ca="1" si="115"/>
        <v>0</v>
      </c>
      <c r="J132" s="95">
        <f t="shared" ca="1" si="110"/>
        <v>0</v>
      </c>
      <c r="K132" s="94">
        <f t="shared" ca="1" si="116"/>
        <v>0</v>
      </c>
      <c r="L132" s="94">
        <f t="shared" ca="1" si="121"/>
        <v>0</v>
      </c>
      <c r="M132" s="163"/>
      <c r="N132" s="169">
        <v>0.4</v>
      </c>
      <c r="O132" s="166">
        <f t="shared" ca="1" si="107"/>
        <v>0</v>
      </c>
      <c r="Q132" s="123"/>
      <c r="R132" s="123">
        <f t="shared" si="122"/>
        <v>0</v>
      </c>
      <c r="S132" s="138"/>
      <c r="T132" s="124">
        <f t="shared" ca="1" si="114"/>
        <v>0</v>
      </c>
      <c r="U132" s="136"/>
    </row>
    <row r="133" spans="1:21" ht="16.5" hidden="1" customHeight="1" x14ac:dyDescent="0.25">
      <c r="A133" s="32">
        <v>14.41</v>
      </c>
      <c r="C133" s="268"/>
      <c r="D133" s="267"/>
      <c r="E133" s="117" t="s">
        <v>98</v>
      </c>
      <c r="F133" s="61">
        <f ca="1">SUMIF(Здание!$G$8:G$293,$E133,Здание!$Q$8:Q$293)</f>
        <v>0</v>
      </c>
      <c r="G133" s="61">
        <f>SUMIF(Здание!$G$245:H$291,$E133,Здание!$Q$245:S$291)</f>
        <v>0</v>
      </c>
      <c r="H133" s="62"/>
      <c r="I133" s="94">
        <f t="shared" ca="1" si="115"/>
        <v>0</v>
      </c>
      <c r="J133" s="95">
        <f t="shared" ca="1" si="110"/>
        <v>0</v>
      </c>
      <c r="K133" s="94">
        <f t="shared" ca="1" si="116"/>
        <v>0</v>
      </c>
      <c r="L133" s="94">
        <f t="shared" ca="1" si="121"/>
        <v>0</v>
      </c>
      <c r="M133" s="163"/>
      <c r="N133" s="169">
        <v>0.4</v>
      </c>
      <c r="O133" s="166">
        <f t="shared" ca="1" si="107"/>
        <v>0</v>
      </c>
      <c r="Q133" s="123"/>
      <c r="R133" s="123">
        <f t="shared" si="122"/>
        <v>0</v>
      </c>
      <c r="S133" s="138"/>
      <c r="T133" s="124">
        <f t="shared" ca="1" si="114"/>
        <v>0</v>
      </c>
      <c r="U133" s="136"/>
    </row>
    <row r="134" spans="1:21" ht="30" customHeight="1" x14ac:dyDescent="0.25">
      <c r="A134" s="32">
        <v>11.73</v>
      </c>
      <c r="B134" s="10">
        <v>12.05</v>
      </c>
      <c r="C134" s="268"/>
      <c r="D134" s="267"/>
      <c r="E134" s="117" t="s">
        <v>71</v>
      </c>
      <c r="F134" s="61">
        <f ca="1">SUMIF(Здание!$G$8:G$293,$E134,Здание!$Q$8:Q$293)</f>
        <v>2495.5574999999999</v>
      </c>
      <c r="G134" s="61">
        <f>SUMIF(Здание!$G$245:H$291,$E134,Здание!$Q$245:S$291)</f>
        <v>0</v>
      </c>
      <c r="H134" s="62"/>
      <c r="I134" s="94">
        <f t="shared" ca="1" si="115"/>
        <v>2495.5574999999999</v>
      </c>
      <c r="J134" s="95">
        <f t="shared" ca="1" si="110"/>
        <v>212.74999999999997</v>
      </c>
      <c r="K134" s="94">
        <f t="shared" ca="1" si="116"/>
        <v>2570.4242249999998</v>
      </c>
      <c r="L134" s="94">
        <f t="shared" ca="1" si="121"/>
        <v>219.13249999999996</v>
      </c>
      <c r="M134" s="163"/>
      <c r="N134" s="169">
        <v>0.4</v>
      </c>
      <c r="O134" s="166">
        <f t="shared" ca="1" si="107"/>
        <v>87.652999999999992</v>
      </c>
      <c r="Q134" s="123">
        <v>2580</v>
      </c>
      <c r="R134" s="160">
        <f>S134*A134</f>
        <v>0</v>
      </c>
      <c r="S134" s="138"/>
      <c r="T134" s="124">
        <f t="shared" ca="1" si="114"/>
        <v>-2495.5574999999999</v>
      </c>
      <c r="U134" s="137"/>
    </row>
    <row r="135" spans="1:21" ht="16.5" hidden="1" customHeight="1" x14ac:dyDescent="0.25">
      <c r="A135" s="32">
        <v>8.9600000000000009</v>
      </c>
      <c r="C135" s="268"/>
      <c r="D135" s="267"/>
      <c r="E135" s="117" t="s">
        <v>84</v>
      </c>
      <c r="F135" s="61">
        <f ca="1">SUMIF(Здание!$G$8:G$293,$E135,Здание!$Q$8:Q$293)</f>
        <v>0</v>
      </c>
      <c r="G135" s="61">
        <f>SUMIF(Здание!$G$245:H$291,$E135,Здание!$Q$245:S$291)</f>
        <v>0</v>
      </c>
      <c r="H135" s="62"/>
      <c r="I135" s="94">
        <f t="shared" ca="1" si="115"/>
        <v>0</v>
      </c>
      <c r="J135" s="95">
        <f t="shared" ca="1" si="110"/>
        <v>0</v>
      </c>
      <c r="K135" s="94">
        <f t="shared" ca="1" si="116"/>
        <v>0</v>
      </c>
      <c r="L135" s="94">
        <f t="shared" ca="1" si="121"/>
        <v>0</v>
      </c>
      <c r="M135" s="163"/>
      <c r="N135" s="169">
        <v>0.4</v>
      </c>
      <c r="O135" s="166">
        <f t="shared" ca="1" si="107"/>
        <v>0</v>
      </c>
      <c r="Q135" s="123"/>
      <c r="R135" s="160"/>
      <c r="S135" s="138"/>
      <c r="T135" s="124">
        <f t="shared" ca="1" si="114"/>
        <v>0</v>
      </c>
      <c r="U135" s="136"/>
    </row>
    <row r="136" spans="1:21" ht="16.5" hidden="1" customHeight="1" x14ac:dyDescent="0.25">
      <c r="A136" s="32">
        <v>10.48</v>
      </c>
      <c r="C136" s="268"/>
      <c r="D136" s="267"/>
      <c r="E136" s="117" t="s">
        <v>136</v>
      </c>
      <c r="F136" s="61">
        <f ca="1">SUMIF(Здание!$G$8:G$293,$E136,Здание!$Q$8:Q$293)</f>
        <v>0</v>
      </c>
      <c r="G136" s="61">
        <f>SUMIF(Здание!$G$245:H$291,$E136,Здание!$Q$245:S$291)</f>
        <v>0</v>
      </c>
      <c r="H136" s="62"/>
      <c r="I136" s="94">
        <f t="shared" ca="1" si="115"/>
        <v>0</v>
      </c>
      <c r="J136" s="95">
        <f t="shared" ca="1" si="110"/>
        <v>0</v>
      </c>
      <c r="K136" s="94">
        <f t="shared" ca="1" si="116"/>
        <v>0</v>
      </c>
      <c r="L136" s="94">
        <f t="shared" ca="1" si="121"/>
        <v>0</v>
      </c>
      <c r="M136" s="163"/>
      <c r="N136" s="169">
        <v>0.36</v>
      </c>
      <c r="O136" s="166">
        <f t="shared" ca="1" si="107"/>
        <v>0</v>
      </c>
      <c r="Q136" s="123"/>
      <c r="R136" s="123">
        <f t="shared" si="122"/>
        <v>0</v>
      </c>
      <c r="S136" s="138"/>
      <c r="T136" s="124">
        <f t="shared" ca="1" si="114"/>
        <v>0</v>
      </c>
      <c r="U136" s="136"/>
    </row>
    <row r="137" spans="1:21" ht="16.5" hidden="1" customHeight="1" x14ac:dyDescent="0.25">
      <c r="A137" s="32">
        <v>12.84</v>
      </c>
      <c r="C137" s="268"/>
      <c r="D137" s="267"/>
      <c r="E137" s="117" t="s">
        <v>100</v>
      </c>
      <c r="F137" s="61">
        <f ca="1">SUMIF(Здание!$G$8:G$293,$E137,Здание!$Q$8:Q$293)</f>
        <v>0</v>
      </c>
      <c r="G137" s="61">
        <f>SUMIF(Здание!$G$245:H$291,$E137,Здание!$Q$245:S$291)</f>
        <v>0</v>
      </c>
      <c r="H137" s="62"/>
      <c r="I137" s="94">
        <f t="shared" ca="1" si="115"/>
        <v>0</v>
      </c>
      <c r="J137" s="95">
        <f t="shared" ca="1" si="110"/>
        <v>0</v>
      </c>
      <c r="K137" s="94">
        <f t="shared" ca="1" si="116"/>
        <v>0</v>
      </c>
      <c r="L137" s="94">
        <f t="shared" ca="1" si="121"/>
        <v>0</v>
      </c>
      <c r="M137" s="163"/>
      <c r="N137" s="169">
        <v>0.36</v>
      </c>
      <c r="O137" s="166">
        <f t="shared" ca="1" si="107"/>
        <v>0</v>
      </c>
      <c r="Q137" s="123"/>
      <c r="R137" s="123">
        <f t="shared" si="122"/>
        <v>0</v>
      </c>
      <c r="S137" s="138"/>
      <c r="T137" s="124">
        <f t="shared" ca="1" si="114"/>
        <v>0</v>
      </c>
      <c r="U137" s="136"/>
    </row>
    <row r="138" spans="1:21" ht="16.5" hidden="1" customHeight="1" x14ac:dyDescent="0.25">
      <c r="A138" s="32">
        <v>13.46</v>
      </c>
      <c r="C138" s="268"/>
      <c r="D138" s="267"/>
      <c r="E138" s="117" t="s">
        <v>280</v>
      </c>
      <c r="F138" s="61">
        <f ca="1">SUMIF(Здание!$G$8:G$293,$E138,Здание!$Q$8:Q$293)</f>
        <v>0</v>
      </c>
      <c r="G138" s="61">
        <f>SUMIF(Здание!$G$245:H$291,$E138,Здание!$Q$245:S$291)</f>
        <v>0</v>
      </c>
      <c r="H138" s="62"/>
      <c r="I138" s="94">
        <f ca="1">SUM(F138:H138)</f>
        <v>0</v>
      </c>
      <c r="J138" s="95">
        <f ca="1">I138/A138</f>
        <v>0</v>
      </c>
      <c r="K138" s="94">
        <f t="shared" ca="1" si="116"/>
        <v>0</v>
      </c>
      <c r="L138" s="94">
        <f ca="1">K138/A138</f>
        <v>0</v>
      </c>
      <c r="M138" s="163"/>
      <c r="N138" s="169">
        <v>0.32</v>
      </c>
      <c r="O138" s="166">
        <f t="shared" ca="1" si="107"/>
        <v>0</v>
      </c>
      <c r="Q138" s="123"/>
      <c r="R138" s="123">
        <f t="shared" si="122"/>
        <v>0</v>
      </c>
      <c r="S138" s="138"/>
      <c r="T138" s="124">
        <f t="shared" ca="1" si="114"/>
        <v>0</v>
      </c>
      <c r="U138" s="136"/>
    </row>
    <row r="139" spans="1:21" ht="16.5" hidden="1" customHeight="1" x14ac:dyDescent="0.25">
      <c r="A139" s="32">
        <v>11.27</v>
      </c>
      <c r="C139" s="268"/>
      <c r="D139" s="267"/>
      <c r="E139" s="117" t="s">
        <v>56</v>
      </c>
      <c r="F139" s="61">
        <f ca="1">SUMIF(Здание!$G$8:G$293,$E139,Здание!$Q$8:Q$293)</f>
        <v>0</v>
      </c>
      <c r="G139" s="61">
        <f>SUMIF(Здание!$G$245:H$291,$E139,Здание!$Q$245:S$291)</f>
        <v>0</v>
      </c>
      <c r="H139" s="62"/>
      <c r="I139" s="94">
        <f t="shared" ca="1" si="115"/>
        <v>0</v>
      </c>
      <c r="J139" s="95">
        <f t="shared" ca="1" si="110"/>
        <v>0</v>
      </c>
      <c r="K139" s="94">
        <f t="shared" ca="1" si="116"/>
        <v>0</v>
      </c>
      <c r="L139" s="94">
        <f t="shared" ca="1" si="121"/>
        <v>0</v>
      </c>
      <c r="M139" s="163"/>
      <c r="N139" s="169">
        <v>0.32</v>
      </c>
      <c r="O139" s="166">
        <f t="shared" ca="1" si="107"/>
        <v>0</v>
      </c>
      <c r="Q139" s="123"/>
      <c r="R139" s="123">
        <f t="shared" si="122"/>
        <v>0</v>
      </c>
      <c r="S139" s="138"/>
      <c r="T139" s="124">
        <f t="shared" ca="1" si="114"/>
        <v>0</v>
      </c>
      <c r="U139" s="136"/>
    </row>
    <row r="140" spans="1:21" ht="16.5" hidden="1" customHeight="1" x14ac:dyDescent="0.25">
      <c r="A140" s="32">
        <v>9.2200000000000006</v>
      </c>
      <c r="C140" s="268"/>
      <c r="D140" s="267"/>
      <c r="E140" s="117" t="s">
        <v>137</v>
      </c>
      <c r="F140" s="61">
        <f ca="1">SUMIF(Здание!$G$8:G$293,$E140,Здание!$Q$8:Q$293)</f>
        <v>0</v>
      </c>
      <c r="G140" s="61">
        <f>SUMIF(Здание!$G$245:H$291,$E140,Здание!$Q$245:S$291)</f>
        <v>0</v>
      </c>
      <c r="H140" s="62"/>
      <c r="I140" s="94">
        <f t="shared" ca="1" si="115"/>
        <v>0</v>
      </c>
      <c r="J140" s="95">
        <f t="shared" ca="1" si="110"/>
        <v>0</v>
      </c>
      <c r="K140" s="94">
        <f t="shared" ca="1" si="116"/>
        <v>0</v>
      </c>
      <c r="L140" s="94">
        <f t="shared" ca="1" si="121"/>
        <v>0</v>
      </c>
      <c r="M140" s="163"/>
      <c r="N140" s="169">
        <v>0.32</v>
      </c>
      <c r="O140" s="166">
        <f t="shared" ca="1" si="107"/>
        <v>0</v>
      </c>
      <c r="Q140" s="123"/>
      <c r="R140" s="123">
        <f t="shared" si="122"/>
        <v>0</v>
      </c>
      <c r="S140" s="138"/>
      <c r="T140" s="124">
        <f t="shared" ca="1" si="114"/>
        <v>0</v>
      </c>
      <c r="U140" s="137"/>
    </row>
    <row r="141" spans="1:21" ht="16.5" hidden="1" customHeight="1" x14ac:dyDescent="0.25">
      <c r="A141" s="32">
        <v>7.07</v>
      </c>
      <c r="C141" s="268"/>
      <c r="D141" s="267"/>
      <c r="E141" s="117" t="s">
        <v>72</v>
      </c>
      <c r="F141" s="61">
        <f ca="1">SUMIF(Здание!$G$8:G$293,$E141,Здание!$Q$8:Q$293)</f>
        <v>0</v>
      </c>
      <c r="G141" s="61">
        <f>SUMIF(Здание!$G$245:H$291,$E141,Здание!$Q$245:S$291)</f>
        <v>0</v>
      </c>
      <c r="H141" s="62"/>
      <c r="I141" s="94">
        <f t="shared" ca="1" si="115"/>
        <v>0</v>
      </c>
      <c r="J141" s="95">
        <f t="shared" ca="1" si="110"/>
        <v>0</v>
      </c>
      <c r="K141" s="94">
        <f t="shared" ca="1" si="116"/>
        <v>0</v>
      </c>
      <c r="L141" s="94">
        <f t="shared" ca="1" si="121"/>
        <v>0</v>
      </c>
      <c r="M141" s="163"/>
      <c r="N141" s="169">
        <v>0.32</v>
      </c>
      <c r="O141" s="166">
        <f t="shared" ca="1" si="107"/>
        <v>0</v>
      </c>
      <c r="Q141" s="123"/>
      <c r="R141" s="123">
        <f t="shared" si="122"/>
        <v>0</v>
      </c>
      <c r="S141" s="138"/>
      <c r="T141" s="124">
        <f t="shared" ca="1" si="114"/>
        <v>0</v>
      </c>
      <c r="U141" s="136"/>
    </row>
    <row r="142" spans="1:21" ht="16.5" hidden="1" customHeight="1" x14ac:dyDescent="0.25">
      <c r="A142" s="32">
        <v>6.13</v>
      </c>
      <c r="C142" s="268"/>
      <c r="D142" s="267"/>
      <c r="E142" s="117" t="s">
        <v>201</v>
      </c>
      <c r="F142" s="61">
        <f ca="1">SUMIF(Здание!$G$8:G$293,$E142,Здание!$Q$8:Q$293)</f>
        <v>0</v>
      </c>
      <c r="G142" s="61">
        <f>SUMIF(Здание!$G$245:H$291,$E142,Здание!$Q$245:S$291)</f>
        <v>0</v>
      </c>
      <c r="H142" s="62"/>
      <c r="I142" s="94">
        <f ca="1">SUM(F142:H142)</f>
        <v>0</v>
      </c>
      <c r="J142" s="95">
        <f ca="1">I142/A142</f>
        <v>0</v>
      </c>
      <c r="K142" s="94">
        <f t="shared" ref="K142:K161" ca="1" si="127">I142*$C$260</f>
        <v>0</v>
      </c>
      <c r="L142" s="94">
        <f ca="1">K142/A142</f>
        <v>0</v>
      </c>
      <c r="M142" s="163"/>
      <c r="N142" s="169">
        <v>0.28000000000000003</v>
      </c>
      <c r="O142" s="166">
        <f t="shared" ref="O142:O149" ca="1" si="128">N142*L142</f>
        <v>0</v>
      </c>
      <c r="Q142" s="123"/>
      <c r="R142" s="123">
        <f t="shared" si="122"/>
        <v>0</v>
      </c>
      <c r="S142" s="138"/>
      <c r="T142" s="124">
        <f t="shared" ca="1" si="114"/>
        <v>0</v>
      </c>
      <c r="U142" s="136"/>
    </row>
    <row r="143" spans="1:21" ht="16.5" hidden="1" customHeight="1" x14ac:dyDescent="0.25">
      <c r="A143" s="32">
        <v>9.6999999999999993</v>
      </c>
      <c r="C143" s="268"/>
      <c r="D143" s="267"/>
      <c r="E143" s="117" t="s">
        <v>106</v>
      </c>
      <c r="F143" s="61">
        <f ca="1">SUMIF(Здание!$G$8:G$293,$E143,Здание!$Q$8:Q$293)</f>
        <v>0</v>
      </c>
      <c r="G143" s="61">
        <f>SUMIF(Здание!$G$245:H$291,$E143,Здание!$Q$245:S$291)</f>
        <v>0</v>
      </c>
      <c r="H143" s="62"/>
      <c r="I143" s="94">
        <f t="shared" ca="1" si="115"/>
        <v>0</v>
      </c>
      <c r="J143" s="95">
        <f t="shared" ca="1" si="110"/>
        <v>0</v>
      </c>
      <c r="K143" s="94">
        <f t="shared" ca="1" si="127"/>
        <v>0</v>
      </c>
      <c r="L143" s="94">
        <f t="shared" ca="1" si="121"/>
        <v>0</v>
      </c>
      <c r="M143" s="163"/>
      <c r="N143" s="169">
        <v>0.28000000000000003</v>
      </c>
      <c r="O143" s="166">
        <f t="shared" ca="1" si="128"/>
        <v>0</v>
      </c>
      <c r="Q143" s="123"/>
      <c r="R143" s="123">
        <f t="shared" si="122"/>
        <v>0</v>
      </c>
      <c r="S143" s="138"/>
      <c r="T143" s="124">
        <f t="shared" ca="1" si="114"/>
        <v>0</v>
      </c>
      <c r="U143" s="136"/>
    </row>
    <row r="144" spans="1:21" ht="16.5" hidden="1" customHeight="1" x14ac:dyDescent="0.25">
      <c r="A144" s="32">
        <v>9.4499999999999993</v>
      </c>
      <c r="C144" s="268"/>
      <c r="D144" s="267"/>
      <c r="E144" s="117" t="s">
        <v>279</v>
      </c>
      <c r="F144" s="61">
        <f ca="1">SUMIF(Здание!$G$8:G$293,$E144,Здание!$Q$8:Q$293)</f>
        <v>0</v>
      </c>
      <c r="G144" s="61">
        <f>SUMIF(Здание!$G$245:H$291,$E144,Здание!$Q$245:S$291)</f>
        <v>0</v>
      </c>
      <c r="H144" s="62"/>
      <c r="I144" s="94">
        <f t="shared" ca="1" si="115"/>
        <v>0</v>
      </c>
      <c r="J144" s="95">
        <f t="shared" ca="1" si="110"/>
        <v>0</v>
      </c>
      <c r="K144" s="94">
        <f t="shared" ca="1" si="127"/>
        <v>0</v>
      </c>
      <c r="L144" s="94">
        <f t="shared" ca="1" si="121"/>
        <v>0</v>
      </c>
      <c r="M144" s="163"/>
      <c r="N144" s="169">
        <v>0.24</v>
      </c>
      <c r="O144" s="166">
        <f t="shared" ca="1" si="128"/>
        <v>0</v>
      </c>
      <c r="Q144" s="123"/>
      <c r="R144" s="123">
        <f t="shared" si="122"/>
        <v>0</v>
      </c>
      <c r="S144" s="138"/>
      <c r="T144" s="124">
        <f t="shared" ca="1" si="114"/>
        <v>0</v>
      </c>
      <c r="U144" s="136"/>
    </row>
    <row r="145" spans="1:21" ht="16.5" hidden="1" customHeight="1" x14ac:dyDescent="0.25">
      <c r="A145" s="32">
        <v>6.71</v>
      </c>
      <c r="C145" s="268"/>
      <c r="D145" s="267"/>
      <c r="E145" s="117" t="s">
        <v>138</v>
      </c>
      <c r="F145" s="61">
        <f ca="1">SUMIF(Здание!$G$8:G$293,$E145,Здание!$Q$8:Q$293)</f>
        <v>0</v>
      </c>
      <c r="G145" s="61">
        <f>SUMIF(Здание!$G$245:H$291,$E145,Здание!$Q$245:S$291)</f>
        <v>0</v>
      </c>
      <c r="H145" s="62"/>
      <c r="I145" s="94">
        <f t="shared" ca="1" si="115"/>
        <v>0</v>
      </c>
      <c r="J145" s="95">
        <f t="shared" ca="1" si="110"/>
        <v>0</v>
      </c>
      <c r="K145" s="94">
        <f t="shared" ca="1" si="127"/>
        <v>0</v>
      </c>
      <c r="L145" s="94">
        <f t="shared" ca="1" si="121"/>
        <v>0</v>
      </c>
      <c r="M145" s="163"/>
      <c r="N145" s="169">
        <v>0.24</v>
      </c>
      <c r="O145" s="166">
        <f t="shared" ca="1" si="128"/>
        <v>0</v>
      </c>
      <c r="Q145" s="123"/>
      <c r="R145" s="123">
        <f t="shared" si="122"/>
        <v>0</v>
      </c>
      <c r="S145" s="138"/>
      <c r="T145" s="124">
        <f t="shared" ca="1" si="114"/>
        <v>0</v>
      </c>
      <c r="U145" s="137"/>
    </row>
    <row r="146" spans="1:21" ht="16.5" hidden="1" customHeight="1" x14ac:dyDescent="0.25">
      <c r="A146" s="32">
        <v>3.56</v>
      </c>
      <c r="C146" s="268"/>
      <c r="D146" s="267"/>
      <c r="E146" s="117" t="s">
        <v>202</v>
      </c>
      <c r="F146" s="61">
        <f ca="1">SUMIF(Здание!$G$8:G$293,$E146,Здание!$Q$8:Q$293)</f>
        <v>0</v>
      </c>
      <c r="G146" s="61">
        <f>SUMIF(Здание!$G$245:H$291,$E146,Здание!$Q$245:S$291)</f>
        <v>0</v>
      </c>
      <c r="H146" s="62"/>
      <c r="I146" s="94">
        <f t="shared" ca="1" si="115"/>
        <v>0</v>
      </c>
      <c r="J146" s="95">
        <f t="shared" ca="1" si="110"/>
        <v>0</v>
      </c>
      <c r="K146" s="94">
        <f t="shared" ca="1" si="127"/>
        <v>0</v>
      </c>
      <c r="L146" s="94">
        <f t="shared" ca="1" si="121"/>
        <v>0</v>
      </c>
      <c r="M146" s="163"/>
      <c r="N146" s="169">
        <v>0.24</v>
      </c>
      <c r="O146" s="166">
        <f t="shared" ca="1" si="128"/>
        <v>0</v>
      </c>
      <c r="Q146" s="123"/>
      <c r="R146" s="123">
        <f t="shared" si="122"/>
        <v>0</v>
      </c>
      <c r="S146" s="138"/>
      <c r="T146" s="124">
        <f t="shared" ca="1" si="114"/>
        <v>0</v>
      </c>
      <c r="U146" s="136"/>
    </row>
    <row r="147" spans="1:21" ht="16.5" hidden="1" customHeight="1" x14ac:dyDescent="0.25">
      <c r="A147" s="32">
        <v>5.45</v>
      </c>
      <c r="C147" s="268"/>
      <c r="D147" s="267"/>
      <c r="E147" s="117" t="s">
        <v>199</v>
      </c>
      <c r="F147" s="61">
        <f ca="1">SUMIF(Здание!$G$8:G$293,$E147,Здание!$Q$8:Q$293)</f>
        <v>0</v>
      </c>
      <c r="G147" s="61">
        <f>SUMIF(Здание!$G$245:H$291,$E147,Здание!$Q$245:S$291)</f>
        <v>0</v>
      </c>
      <c r="H147" s="62"/>
      <c r="I147" s="94">
        <f t="shared" ca="1" si="115"/>
        <v>0</v>
      </c>
      <c r="J147" s="95">
        <f t="shared" ref="J147:J159" ca="1" si="129">I147/A147</f>
        <v>0</v>
      </c>
      <c r="K147" s="94">
        <f t="shared" ca="1" si="127"/>
        <v>0</v>
      </c>
      <c r="L147" s="94">
        <f t="shared" ca="1" si="121"/>
        <v>0</v>
      </c>
      <c r="M147" s="163"/>
      <c r="N147" s="169">
        <v>0.2</v>
      </c>
      <c r="O147" s="166">
        <f t="shared" ca="1" si="128"/>
        <v>0</v>
      </c>
      <c r="Q147" s="123"/>
      <c r="R147" s="123">
        <f t="shared" si="122"/>
        <v>0</v>
      </c>
      <c r="S147" s="138"/>
      <c r="T147" s="124">
        <f t="shared" ca="1" si="114"/>
        <v>0</v>
      </c>
      <c r="U147" s="136"/>
    </row>
    <row r="148" spans="1:21" ht="16.5" hidden="1" customHeight="1" x14ac:dyDescent="0.25">
      <c r="A148" s="32">
        <v>2.31</v>
      </c>
      <c r="C148" s="268"/>
      <c r="D148" s="267"/>
      <c r="E148" s="117" t="s">
        <v>273</v>
      </c>
      <c r="F148" s="61">
        <f ca="1">SUMIF(Здание!$G$8:G$293,$E148,Здание!$Q$8:Q$293)</f>
        <v>0</v>
      </c>
      <c r="G148" s="61">
        <f>SUMIF(Здание!$G$245:H$291,$E148,Здание!$Q$245:S$291)</f>
        <v>0</v>
      </c>
      <c r="H148" s="62"/>
      <c r="I148" s="94">
        <f t="shared" ca="1" si="115"/>
        <v>0</v>
      </c>
      <c r="J148" s="95">
        <f t="shared" ca="1" si="129"/>
        <v>0</v>
      </c>
      <c r="K148" s="94">
        <f t="shared" ca="1" si="127"/>
        <v>0</v>
      </c>
      <c r="L148" s="94">
        <f t="shared" ca="1" si="121"/>
        <v>0</v>
      </c>
      <c r="M148" s="163"/>
      <c r="N148" s="169">
        <v>0.16</v>
      </c>
      <c r="O148" s="166">
        <f t="shared" ca="1" si="128"/>
        <v>0</v>
      </c>
      <c r="Q148" s="123"/>
      <c r="R148" s="123">
        <f t="shared" si="122"/>
        <v>0</v>
      </c>
      <c r="S148" s="138"/>
      <c r="T148" s="124">
        <f t="shared" ca="1" si="114"/>
        <v>0</v>
      </c>
      <c r="U148" s="136"/>
    </row>
    <row r="149" spans="1:21" ht="16.5" hidden="1" customHeight="1" x14ac:dyDescent="0.25">
      <c r="A149" s="32">
        <v>2.42</v>
      </c>
      <c r="C149" s="268"/>
      <c r="D149" s="267"/>
      <c r="E149" s="117" t="s">
        <v>265</v>
      </c>
      <c r="F149" s="61">
        <f ca="1">SUMIF(Здание!$G$8:G$293,$E149,Здание!$Q$8:Q$293)</f>
        <v>0</v>
      </c>
      <c r="G149" s="61">
        <f>SUMIF(Здание!$G$245:H$291,$E149,Здание!$Q$245:S$291)</f>
        <v>0</v>
      </c>
      <c r="H149" s="62"/>
      <c r="I149" s="94">
        <f t="shared" ca="1" si="115"/>
        <v>0</v>
      </c>
      <c r="J149" s="95">
        <f t="shared" ca="1" si="129"/>
        <v>0</v>
      </c>
      <c r="K149" s="94">
        <f t="shared" ca="1" si="127"/>
        <v>0</v>
      </c>
      <c r="L149" s="94">
        <f ca="1">K149/A149</f>
        <v>0</v>
      </c>
      <c r="M149" s="163"/>
      <c r="N149" s="169">
        <v>0.12</v>
      </c>
      <c r="O149" s="166">
        <f t="shared" ca="1" si="128"/>
        <v>0</v>
      </c>
      <c r="Q149" s="123"/>
      <c r="R149" s="123">
        <f t="shared" si="122"/>
        <v>0</v>
      </c>
      <c r="S149" s="138"/>
      <c r="T149" s="124">
        <f t="shared" ca="1" si="114"/>
        <v>0</v>
      </c>
      <c r="U149" s="136"/>
    </row>
    <row r="150" spans="1:21" ht="2.1" hidden="1" customHeight="1" x14ac:dyDescent="0.25">
      <c r="A150" s="32"/>
      <c r="C150" s="266" t="s">
        <v>69</v>
      </c>
      <c r="D150" s="266" t="s">
        <v>293</v>
      </c>
      <c r="E150" s="117"/>
      <c r="F150" s="61">
        <f ca="1">SUMIF(Здание!$G$8:G$293,$E150,Здание!$Q$8:Q$293)</f>
        <v>0</v>
      </c>
      <c r="G150" s="61">
        <f>SUMIF(Здание!$G$245:H$291,$E150,Здание!$Q$245:S$291)</f>
        <v>0</v>
      </c>
      <c r="H150" s="62"/>
      <c r="I150" s="94"/>
      <c r="J150" s="95"/>
      <c r="K150" s="94">
        <f t="shared" si="127"/>
        <v>0</v>
      </c>
      <c r="L150" s="94"/>
      <c r="M150" s="163"/>
      <c r="N150" s="169" t="s">
        <v>394</v>
      </c>
      <c r="O150" s="167"/>
      <c r="Q150" s="123"/>
      <c r="R150" s="123">
        <f t="shared" si="122"/>
        <v>0</v>
      </c>
      <c r="S150" s="138"/>
      <c r="T150" s="124">
        <f t="shared" si="114"/>
        <v>0</v>
      </c>
      <c r="U150" s="136"/>
    </row>
    <row r="151" spans="1:21" ht="17.25" hidden="1" customHeight="1" x14ac:dyDescent="0.25">
      <c r="A151" s="32">
        <v>48.3</v>
      </c>
      <c r="C151" s="267"/>
      <c r="D151" s="267"/>
      <c r="E151" s="117" t="s">
        <v>215</v>
      </c>
      <c r="F151" s="61">
        <f ca="1">SUMIF(Здание!$G$8:G$293,$E151,Здание!$Q$8:Q$293)</f>
        <v>0</v>
      </c>
      <c r="G151" s="61">
        <f>SUMIF(Здание!$G$245:H$291,$E151,Здание!$Q$245:S$291)</f>
        <v>0</v>
      </c>
      <c r="H151" s="62"/>
      <c r="I151" s="94">
        <f ca="1">SUM(F151:H151)</f>
        <v>0</v>
      </c>
      <c r="J151" s="95">
        <f ca="1">I151/A151</f>
        <v>0</v>
      </c>
      <c r="K151" s="94">
        <f t="shared" ca="1" si="127"/>
        <v>0</v>
      </c>
      <c r="L151" s="94">
        <f ca="1">K151/A151</f>
        <v>0</v>
      </c>
      <c r="M151" s="163"/>
      <c r="N151" s="169">
        <v>1.22</v>
      </c>
      <c r="O151" s="166">
        <f t="shared" ref="O151:O160" ca="1" si="130">N151*L151</f>
        <v>0</v>
      </c>
      <c r="Q151" s="123"/>
      <c r="R151" s="123">
        <f t="shared" si="122"/>
        <v>0</v>
      </c>
      <c r="S151" s="138"/>
      <c r="T151" s="124">
        <f t="shared" ca="1" si="114"/>
        <v>0</v>
      </c>
      <c r="U151" s="136"/>
    </row>
    <row r="152" spans="1:21" ht="17.25" hidden="1" customHeight="1" x14ac:dyDescent="0.25">
      <c r="A152" s="32">
        <v>41.9</v>
      </c>
      <c r="C152" s="267"/>
      <c r="D152" s="267"/>
      <c r="E152" s="117" t="s">
        <v>260</v>
      </c>
      <c r="F152" s="61">
        <f ca="1">SUMIF(Здание!$G$8:G$293,$E152,Здание!$Q$8:Q$293)</f>
        <v>0</v>
      </c>
      <c r="G152" s="61">
        <f>SUMIF(Здание!$G$245:H$291,$E152,Здание!$Q$245:S$291)</f>
        <v>0</v>
      </c>
      <c r="H152" s="62"/>
      <c r="I152" s="94">
        <f ca="1">SUM(F152:H152)</f>
        <v>0</v>
      </c>
      <c r="J152" s="95">
        <f ca="1">I152/A152</f>
        <v>0</v>
      </c>
      <c r="K152" s="94">
        <f t="shared" ca="1" si="127"/>
        <v>0</v>
      </c>
      <c r="L152" s="94">
        <f ca="1">K152/A152</f>
        <v>0</v>
      </c>
      <c r="M152" s="163"/>
      <c r="N152" s="169">
        <v>1.1299999999999999</v>
      </c>
      <c r="O152" s="166">
        <f t="shared" ca="1" si="130"/>
        <v>0</v>
      </c>
      <c r="Q152" s="123"/>
      <c r="R152" s="123">
        <f t="shared" si="122"/>
        <v>0</v>
      </c>
      <c r="S152" s="138"/>
      <c r="T152" s="124">
        <f t="shared" ca="1" si="114"/>
        <v>0</v>
      </c>
      <c r="U152" s="136"/>
    </row>
    <row r="153" spans="1:21" ht="17.25" hidden="1" customHeight="1" x14ac:dyDescent="0.25">
      <c r="A153" s="32">
        <v>31.8</v>
      </c>
      <c r="C153" s="267"/>
      <c r="D153" s="267"/>
      <c r="E153" s="117" t="s">
        <v>254</v>
      </c>
      <c r="F153" s="61">
        <f ca="1">SUMIF(Здание!$G$8:G$293,$E153,Здание!$Q$8:Q$293)</f>
        <v>0</v>
      </c>
      <c r="G153" s="61">
        <f>SUMIF(Здание!$G$245:H$291,$E153,Здание!$Q$245:S$291)</f>
        <v>0</v>
      </c>
      <c r="H153" s="62"/>
      <c r="I153" s="94">
        <f t="shared" ca="1" si="115"/>
        <v>0</v>
      </c>
      <c r="J153" s="95">
        <f t="shared" ca="1" si="129"/>
        <v>0</v>
      </c>
      <c r="K153" s="94">
        <f t="shared" ca="1" si="127"/>
        <v>0</v>
      </c>
      <c r="L153" s="94">
        <f t="shared" ca="1" si="121"/>
        <v>0</v>
      </c>
      <c r="M153" s="163"/>
      <c r="N153" s="169">
        <v>0.97</v>
      </c>
      <c r="O153" s="166">
        <f t="shared" ca="1" si="130"/>
        <v>0</v>
      </c>
      <c r="Q153" s="123"/>
      <c r="R153" s="123">
        <f t="shared" si="122"/>
        <v>0</v>
      </c>
      <c r="S153" s="138"/>
      <c r="T153" s="124">
        <f t="shared" ref="T153:T216" ca="1" si="131">R153-I153</f>
        <v>0</v>
      </c>
      <c r="U153" s="136"/>
    </row>
    <row r="154" spans="1:21" ht="17.25" hidden="1" customHeight="1" x14ac:dyDescent="0.25">
      <c r="A154" s="32">
        <v>27.7</v>
      </c>
      <c r="C154" s="267"/>
      <c r="D154" s="267"/>
      <c r="E154" s="117" t="s">
        <v>277</v>
      </c>
      <c r="F154" s="61">
        <f ca="1">SUMIF(Здание!$G$8:G$293,$E154,Здание!$Q$8:Q$293)</f>
        <v>0</v>
      </c>
      <c r="G154" s="61">
        <f>SUMIF(Здание!$G$245:H$291,$E154,Здание!$Q$245:S$291)</f>
        <v>0</v>
      </c>
      <c r="H154" s="62"/>
      <c r="I154" s="94">
        <f ca="1">SUM(F154:H154)</f>
        <v>0</v>
      </c>
      <c r="J154" s="95">
        <f ca="1">I154/A154</f>
        <v>0</v>
      </c>
      <c r="K154" s="94">
        <f t="shared" ca="1" si="127"/>
        <v>0</v>
      </c>
      <c r="L154" s="94">
        <f ca="1">K154/A154</f>
        <v>0</v>
      </c>
      <c r="M154" s="163"/>
      <c r="N154" s="169">
        <v>0.89</v>
      </c>
      <c r="O154" s="166">
        <f t="shared" ca="1" si="130"/>
        <v>0</v>
      </c>
      <c r="Q154" s="123"/>
      <c r="R154" s="123">
        <f t="shared" si="122"/>
        <v>0</v>
      </c>
      <c r="S154" s="138"/>
      <c r="T154" s="124">
        <f t="shared" ca="1" si="131"/>
        <v>0</v>
      </c>
      <c r="U154" s="136"/>
    </row>
    <row r="155" spans="1:21" ht="44.25" hidden="1" customHeight="1" x14ac:dyDescent="0.25">
      <c r="A155" s="32">
        <v>24</v>
      </c>
      <c r="C155" s="267"/>
      <c r="D155" s="267"/>
      <c r="E155" s="117" t="s">
        <v>276</v>
      </c>
      <c r="F155" s="61">
        <f ca="1">SUMIF(Здание!$G$8:G$293,$E155,Здание!$Q$8:Q$293)</f>
        <v>0</v>
      </c>
      <c r="G155" s="61">
        <f>SUMIF(Здание!$G$245:H$291,$E155,Здание!$Q$245:S$291)</f>
        <v>0</v>
      </c>
      <c r="H155" s="62"/>
      <c r="I155" s="94">
        <f t="shared" ca="1" si="115"/>
        <v>0</v>
      </c>
      <c r="J155" s="95">
        <f t="shared" ca="1" si="129"/>
        <v>0</v>
      </c>
      <c r="K155" s="94">
        <f t="shared" ca="1" si="127"/>
        <v>0</v>
      </c>
      <c r="L155" s="94">
        <f t="shared" ca="1" si="121"/>
        <v>0</v>
      </c>
      <c r="M155" s="163"/>
      <c r="N155" s="169">
        <v>0.81</v>
      </c>
      <c r="O155" s="166">
        <f t="shared" ca="1" si="130"/>
        <v>0</v>
      </c>
      <c r="Q155" s="123"/>
      <c r="R155" s="123">
        <f t="shared" si="122"/>
        <v>0</v>
      </c>
      <c r="S155" s="138"/>
      <c r="T155" s="124">
        <f t="shared" ca="1" si="131"/>
        <v>0</v>
      </c>
      <c r="U155" s="136"/>
    </row>
    <row r="156" spans="1:21" ht="17.25" hidden="1" customHeight="1" x14ac:dyDescent="0.25">
      <c r="A156" s="32">
        <v>21</v>
      </c>
      <c r="C156" s="267"/>
      <c r="D156" s="267"/>
      <c r="E156" s="117" t="s">
        <v>292</v>
      </c>
      <c r="F156" s="61">
        <f ca="1">SUMIF(Здание!$G$8:G$293,$E156,Здание!$Q$8:Q$293)</f>
        <v>0</v>
      </c>
      <c r="G156" s="61">
        <f>SUMIF(Здание!$G$245:H$291,$E156,Здание!$Q$245:S$291)</f>
        <v>0</v>
      </c>
      <c r="H156" s="62"/>
      <c r="I156" s="94">
        <f ca="1">SUM(F156:H156)</f>
        <v>0</v>
      </c>
      <c r="J156" s="95">
        <f ca="1">I156/A156</f>
        <v>0</v>
      </c>
      <c r="K156" s="94">
        <f t="shared" ca="1" si="127"/>
        <v>0</v>
      </c>
      <c r="L156" s="94">
        <f ca="1">K156/A156</f>
        <v>0</v>
      </c>
      <c r="M156" s="163"/>
      <c r="N156" s="169">
        <v>0.74</v>
      </c>
      <c r="O156" s="166">
        <f t="shared" ca="1" si="130"/>
        <v>0</v>
      </c>
      <c r="Q156" s="123"/>
      <c r="R156" s="123">
        <f t="shared" si="122"/>
        <v>0</v>
      </c>
      <c r="S156" s="138"/>
      <c r="T156" s="124">
        <f t="shared" ca="1" si="131"/>
        <v>0</v>
      </c>
      <c r="U156" s="136"/>
    </row>
    <row r="157" spans="1:21" ht="17.25" hidden="1" customHeight="1" x14ac:dyDescent="0.25">
      <c r="A157" s="32">
        <v>18.399999999999999</v>
      </c>
      <c r="C157" s="267"/>
      <c r="D157" s="267"/>
      <c r="E157" s="117" t="s">
        <v>177</v>
      </c>
      <c r="F157" s="61">
        <f ca="1">SUMIF(Здание!$G$8:G$293,$E157,Здание!$Q$8:Q$293)</f>
        <v>0</v>
      </c>
      <c r="G157" s="61">
        <f>SUMIF(Здание!$G$245:H$291,$E157,Здание!$Q$245:S$291)</f>
        <v>0</v>
      </c>
      <c r="H157" s="62"/>
      <c r="I157" s="94">
        <f ca="1">SUM(F157:H157)</f>
        <v>0</v>
      </c>
      <c r="J157" s="95">
        <f ca="1">I157/A157</f>
        <v>0</v>
      </c>
      <c r="K157" s="94">
        <f t="shared" ca="1" si="127"/>
        <v>0</v>
      </c>
      <c r="L157" s="94">
        <f ca="1">K157/A157</f>
        <v>0</v>
      </c>
      <c r="M157" s="163"/>
      <c r="N157" s="169">
        <v>0.68</v>
      </c>
      <c r="O157" s="166">
        <f t="shared" ca="1" si="130"/>
        <v>0</v>
      </c>
      <c r="Q157" s="123"/>
      <c r="R157" s="123">
        <f t="shared" si="122"/>
        <v>0</v>
      </c>
      <c r="S157" s="138"/>
      <c r="T157" s="124">
        <f t="shared" ca="1" si="131"/>
        <v>0</v>
      </c>
      <c r="U157" s="136"/>
    </row>
    <row r="158" spans="1:21" ht="17.25" hidden="1" customHeight="1" x14ac:dyDescent="0.25">
      <c r="A158" s="32">
        <v>16.3</v>
      </c>
      <c r="C158" s="267"/>
      <c r="D158" s="267"/>
      <c r="E158" s="117" t="s">
        <v>134</v>
      </c>
      <c r="F158" s="61">
        <f ca="1">SUMIF(Здание!$G$8:G$293,$E158,Здание!$Q$8:Q$293)</f>
        <v>0</v>
      </c>
      <c r="G158" s="61">
        <f>SUMIF(Здание!$G$245:H$291,$E158,Здание!$Q$245:S$291)</f>
        <v>0</v>
      </c>
      <c r="H158" s="62"/>
      <c r="I158" s="94">
        <f t="shared" ca="1" si="115"/>
        <v>0</v>
      </c>
      <c r="J158" s="95">
        <f t="shared" ca="1" si="129"/>
        <v>0</v>
      </c>
      <c r="K158" s="94">
        <f t="shared" ca="1" si="127"/>
        <v>0</v>
      </c>
      <c r="L158" s="94">
        <f t="shared" ca="1" si="121"/>
        <v>0</v>
      </c>
      <c r="M158" s="163"/>
      <c r="N158" s="169">
        <v>0.62</v>
      </c>
      <c r="O158" s="166">
        <f t="shared" ca="1" si="130"/>
        <v>0</v>
      </c>
      <c r="Q158" s="123"/>
      <c r="R158" s="123">
        <f t="shared" si="122"/>
        <v>0</v>
      </c>
      <c r="S158" s="138"/>
      <c r="T158" s="124">
        <f t="shared" ca="1" si="131"/>
        <v>0</v>
      </c>
      <c r="U158" s="136"/>
    </row>
    <row r="159" spans="1:21" ht="17.25" hidden="1" customHeight="1" x14ac:dyDescent="0.25">
      <c r="A159" s="32">
        <v>14.2</v>
      </c>
      <c r="C159" s="267"/>
      <c r="D159" s="267"/>
      <c r="E159" s="117" t="s">
        <v>38</v>
      </c>
      <c r="F159" s="61">
        <f ca="1">SUMIF(Здание!$G$8:G$293,$E159,Здание!$Q$8:Q$293)</f>
        <v>0</v>
      </c>
      <c r="G159" s="61">
        <f>SUMIF(Здание!$G$245:H$291,$E159,Здание!$Q$245:S$291)</f>
        <v>0</v>
      </c>
      <c r="H159" s="62"/>
      <c r="I159" s="94">
        <f t="shared" ca="1" si="115"/>
        <v>0</v>
      </c>
      <c r="J159" s="95">
        <f t="shared" ca="1" si="129"/>
        <v>0</v>
      </c>
      <c r="K159" s="94">
        <f t="shared" ca="1" si="127"/>
        <v>0</v>
      </c>
      <c r="L159" s="94">
        <f t="shared" ca="1" si="121"/>
        <v>0</v>
      </c>
      <c r="M159" s="163"/>
      <c r="N159" s="169">
        <v>0.55000000000000004</v>
      </c>
      <c r="O159" s="166">
        <f t="shared" ca="1" si="130"/>
        <v>0</v>
      </c>
      <c r="Q159" s="123"/>
      <c r="R159" s="123">
        <f t="shared" si="122"/>
        <v>0</v>
      </c>
      <c r="S159" s="138"/>
      <c r="T159" s="124">
        <f t="shared" ca="1" si="131"/>
        <v>0</v>
      </c>
      <c r="U159" s="136"/>
    </row>
    <row r="160" spans="1:21" ht="17.25" hidden="1" customHeight="1" x14ac:dyDescent="0.25">
      <c r="A160" s="32">
        <v>10.4</v>
      </c>
      <c r="C160" s="267"/>
      <c r="D160" s="267"/>
      <c r="E160" s="117" t="s">
        <v>92</v>
      </c>
      <c r="F160" s="61">
        <f ca="1">SUMIF(Здание!$G$8:G$293,$E160,Здание!$Q$8:Q$293)</f>
        <v>0</v>
      </c>
      <c r="G160" s="61">
        <f>SUMIF(Здание!$G$245:H$291,$E160,Здание!$Q$245:S$291)</f>
        <v>0</v>
      </c>
      <c r="H160" s="62"/>
      <c r="I160" s="94">
        <f ca="1">SUM(F160:H160)</f>
        <v>0</v>
      </c>
      <c r="J160" s="95">
        <f ca="1">I160/A160</f>
        <v>0</v>
      </c>
      <c r="K160" s="94">
        <f t="shared" ca="1" si="127"/>
        <v>0</v>
      </c>
      <c r="L160" s="94">
        <f ca="1">K160/A160</f>
        <v>0</v>
      </c>
      <c r="M160" s="163"/>
      <c r="N160" s="169">
        <v>0.43</v>
      </c>
      <c r="O160" s="166">
        <f t="shared" ca="1" si="130"/>
        <v>0</v>
      </c>
      <c r="Q160" s="123"/>
      <c r="R160" s="123">
        <f t="shared" si="122"/>
        <v>0</v>
      </c>
      <c r="S160" s="138"/>
      <c r="T160" s="124">
        <f t="shared" ca="1" si="131"/>
        <v>0</v>
      </c>
      <c r="U160" s="136"/>
    </row>
    <row r="161" spans="1:21" ht="17.25" hidden="1" customHeight="1" x14ac:dyDescent="0.25">
      <c r="A161" s="32">
        <v>8.59</v>
      </c>
      <c r="C161" s="267"/>
      <c r="D161" s="267"/>
      <c r="E161" s="117" t="s">
        <v>278</v>
      </c>
      <c r="F161" s="61">
        <f ca="1">SUMIF(Здание!$G$8:G$293,$E161,Здание!$Q$8:Q$293)</f>
        <v>0</v>
      </c>
      <c r="G161" s="61">
        <f>SUMIF(Здание!$G$245:H$291,$E161,Здание!$Q$245:S$291)</f>
        <v>0</v>
      </c>
      <c r="H161" s="62"/>
      <c r="I161" s="94">
        <f t="shared" ca="1" si="115"/>
        <v>0</v>
      </c>
      <c r="J161" s="95">
        <f t="shared" ref="J161:J210" ca="1" si="132">I161/A161</f>
        <v>0</v>
      </c>
      <c r="K161" s="94">
        <f t="shared" ca="1" si="127"/>
        <v>0</v>
      </c>
      <c r="L161" s="94">
        <f t="shared" ca="1" si="121"/>
        <v>0</v>
      </c>
      <c r="M161" s="163"/>
      <c r="N161" s="169">
        <v>0.37</v>
      </c>
      <c r="O161" s="166">
        <f ca="1">N161*L161</f>
        <v>0</v>
      </c>
      <c r="Q161" s="123"/>
      <c r="R161" s="123">
        <f t="shared" si="122"/>
        <v>0</v>
      </c>
      <c r="S161" s="138"/>
      <c r="T161" s="124">
        <f t="shared" ca="1" si="131"/>
        <v>0</v>
      </c>
      <c r="U161" s="136"/>
    </row>
    <row r="162" spans="1:21" ht="2.1" hidden="1" customHeight="1" x14ac:dyDescent="0.25">
      <c r="A162" s="32"/>
      <c r="C162" s="266" t="s">
        <v>19</v>
      </c>
      <c r="D162" s="146"/>
      <c r="E162" s="117"/>
      <c r="F162" s="61"/>
      <c r="G162" s="61"/>
      <c r="H162" s="62"/>
      <c r="I162" s="94"/>
      <c r="J162" s="95"/>
      <c r="K162" s="94"/>
      <c r="L162" s="94"/>
      <c r="M162" s="163"/>
      <c r="N162" s="169"/>
      <c r="O162" s="167"/>
      <c r="Q162" s="123"/>
      <c r="R162" s="123"/>
      <c r="S162" s="138"/>
      <c r="T162" s="124">
        <f t="shared" si="131"/>
        <v>0</v>
      </c>
      <c r="U162" s="136"/>
    </row>
    <row r="163" spans="1:21" ht="31.5" hidden="1" customHeight="1" x14ac:dyDescent="0.25">
      <c r="A163" s="32">
        <v>15.91</v>
      </c>
      <c r="C163" s="267"/>
      <c r="D163" s="118" t="s">
        <v>313</v>
      </c>
      <c r="E163" s="117" t="s">
        <v>312</v>
      </c>
      <c r="F163" s="61">
        <f ca="1">SUMIF(Здание!$G$8:G$293,$E163,Здание!$Q$8:Q$293)</f>
        <v>0</v>
      </c>
      <c r="G163" s="61">
        <f>SUMIF(Здание!$G$245:H$291,$E163,Здание!$Q$245:S$291)</f>
        <v>0</v>
      </c>
      <c r="H163" s="62"/>
      <c r="I163" s="94">
        <f ca="1">SUM(F163:H163)</f>
        <v>0</v>
      </c>
      <c r="J163" s="95">
        <f ca="1">I163/A163</f>
        <v>0</v>
      </c>
      <c r="K163" s="94">
        <f t="shared" ref="K163:K174" ca="1" si="133">I163*$C$260</f>
        <v>0</v>
      </c>
      <c r="L163" s="94">
        <f ca="1">K163/A163</f>
        <v>0</v>
      </c>
      <c r="M163" s="163"/>
      <c r="N163" s="169">
        <v>0.72</v>
      </c>
      <c r="O163" s="166">
        <f t="shared" ref="O163:O173" ca="1" si="134">N163*L163</f>
        <v>0</v>
      </c>
      <c r="Q163" s="123"/>
      <c r="R163" s="123">
        <f>SUM(Q163:Q163)</f>
        <v>0</v>
      </c>
      <c r="S163" s="138"/>
      <c r="T163" s="124">
        <f t="shared" ca="1" si="131"/>
        <v>0</v>
      </c>
      <c r="U163" s="136"/>
    </row>
    <row r="164" spans="1:21" ht="18" hidden="1" customHeight="1" x14ac:dyDescent="0.25">
      <c r="A164" s="32">
        <v>22.5</v>
      </c>
      <c r="C164" s="267"/>
      <c r="D164" s="268" t="s">
        <v>290</v>
      </c>
      <c r="E164" s="117" t="s">
        <v>262</v>
      </c>
      <c r="F164" s="61">
        <f ca="1">SUMIF(Здание!$G$8:G$293,$E164,Здание!$Q$8:Q$293)</f>
        <v>0</v>
      </c>
      <c r="G164" s="61">
        <f>SUMIF(Здание!$G$245:H$291,$E164,Здание!$Q$245:S$291)</f>
        <v>0</v>
      </c>
      <c r="H164" s="62"/>
      <c r="I164" s="94">
        <f ca="1">SUM(F164:H164)</f>
        <v>0</v>
      </c>
      <c r="J164" s="95">
        <f t="shared" ca="1" si="132"/>
        <v>0</v>
      </c>
      <c r="K164" s="94">
        <f t="shared" ca="1" si="133"/>
        <v>0</v>
      </c>
      <c r="L164" s="94">
        <f t="shared" ca="1" si="121"/>
        <v>0</v>
      </c>
      <c r="M164" s="163"/>
      <c r="N164" s="169">
        <v>1</v>
      </c>
      <c r="O164" s="166">
        <f t="shared" ca="1" si="134"/>
        <v>0</v>
      </c>
      <c r="Q164" s="123"/>
      <c r="R164" s="123">
        <f t="shared" si="122"/>
        <v>0</v>
      </c>
      <c r="S164" s="138"/>
      <c r="T164" s="124">
        <f t="shared" ca="1" si="131"/>
        <v>0</v>
      </c>
      <c r="U164" s="136"/>
    </row>
    <row r="165" spans="1:21" ht="18" hidden="1" customHeight="1" x14ac:dyDescent="0.25">
      <c r="A165" s="32">
        <v>13.42</v>
      </c>
      <c r="C165" s="267"/>
      <c r="D165" s="268"/>
      <c r="E165" s="117" t="s">
        <v>89</v>
      </c>
      <c r="F165" s="61">
        <f ca="1">SUMIF(Здание!$G$8:G$293,$E165,Здание!$Q$8:Q$293)</f>
        <v>0</v>
      </c>
      <c r="G165" s="61">
        <f>SUMIF(Здание!$G$245:H$291,$E165,Здание!$Q$245:S$291)</f>
        <v>0</v>
      </c>
      <c r="H165" s="62"/>
      <c r="I165" s="94">
        <f t="shared" ca="1" si="115"/>
        <v>0</v>
      </c>
      <c r="J165" s="95">
        <f t="shared" ca="1" si="132"/>
        <v>0</v>
      </c>
      <c r="K165" s="94">
        <f t="shared" ca="1" si="133"/>
        <v>0</v>
      </c>
      <c r="L165" s="94">
        <f t="shared" ca="1" si="121"/>
        <v>0</v>
      </c>
      <c r="M165" s="163"/>
      <c r="N165" s="169">
        <v>0.72</v>
      </c>
      <c r="O165" s="166">
        <f t="shared" ca="1" si="134"/>
        <v>0</v>
      </c>
      <c r="Q165" s="123"/>
      <c r="R165" s="123">
        <f>S165*A165</f>
        <v>0</v>
      </c>
      <c r="S165" s="138"/>
      <c r="T165" s="124">
        <f t="shared" ca="1" si="131"/>
        <v>0</v>
      </c>
      <c r="U165" s="136"/>
    </row>
    <row r="166" spans="1:21" ht="18" hidden="1" customHeight="1" x14ac:dyDescent="0.25">
      <c r="A166" s="32">
        <v>9.4700000000000006</v>
      </c>
      <c r="C166" s="267"/>
      <c r="D166" s="268"/>
      <c r="E166" s="117" t="s">
        <v>91</v>
      </c>
      <c r="F166" s="61">
        <f ca="1">SUMIF(Здание!$G$8:G$293,$E166,Здание!$Q$8:Q$293)</f>
        <v>0</v>
      </c>
      <c r="G166" s="61">
        <f>SUMIF(Здание!$G$245:H$291,$E166,Здание!$Q$245:S$291)</f>
        <v>0</v>
      </c>
      <c r="H166" s="62"/>
      <c r="I166" s="94">
        <f t="shared" ca="1" si="115"/>
        <v>0</v>
      </c>
      <c r="J166" s="95">
        <f t="shared" ca="1" si="132"/>
        <v>0</v>
      </c>
      <c r="K166" s="94">
        <f t="shared" ca="1" si="133"/>
        <v>0</v>
      </c>
      <c r="L166" s="94">
        <f t="shared" ca="1" si="121"/>
        <v>0</v>
      </c>
      <c r="M166" s="163"/>
      <c r="N166" s="169">
        <v>0.64</v>
      </c>
      <c r="O166" s="166">
        <f t="shared" ca="1" si="134"/>
        <v>0</v>
      </c>
      <c r="Q166" s="123"/>
      <c r="R166" s="123">
        <f t="shared" si="122"/>
        <v>0</v>
      </c>
      <c r="S166" s="138"/>
      <c r="T166" s="124">
        <f t="shared" ca="1" si="131"/>
        <v>0</v>
      </c>
      <c r="U166" s="136"/>
    </row>
    <row r="167" spans="1:21" ht="18" hidden="1" customHeight="1" x14ac:dyDescent="0.25">
      <c r="A167" s="32">
        <v>8.32</v>
      </c>
      <c r="C167" s="267"/>
      <c r="D167" s="268"/>
      <c r="E167" s="117" t="s">
        <v>330</v>
      </c>
      <c r="F167" s="61">
        <f ca="1">SUMIF(Здание!$G$8:G$293,$E167,Здание!$Q$8:Q$293)</f>
        <v>0</v>
      </c>
      <c r="G167" s="61">
        <f>SUMIF(Здание!$G$245:H$291,$E167,Здание!$Q$245:S$291)</f>
        <v>0</v>
      </c>
      <c r="H167" s="62"/>
      <c r="I167" s="94">
        <f t="shared" ca="1" si="115"/>
        <v>0</v>
      </c>
      <c r="J167" s="95">
        <f t="shared" ca="1" si="132"/>
        <v>0</v>
      </c>
      <c r="K167" s="94">
        <f t="shared" ca="1" si="133"/>
        <v>0</v>
      </c>
      <c r="L167" s="94">
        <f t="shared" ca="1" si="121"/>
        <v>0</v>
      </c>
      <c r="M167" s="163"/>
      <c r="N167" s="169">
        <v>0.56000000000000005</v>
      </c>
      <c r="O167" s="166">
        <f t="shared" ca="1" si="134"/>
        <v>0</v>
      </c>
      <c r="Q167" s="123"/>
      <c r="R167" s="123">
        <f t="shared" si="122"/>
        <v>0</v>
      </c>
      <c r="S167" s="138"/>
      <c r="T167" s="124">
        <f t="shared" ca="1" si="131"/>
        <v>0</v>
      </c>
      <c r="U167" s="136"/>
    </row>
    <row r="168" spans="1:21" ht="18" hidden="1" customHeight="1" x14ac:dyDescent="0.25">
      <c r="A168" s="32">
        <v>12.46</v>
      </c>
      <c r="C168" s="267"/>
      <c r="D168" s="268"/>
      <c r="E168" s="117" t="s">
        <v>142</v>
      </c>
      <c r="F168" s="61">
        <f ca="1">SUMIF(Здание!$G$8:G$293,$E168,Здание!$Q$8:Q$293)</f>
        <v>0</v>
      </c>
      <c r="G168" s="61">
        <f>SUMIF(Здание!$G$245:H$291,$E168,Здание!$Q$245:S$291)</f>
        <v>0</v>
      </c>
      <c r="H168" s="62"/>
      <c r="I168" s="94">
        <f t="shared" ref="I168" ca="1" si="135">SUM(F168:H168)</f>
        <v>0</v>
      </c>
      <c r="J168" s="95">
        <f t="shared" ref="J168" ca="1" si="136">I168/A168</f>
        <v>0</v>
      </c>
      <c r="K168" s="94">
        <f t="shared" ca="1" si="133"/>
        <v>0</v>
      </c>
      <c r="L168" s="94">
        <f t="shared" ref="L168" ca="1" si="137">K168/A168</f>
        <v>0</v>
      </c>
      <c r="M168" s="163"/>
      <c r="N168" s="169">
        <v>0.68</v>
      </c>
      <c r="O168" s="166">
        <f t="shared" ca="1" si="134"/>
        <v>0</v>
      </c>
      <c r="Q168" s="123"/>
      <c r="R168" s="123">
        <f t="shared" ref="R168" si="138">SUM(Q168:Q168)</f>
        <v>0</v>
      </c>
      <c r="S168" s="138"/>
      <c r="T168" s="124">
        <f t="shared" ca="1" si="131"/>
        <v>0</v>
      </c>
      <c r="U168" s="136"/>
    </row>
    <row r="169" spans="1:21" ht="18" hidden="1" customHeight="1" x14ac:dyDescent="0.25">
      <c r="A169" s="32">
        <v>9.4700000000000006</v>
      </c>
      <c r="C169" s="267"/>
      <c r="D169" s="268"/>
      <c r="E169" s="117" t="s">
        <v>141</v>
      </c>
      <c r="F169" s="61">
        <f ca="1">SUMIF(Здание!$G$8:G$293,$E169,Здание!$Q$8:Q$293)</f>
        <v>0</v>
      </c>
      <c r="G169" s="61">
        <f>SUMIF(Здание!$G$245:H$291,$E169,Здание!$Q$245:S$291)</f>
        <v>0</v>
      </c>
      <c r="H169" s="62"/>
      <c r="I169" s="94">
        <f t="shared" ca="1" si="115"/>
        <v>0</v>
      </c>
      <c r="J169" s="95">
        <f t="shared" ca="1" si="132"/>
        <v>0</v>
      </c>
      <c r="K169" s="94">
        <f t="shared" ca="1" si="133"/>
        <v>0</v>
      </c>
      <c r="L169" s="94">
        <f t="shared" ca="1" si="121"/>
        <v>0</v>
      </c>
      <c r="M169" s="163"/>
      <c r="N169" s="169">
        <v>0.64</v>
      </c>
      <c r="O169" s="166">
        <f t="shared" ca="1" si="134"/>
        <v>0</v>
      </c>
      <c r="Q169" s="123"/>
      <c r="R169" s="123">
        <f t="shared" si="122"/>
        <v>0</v>
      </c>
      <c r="S169" s="138"/>
      <c r="T169" s="124">
        <f t="shared" ca="1" si="131"/>
        <v>0</v>
      </c>
      <c r="U169" s="137"/>
    </row>
    <row r="170" spans="1:21" ht="18" hidden="1" customHeight="1" x14ac:dyDescent="0.25">
      <c r="A170" s="32">
        <v>10.18</v>
      </c>
      <c r="C170" s="267"/>
      <c r="D170" s="268"/>
      <c r="E170" s="117" t="s">
        <v>90</v>
      </c>
      <c r="F170" s="61">
        <f ca="1">SUMIF(Здание!$G$8:G$293,$E170,Здание!$Q$8:Q$293)</f>
        <v>0</v>
      </c>
      <c r="G170" s="61">
        <f>SUMIF(Здание!$G$245:H$291,$E170,Здание!$Q$245:S$291)</f>
        <v>0</v>
      </c>
      <c r="H170" s="62"/>
      <c r="I170" s="94">
        <f t="shared" ca="1" si="115"/>
        <v>0</v>
      </c>
      <c r="J170" s="95">
        <f t="shared" ca="1" si="132"/>
        <v>0</v>
      </c>
      <c r="K170" s="94">
        <f t="shared" ca="1" si="133"/>
        <v>0</v>
      </c>
      <c r="L170" s="94">
        <f t="shared" ca="1" si="121"/>
        <v>0</v>
      </c>
      <c r="M170" s="163"/>
      <c r="N170" s="169">
        <v>0.56000000000000005</v>
      </c>
      <c r="O170" s="166">
        <f t="shared" ca="1" si="134"/>
        <v>0</v>
      </c>
      <c r="Q170" s="123"/>
      <c r="R170" s="123">
        <f t="shared" si="122"/>
        <v>0</v>
      </c>
      <c r="S170" s="138"/>
      <c r="T170" s="124">
        <f t="shared" ca="1" si="131"/>
        <v>0</v>
      </c>
      <c r="U170" s="136"/>
    </row>
    <row r="171" spans="1:21" ht="18" hidden="1" customHeight="1" x14ac:dyDescent="0.25">
      <c r="A171" s="32">
        <v>7.59</v>
      </c>
      <c r="C171" s="267"/>
      <c r="D171" s="268"/>
      <c r="E171" s="117" t="s">
        <v>264</v>
      </c>
      <c r="F171" s="61">
        <f ca="1">SUMIF(Здание!$G$8:G$293,$E171,Здание!$Q$8:Q$293)</f>
        <v>0</v>
      </c>
      <c r="G171" s="61">
        <f>SUMIF(Здание!$G$245:H$291,$E171,Здание!$Q$245:S$291)</f>
        <v>0</v>
      </c>
      <c r="H171" s="62"/>
      <c r="I171" s="94">
        <f ca="1">SUM(F171:H171)</f>
        <v>0</v>
      </c>
      <c r="J171" s="95">
        <f ca="1">I171/A171</f>
        <v>0</v>
      </c>
      <c r="K171" s="94">
        <f t="shared" ca="1" si="133"/>
        <v>0</v>
      </c>
      <c r="L171" s="94">
        <f ca="1">K171/A171</f>
        <v>0</v>
      </c>
      <c r="M171" s="163"/>
      <c r="N171" s="169">
        <v>0.52</v>
      </c>
      <c r="O171" s="166">
        <f t="shared" ca="1" si="134"/>
        <v>0</v>
      </c>
      <c r="Q171" s="123"/>
      <c r="R171" s="123">
        <f t="shared" si="122"/>
        <v>0</v>
      </c>
      <c r="S171" s="138"/>
      <c r="T171" s="124"/>
      <c r="U171" s="136"/>
    </row>
    <row r="172" spans="1:21" ht="18" hidden="1" customHeight="1" x14ac:dyDescent="0.25">
      <c r="A172" s="32">
        <v>5.7</v>
      </c>
      <c r="C172" s="267"/>
      <c r="D172" s="268"/>
      <c r="E172" s="117" t="s">
        <v>311</v>
      </c>
      <c r="F172" s="61">
        <f ca="1">SUMIF(Здание!$G$8:G$293,$E172,Здание!$Q$8:Q$293)</f>
        <v>0</v>
      </c>
      <c r="G172" s="61">
        <f>SUMIF(Здание!$G$245:H$291,$E172,Здание!$Q$245:S$291)</f>
        <v>0</v>
      </c>
      <c r="H172" s="62"/>
      <c r="I172" s="94">
        <f t="shared" ca="1" si="115"/>
        <v>0</v>
      </c>
      <c r="J172" s="95">
        <f t="shared" ca="1" si="132"/>
        <v>0</v>
      </c>
      <c r="K172" s="94">
        <f t="shared" ca="1" si="133"/>
        <v>0</v>
      </c>
      <c r="L172" s="94">
        <f t="shared" ca="1" si="121"/>
        <v>0</v>
      </c>
      <c r="M172" s="163"/>
      <c r="N172" s="169">
        <v>0.4</v>
      </c>
      <c r="O172" s="166">
        <f t="shared" ca="1" si="134"/>
        <v>0</v>
      </c>
      <c r="Q172" s="123"/>
      <c r="R172" s="123">
        <f t="shared" si="122"/>
        <v>0</v>
      </c>
      <c r="S172" s="138"/>
      <c r="T172" s="124">
        <f t="shared" ca="1" si="131"/>
        <v>0</v>
      </c>
      <c r="U172" s="136"/>
    </row>
    <row r="173" spans="1:21" ht="18" hidden="1" customHeight="1" x14ac:dyDescent="0.25">
      <c r="A173" s="32">
        <v>3.43</v>
      </c>
      <c r="C173" s="267"/>
      <c r="D173" s="268"/>
      <c r="E173" s="117" t="s">
        <v>152</v>
      </c>
      <c r="F173" s="61">
        <f ca="1">SUMIF(Здание!$G$8:G$293,$E173,Здание!$Q$8:Q$293)</f>
        <v>0</v>
      </c>
      <c r="G173" s="61">
        <f>SUMIF(Здание!$G$245:H$291,$E173,Здание!$Q$245:S$291)</f>
        <v>0</v>
      </c>
      <c r="H173" s="62"/>
      <c r="I173" s="94">
        <f t="shared" ref="I173:I179" ca="1" si="139">SUM(F173:H173)</f>
        <v>0</v>
      </c>
      <c r="J173" s="95">
        <f ca="1">I173/A173</f>
        <v>0</v>
      </c>
      <c r="K173" s="94">
        <f t="shared" ca="1" si="133"/>
        <v>0</v>
      </c>
      <c r="L173" s="94">
        <f ca="1">K173/A173</f>
        <v>0</v>
      </c>
      <c r="M173" s="163"/>
      <c r="N173" s="169"/>
      <c r="O173" s="166">
        <f t="shared" ca="1" si="134"/>
        <v>0</v>
      </c>
      <c r="Q173" s="123"/>
      <c r="R173" s="123">
        <f t="shared" si="122"/>
        <v>0</v>
      </c>
      <c r="S173" s="138"/>
      <c r="T173" s="124">
        <f t="shared" ca="1" si="131"/>
        <v>0</v>
      </c>
      <c r="U173" s="136"/>
    </row>
    <row r="174" spans="1:21" ht="2.1" hidden="1" customHeight="1" x14ac:dyDescent="0.25">
      <c r="A174" s="32"/>
      <c r="C174" s="269"/>
      <c r="D174" s="147"/>
      <c r="E174" s="117"/>
      <c r="F174" s="61">
        <f ca="1">SUMIF(Здание!$G$8:G$293,$E174,Здание!$Q$8:Q$293)</f>
        <v>0</v>
      </c>
      <c r="G174" s="61">
        <f>SUMIF(Здание!$G$245:H$291,$E174,Здание!$Q$245:S$291)</f>
        <v>0</v>
      </c>
      <c r="H174" s="62"/>
      <c r="I174" s="94">
        <f t="shared" ca="1" si="139"/>
        <v>0</v>
      </c>
      <c r="J174" s="95" t="e">
        <f t="shared" ca="1" si="132"/>
        <v>#DIV/0!</v>
      </c>
      <c r="K174" s="94">
        <f t="shared" ca="1" si="133"/>
        <v>0</v>
      </c>
      <c r="L174" s="94" t="e">
        <f t="shared" ca="1" si="121"/>
        <v>#DIV/0!</v>
      </c>
      <c r="M174" s="163"/>
      <c r="N174" s="169"/>
      <c r="O174" s="167"/>
      <c r="Q174" s="123"/>
      <c r="R174" s="123">
        <f t="shared" si="122"/>
        <v>0</v>
      </c>
      <c r="S174" s="138"/>
      <c r="T174" s="124">
        <f t="shared" ca="1" si="131"/>
        <v>0</v>
      </c>
      <c r="U174" s="136"/>
    </row>
    <row r="175" spans="1:21" ht="17.25" hidden="1" customHeight="1" x14ac:dyDescent="0.25">
      <c r="A175" s="32">
        <v>22.64</v>
      </c>
      <c r="C175" s="266" t="s">
        <v>325</v>
      </c>
      <c r="D175" s="268" t="s">
        <v>162</v>
      </c>
      <c r="E175" s="117" t="s">
        <v>324</v>
      </c>
      <c r="F175" s="61">
        <f ca="1">SUMIF(Здание!$G$8:G$293,$E175,Здание!$Q$8:Q$293)</f>
        <v>0</v>
      </c>
      <c r="G175" s="61">
        <f>SUMIF(Здание!$G$245:H$291,$E175,Здание!$Q$245:S$291)</f>
        <v>0</v>
      </c>
      <c r="H175" s="62"/>
      <c r="I175" s="94">
        <f t="shared" ca="1" si="139"/>
        <v>0</v>
      </c>
      <c r="J175" s="95">
        <f t="shared" ref="J175" ca="1" si="140">I175/A175</f>
        <v>0</v>
      </c>
      <c r="K175" s="94">
        <f t="shared" ref="K175:K210" ca="1" si="141">I175*$C$261</f>
        <v>0</v>
      </c>
      <c r="L175" s="94">
        <f t="shared" ref="L175" ca="1" si="142">K175/A175</f>
        <v>0</v>
      </c>
      <c r="M175" s="163"/>
      <c r="N175" s="169"/>
      <c r="O175" s="166">
        <f t="shared" ref="O175:O179" ca="1" si="143">N175*L175</f>
        <v>0</v>
      </c>
      <c r="Q175" s="123"/>
      <c r="R175" s="123">
        <f t="shared" ref="R175" si="144">SUM(Q175:Q175)</f>
        <v>0</v>
      </c>
      <c r="S175" s="138"/>
      <c r="T175" s="124">
        <f t="shared" ca="1" si="131"/>
        <v>0</v>
      </c>
      <c r="U175" s="136"/>
    </row>
    <row r="176" spans="1:21" ht="17.25" hidden="1" customHeight="1" x14ac:dyDescent="0.25">
      <c r="A176" s="32">
        <v>8.3800000000000008</v>
      </c>
      <c r="C176" s="267"/>
      <c r="D176" s="268"/>
      <c r="E176" s="117" t="s">
        <v>166</v>
      </c>
      <c r="F176" s="61">
        <f ca="1">SUMIF(Здание!$G$8:G$293,$E176,Здание!$Q$8:Q$293)</f>
        <v>0</v>
      </c>
      <c r="G176" s="61">
        <f>SUMIF(Здание!$G$245:H$291,$E176,Здание!$Q$245:S$291)</f>
        <v>0</v>
      </c>
      <c r="H176" s="62"/>
      <c r="I176" s="94">
        <f t="shared" ca="1" si="139"/>
        <v>0</v>
      </c>
      <c r="J176" s="95">
        <f t="shared" ca="1" si="132"/>
        <v>0</v>
      </c>
      <c r="K176" s="94">
        <f t="shared" ca="1" si="141"/>
        <v>0</v>
      </c>
      <c r="L176" s="94">
        <f t="shared" ca="1" si="121"/>
        <v>0</v>
      </c>
      <c r="M176" s="163"/>
      <c r="N176" s="169"/>
      <c r="O176" s="166">
        <f t="shared" ca="1" si="143"/>
        <v>0</v>
      </c>
      <c r="Q176" s="123"/>
      <c r="R176" s="123">
        <f t="shared" si="122"/>
        <v>0</v>
      </c>
      <c r="S176" s="138"/>
      <c r="T176" s="124">
        <f t="shared" ca="1" si="131"/>
        <v>0</v>
      </c>
      <c r="U176" s="136"/>
    </row>
    <row r="177" spans="1:21" ht="17.25" hidden="1" customHeight="1" x14ac:dyDescent="0.25">
      <c r="A177" s="32">
        <v>3.36</v>
      </c>
      <c r="C177" s="267"/>
      <c r="D177" s="268"/>
      <c r="E177" s="117" t="s">
        <v>163</v>
      </c>
      <c r="F177" s="61">
        <f ca="1">SUMIF(Здание!$G$8:G$293,$E177,Здание!$Q$8:Q$293)</f>
        <v>0</v>
      </c>
      <c r="G177" s="61">
        <f>SUMIF(Здание!$G$245:H$291,$E177,Здание!$Q$245:S$291)</f>
        <v>0</v>
      </c>
      <c r="H177" s="62"/>
      <c r="I177" s="94">
        <f t="shared" ca="1" si="139"/>
        <v>0</v>
      </c>
      <c r="J177" s="95">
        <f t="shared" ca="1" si="132"/>
        <v>0</v>
      </c>
      <c r="K177" s="94">
        <f t="shared" ca="1" si="141"/>
        <v>0</v>
      </c>
      <c r="L177" s="94">
        <f t="shared" ca="1" si="121"/>
        <v>0</v>
      </c>
      <c r="M177" s="163"/>
      <c r="N177" s="169"/>
      <c r="O177" s="166">
        <f t="shared" ca="1" si="143"/>
        <v>0</v>
      </c>
      <c r="Q177" s="123"/>
      <c r="R177" s="123">
        <f t="shared" si="122"/>
        <v>0</v>
      </c>
      <c r="S177" s="138"/>
      <c r="T177" s="124">
        <f t="shared" ca="1" si="131"/>
        <v>0</v>
      </c>
      <c r="U177" s="136"/>
    </row>
    <row r="178" spans="1:21" ht="17.25" hidden="1" customHeight="1" x14ac:dyDescent="0.25">
      <c r="A178" s="32">
        <v>2.13</v>
      </c>
      <c r="C178" s="267"/>
      <c r="D178" s="268"/>
      <c r="E178" s="117" t="s">
        <v>164</v>
      </c>
      <c r="F178" s="61">
        <f ca="1">SUMIF(Здание!$G$8:G$293,$E178,Здание!$Q$8:Q$293)</f>
        <v>0</v>
      </c>
      <c r="G178" s="61">
        <f>SUMIF(Здание!$G$245:H$291,$E178,Здание!$Q$245:S$291)</f>
        <v>0</v>
      </c>
      <c r="H178" s="62"/>
      <c r="I178" s="94">
        <f t="shared" ca="1" si="139"/>
        <v>0</v>
      </c>
      <c r="J178" s="95">
        <f t="shared" ca="1" si="132"/>
        <v>0</v>
      </c>
      <c r="K178" s="94">
        <f t="shared" ca="1" si="141"/>
        <v>0</v>
      </c>
      <c r="L178" s="94">
        <f t="shared" ca="1" si="121"/>
        <v>0</v>
      </c>
      <c r="M178" s="163"/>
      <c r="N178" s="169"/>
      <c r="O178" s="166">
        <f t="shared" ca="1" si="143"/>
        <v>0</v>
      </c>
      <c r="Q178" s="123"/>
      <c r="R178" s="123">
        <f t="shared" si="122"/>
        <v>0</v>
      </c>
      <c r="S178" s="138"/>
      <c r="T178" s="124">
        <f t="shared" ca="1" si="131"/>
        <v>0</v>
      </c>
      <c r="U178" s="136"/>
    </row>
    <row r="179" spans="1:21" ht="17.25" hidden="1" customHeight="1" x14ac:dyDescent="0.25">
      <c r="A179" s="32">
        <v>0.88800000000000001</v>
      </c>
      <c r="C179" s="267"/>
      <c r="D179" s="268"/>
      <c r="E179" s="117" t="s">
        <v>165</v>
      </c>
      <c r="F179" s="61">
        <f ca="1">SUMIF(Здание!$G$8:G$293,$E179,Здание!$Q$8:Q$293)</f>
        <v>0</v>
      </c>
      <c r="G179" s="61">
        <f>SUMIF(Здание!$G$245:H$291,$E179,Здание!$Q$245:S$291)</f>
        <v>0</v>
      </c>
      <c r="H179" s="62"/>
      <c r="I179" s="94">
        <f t="shared" ca="1" si="139"/>
        <v>0</v>
      </c>
      <c r="J179" s="95">
        <f t="shared" ca="1" si="132"/>
        <v>0</v>
      </c>
      <c r="K179" s="94">
        <f t="shared" ca="1" si="141"/>
        <v>0</v>
      </c>
      <c r="L179" s="94">
        <f t="shared" ca="1" si="121"/>
        <v>0</v>
      </c>
      <c r="M179" s="163"/>
      <c r="N179" s="169"/>
      <c r="O179" s="166">
        <f t="shared" ca="1" si="143"/>
        <v>0</v>
      </c>
      <c r="Q179" s="123"/>
      <c r="R179" s="123">
        <f t="shared" ref="R179:R240" si="145">SUM(Q179:Q179)</f>
        <v>0</v>
      </c>
      <c r="S179" s="138"/>
      <c r="T179" s="124">
        <f t="shared" ca="1" si="131"/>
        <v>0</v>
      </c>
      <c r="U179" s="136"/>
    </row>
    <row r="180" spans="1:21" ht="2.1" customHeight="1" x14ac:dyDescent="0.25">
      <c r="A180" s="32"/>
      <c r="C180" s="269"/>
      <c r="D180" s="118"/>
      <c r="E180" s="117"/>
      <c r="F180" s="61">
        <f ca="1">SUMIF(Здание!$G$8:G$293,$E180,Здание!$Q$8:Q$293)</f>
        <v>0</v>
      </c>
      <c r="G180" s="61">
        <f>SUMIF(Здание!$G$245:H$291,$E180,Здание!$Q$245:S$291)</f>
        <v>0</v>
      </c>
      <c r="H180" s="62"/>
      <c r="I180" s="94"/>
      <c r="J180" s="95"/>
      <c r="K180" s="94">
        <f t="shared" si="141"/>
        <v>0</v>
      </c>
      <c r="L180" s="94"/>
      <c r="M180" s="163"/>
      <c r="N180" s="169"/>
      <c r="O180" s="167"/>
      <c r="Q180" s="123"/>
      <c r="R180" s="123">
        <f t="shared" si="145"/>
        <v>0</v>
      </c>
      <c r="S180" s="138"/>
      <c r="T180" s="124">
        <f t="shared" si="131"/>
        <v>0</v>
      </c>
      <c r="U180" s="136"/>
    </row>
    <row r="181" spans="1:21" hidden="1" x14ac:dyDescent="0.25">
      <c r="A181" s="32">
        <v>19.850000000000001</v>
      </c>
      <c r="C181" s="266" t="s">
        <v>270</v>
      </c>
      <c r="D181" s="266" t="s">
        <v>296</v>
      </c>
      <c r="E181" s="117" t="s">
        <v>314</v>
      </c>
      <c r="F181" s="61">
        <f ca="1">SUMIF(Здание!$G$8:G$293,$E181,Здание!$Q$8:Q$293)</f>
        <v>0</v>
      </c>
      <c r="G181" s="61">
        <f>SUMIF(Здание!$G$245:H$291,$E181,Здание!$Q$245:S$291)</f>
        <v>0</v>
      </c>
      <c r="H181" s="62"/>
      <c r="I181" s="94">
        <f ca="1">SUM(F181:H181)</f>
        <v>0</v>
      </c>
      <c r="J181" s="95">
        <f ca="1">I181/A181</f>
        <v>0</v>
      </c>
      <c r="K181" s="94">
        <f t="shared" ca="1" si="141"/>
        <v>0</v>
      </c>
      <c r="L181" s="94">
        <f ca="1">K181/A181</f>
        <v>0</v>
      </c>
      <c r="M181" s="163"/>
      <c r="N181" s="169">
        <v>0.52</v>
      </c>
      <c r="O181" s="166">
        <f t="shared" ref="O181:O210" ca="1" si="146">N181*L181</f>
        <v>0</v>
      </c>
      <c r="Q181" s="123"/>
      <c r="R181" s="123">
        <f t="shared" si="145"/>
        <v>0</v>
      </c>
      <c r="S181" s="138"/>
      <c r="T181" s="124">
        <f t="shared" ca="1" si="131"/>
        <v>0</v>
      </c>
      <c r="U181" s="136"/>
    </row>
    <row r="182" spans="1:21" ht="30" hidden="1" customHeight="1" x14ac:dyDescent="0.25">
      <c r="A182" s="32">
        <v>12.14</v>
      </c>
      <c r="C182" s="267"/>
      <c r="D182" s="267"/>
      <c r="E182" s="117" t="s">
        <v>315</v>
      </c>
      <c r="F182" s="61">
        <f ca="1">SUMIF(Здание!$G$8:G$293,$E182,Здание!$Q$8:Q$293)</f>
        <v>0</v>
      </c>
      <c r="G182" s="61">
        <f>SUMIF(Здание!$G$245:H$291,$E182,Здание!$Q$245:S$291)</f>
        <v>0</v>
      </c>
      <c r="H182" s="62"/>
      <c r="I182" s="94">
        <f ca="1">SUM(F182:H182)</f>
        <v>0</v>
      </c>
      <c r="J182" s="95">
        <f ca="1">I182/A182</f>
        <v>0</v>
      </c>
      <c r="K182" s="94">
        <f t="shared" ca="1" si="141"/>
        <v>0</v>
      </c>
      <c r="L182" s="94">
        <f ca="1">K182/A182</f>
        <v>0</v>
      </c>
      <c r="M182" s="163"/>
      <c r="N182" s="169">
        <v>0.32600000000000001</v>
      </c>
      <c r="O182" s="166">
        <f t="shared" ca="1" si="146"/>
        <v>0</v>
      </c>
      <c r="Q182" s="123"/>
      <c r="R182" s="123">
        <f t="shared" si="145"/>
        <v>0</v>
      </c>
      <c r="S182" s="138"/>
      <c r="T182" s="124">
        <f t="shared" ca="1" si="131"/>
        <v>0</v>
      </c>
      <c r="U182" s="136"/>
    </row>
    <row r="183" spans="1:21" ht="17.25" hidden="1" customHeight="1" x14ac:dyDescent="0.25">
      <c r="A183" s="32">
        <v>22.2</v>
      </c>
      <c r="C183" s="267"/>
      <c r="D183" s="268" t="s">
        <v>289</v>
      </c>
      <c r="E183" s="117" t="s">
        <v>316</v>
      </c>
      <c r="F183" s="61">
        <f ca="1">SUMIF(Здание!$G$8:G$293,$E183,Здание!$Q$8:Q$293)</f>
        <v>0</v>
      </c>
      <c r="G183" s="61">
        <f>SUMIF(Здание!$G$245:H$291,$E183,Здание!$Q$245:S$291)</f>
        <v>0</v>
      </c>
      <c r="H183" s="62"/>
      <c r="I183" s="94">
        <f ca="1">SUM(F183:H183)</f>
        <v>0</v>
      </c>
      <c r="J183" s="95">
        <f t="shared" ca="1" si="132"/>
        <v>0</v>
      </c>
      <c r="K183" s="94">
        <f t="shared" ca="1" si="141"/>
        <v>0</v>
      </c>
      <c r="L183" s="94">
        <f t="shared" ref="L183:L227" ca="1" si="147">K183/A183</f>
        <v>0</v>
      </c>
      <c r="M183" s="163"/>
      <c r="N183" s="169">
        <v>0.57999999999999996</v>
      </c>
      <c r="O183" s="166">
        <f t="shared" ca="1" si="146"/>
        <v>0</v>
      </c>
      <c r="Q183" s="123"/>
      <c r="R183" s="123">
        <f t="shared" si="145"/>
        <v>0</v>
      </c>
      <c r="S183" s="138"/>
      <c r="T183" s="124">
        <f t="shared" ca="1" si="131"/>
        <v>0</v>
      </c>
      <c r="U183" s="136"/>
    </row>
    <row r="184" spans="1:21" ht="17.25" hidden="1" customHeight="1" x14ac:dyDescent="0.25">
      <c r="A184" s="32">
        <v>14.13</v>
      </c>
      <c r="C184" s="267"/>
      <c r="D184" s="268"/>
      <c r="E184" s="117" t="s">
        <v>159</v>
      </c>
      <c r="F184" s="61">
        <f ca="1">SUMIF(Здание!$G$8:G$293,$E184,Здание!$Q$8:Q$293)</f>
        <v>0</v>
      </c>
      <c r="G184" s="61">
        <f>SUMIF(Здание!$G$245:H$291,$E184,Здание!$Q$245:S$291)</f>
        <v>0</v>
      </c>
      <c r="H184" s="62"/>
      <c r="I184" s="94">
        <f t="shared" ref="I184:I227" ca="1" si="148">SUM(F184:H184)</f>
        <v>0</v>
      </c>
      <c r="J184" s="95">
        <f t="shared" ca="1" si="132"/>
        <v>0</v>
      </c>
      <c r="K184" s="94">
        <f t="shared" ca="1" si="141"/>
        <v>0</v>
      </c>
      <c r="L184" s="94">
        <f t="shared" ca="1" si="147"/>
        <v>0</v>
      </c>
      <c r="M184" s="163"/>
      <c r="N184" s="169">
        <v>0.46</v>
      </c>
      <c r="O184" s="166">
        <f t="shared" ca="1" si="146"/>
        <v>0</v>
      </c>
      <c r="Q184" s="123"/>
      <c r="R184" s="123">
        <f t="shared" si="145"/>
        <v>0</v>
      </c>
      <c r="S184" s="138"/>
      <c r="T184" s="124">
        <f t="shared" ca="1" si="131"/>
        <v>0</v>
      </c>
      <c r="U184" s="136"/>
    </row>
    <row r="185" spans="1:21" ht="17.25" hidden="1" customHeight="1" x14ac:dyDescent="0.25">
      <c r="A185" s="32">
        <v>15.47</v>
      </c>
      <c r="C185" s="267"/>
      <c r="D185" s="268"/>
      <c r="E185" s="117" t="s">
        <v>337</v>
      </c>
      <c r="F185" s="61">
        <f ca="1">SUMIF(Здание!$G$8:G$293,$E185,Здание!$Q$8:Q$293)</f>
        <v>0</v>
      </c>
      <c r="G185" s="61">
        <f>SUMIF(Здание!$G$245:H$291,$E185,Здание!$Q$245:S$291)</f>
        <v>0</v>
      </c>
      <c r="H185" s="62"/>
      <c r="I185" s="94">
        <f t="shared" ref="I185" ca="1" si="149">SUM(F185:H185)</f>
        <v>0</v>
      </c>
      <c r="J185" s="95">
        <f t="shared" ref="J185" ca="1" si="150">I185/A185</f>
        <v>0</v>
      </c>
      <c r="K185" s="94">
        <f t="shared" ca="1" si="141"/>
        <v>0</v>
      </c>
      <c r="L185" s="94">
        <f t="shared" ref="L185" ca="1" si="151">K185/A185</f>
        <v>0</v>
      </c>
      <c r="M185" s="163"/>
      <c r="N185" s="169">
        <v>0.41</v>
      </c>
      <c r="O185" s="166">
        <f t="shared" ca="1" si="146"/>
        <v>0</v>
      </c>
      <c r="Q185" s="123"/>
      <c r="R185" s="123">
        <f t="shared" ref="R185" si="152">SUM(Q185:Q185)</f>
        <v>0</v>
      </c>
      <c r="S185" s="138"/>
      <c r="T185" s="124">
        <f t="shared" ca="1" si="131"/>
        <v>0</v>
      </c>
      <c r="U185" s="137"/>
    </row>
    <row r="186" spans="1:21" ht="17.25" hidden="1" customHeight="1" x14ac:dyDescent="0.25">
      <c r="A186" s="32">
        <v>12.58</v>
      </c>
      <c r="C186" s="267"/>
      <c r="D186" s="268"/>
      <c r="E186" s="117" t="s">
        <v>158</v>
      </c>
      <c r="F186" s="61">
        <f ca="1">SUMIF(Здание!$G$8:G$293,$E186,Здание!$Q$8:Q$293)</f>
        <v>0</v>
      </c>
      <c r="G186" s="61">
        <f>SUMIF(Здание!$G$245:H$291,$E186,Здание!$Q$245:S$291)</f>
        <v>0</v>
      </c>
      <c r="H186" s="62"/>
      <c r="I186" s="94">
        <f t="shared" ca="1" si="148"/>
        <v>0</v>
      </c>
      <c r="J186" s="95">
        <f t="shared" ca="1" si="132"/>
        <v>0</v>
      </c>
      <c r="K186" s="94">
        <f t="shared" ca="1" si="141"/>
        <v>0</v>
      </c>
      <c r="L186" s="94">
        <f t="shared" ca="1" si="147"/>
        <v>0</v>
      </c>
      <c r="M186" s="163"/>
      <c r="N186" s="169">
        <v>0.41</v>
      </c>
      <c r="O186" s="166">
        <f t="shared" ca="1" si="146"/>
        <v>0</v>
      </c>
      <c r="Q186" s="123"/>
      <c r="R186" s="123">
        <f t="shared" si="145"/>
        <v>0</v>
      </c>
      <c r="S186" s="138"/>
      <c r="T186" s="124">
        <f t="shared" ca="1" si="131"/>
        <v>0</v>
      </c>
      <c r="U186" s="137"/>
    </row>
    <row r="187" spans="1:21" ht="17.25" hidden="1" customHeight="1" x14ac:dyDescent="0.25">
      <c r="A187" s="32">
        <v>9.8699999999999992</v>
      </c>
      <c r="C187" s="267"/>
      <c r="D187" s="268"/>
      <c r="E187" s="117" t="s">
        <v>86</v>
      </c>
      <c r="F187" s="61">
        <f ca="1">SUMIF(Здание!$G$8:G$293,$E187,Здание!$Q$8:Q$293)</f>
        <v>0</v>
      </c>
      <c r="G187" s="61">
        <f>SUMIF(Здание!$G$245:H$291,$E187,Здание!$Q$245:S$291)</f>
        <v>0</v>
      </c>
      <c r="H187" s="62"/>
      <c r="I187" s="94">
        <f t="shared" ca="1" si="148"/>
        <v>0</v>
      </c>
      <c r="J187" s="95">
        <f t="shared" ca="1" si="132"/>
        <v>0</v>
      </c>
      <c r="K187" s="94">
        <f t="shared" ca="1" si="141"/>
        <v>0</v>
      </c>
      <c r="L187" s="94">
        <f t="shared" ca="1" si="147"/>
        <v>0</v>
      </c>
      <c r="M187" s="163"/>
      <c r="N187" s="169">
        <v>0.32600000000000001</v>
      </c>
      <c r="O187" s="166">
        <f t="shared" ca="1" si="146"/>
        <v>0</v>
      </c>
      <c r="Q187" s="123"/>
      <c r="R187" s="123">
        <f t="shared" si="145"/>
        <v>0</v>
      </c>
      <c r="S187" s="138"/>
      <c r="T187" s="124">
        <f t="shared" ca="1" si="131"/>
        <v>0</v>
      </c>
      <c r="U187" s="136"/>
    </row>
    <row r="188" spans="1:21" ht="17.25" hidden="1" customHeight="1" x14ac:dyDescent="0.25">
      <c r="A188" s="32">
        <v>7.53</v>
      </c>
      <c r="C188" s="267"/>
      <c r="D188" s="268"/>
      <c r="E188" s="117" t="s">
        <v>139</v>
      </c>
      <c r="F188" s="61">
        <f ca="1">SUMIF(Здание!$G$8:G$293,$E188,Здание!$Q$8:Q$293)</f>
        <v>0</v>
      </c>
      <c r="G188" s="61">
        <f>SUMIF(Здание!$G$245:H$291,$E188,Здание!$Q$245:S$291)</f>
        <v>0</v>
      </c>
      <c r="H188" s="62"/>
      <c r="I188" s="94">
        <f t="shared" ca="1" si="148"/>
        <v>0</v>
      </c>
      <c r="J188" s="95">
        <f t="shared" ca="1" si="132"/>
        <v>0</v>
      </c>
      <c r="K188" s="94">
        <f t="shared" ca="1" si="141"/>
        <v>0</v>
      </c>
      <c r="L188" s="94">
        <f t="shared" ca="1" si="147"/>
        <v>0</v>
      </c>
      <c r="M188" s="163"/>
      <c r="N188" s="169">
        <v>0.32600000000000001</v>
      </c>
      <c r="O188" s="166">
        <f t="shared" ca="1" si="146"/>
        <v>0</v>
      </c>
      <c r="Q188" s="123"/>
      <c r="R188" s="123">
        <f t="shared" si="145"/>
        <v>0</v>
      </c>
      <c r="S188" s="138"/>
      <c r="T188" s="124">
        <f t="shared" ca="1" si="131"/>
        <v>0</v>
      </c>
      <c r="U188" s="136"/>
    </row>
    <row r="189" spans="1:21" ht="17.25" hidden="1" customHeight="1" x14ac:dyDescent="0.25">
      <c r="A189" s="32">
        <v>8.98</v>
      </c>
      <c r="C189" s="267"/>
      <c r="D189" s="268"/>
      <c r="E189" s="117" t="s">
        <v>326</v>
      </c>
      <c r="F189" s="61">
        <f ca="1">SUMIF(Здание!$G$8:G$293,$E189,Здание!$Q$8:Q$293)</f>
        <v>0</v>
      </c>
      <c r="G189" s="61">
        <f>SUMIF(Здание!$G$245:H$291,$E189,Здание!$Q$245:S$291)</f>
        <v>0</v>
      </c>
      <c r="H189" s="62"/>
      <c r="I189" s="94">
        <f ca="1">SUM(F189:H189)</f>
        <v>0</v>
      </c>
      <c r="J189" s="95">
        <f ca="1">I189/A189</f>
        <v>0</v>
      </c>
      <c r="K189" s="94">
        <f t="shared" ca="1" si="141"/>
        <v>0</v>
      </c>
      <c r="L189" s="94">
        <f ca="1">K189/A189</f>
        <v>0</v>
      </c>
      <c r="M189" s="163"/>
      <c r="N189" s="169">
        <v>0.36</v>
      </c>
      <c r="O189" s="166">
        <f t="shared" ca="1" si="146"/>
        <v>0</v>
      </c>
      <c r="Q189" s="123"/>
      <c r="R189" s="123">
        <f t="shared" si="145"/>
        <v>0</v>
      </c>
      <c r="S189" s="138"/>
      <c r="T189" s="124">
        <f t="shared" ca="1" si="131"/>
        <v>0</v>
      </c>
      <c r="U189" s="136"/>
    </row>
    <row r="190" spans="1:21" ht="17.25" hidden="1" customHeight="1" x14ac:dyDescent="0.25">
      <c r="A190" s="32">
        <v>8.3699999999999992</v>
      </c>
      <c r="C190" s="267"/>
      <c r="D190" s="268"/>
      <c r="E190" s="117" t="s">
        <v>101</v>
      </c>
      <c r="F190" s="61">
        <f ca="1">SUMIF(Здание!$G$8:G$293,$E190,Здание!$Q$8:Q$293)</f>
        <v>0</v>
      </c>
      <c r="G190" s="61">
        <f>SUMIF(Здание!$G$245:H$291,$E190,Здание!$Q$245:S$291)</f>
        <v>0</v>
      </c>
      <c r="H190" s="62"/>
      <c r="I190" s="94">
        <f t="shared" ca="1" si="148"/>
        <v>0</v>
      </c>
      <c r="J190" s="95">
        <f t="shared" ca="1" si="132"/>
        <v>0</v>
      </c>
      <c r="K190" s="94">
        <f t="shared" ca="1" si="141"/>
        <v>0</v>
      </c>
      <c r="L190" s="94">
        <f t="shared" ca="1" si="147"/>
        <v>0</v>
      </c>
      <c r="M190" s="163"/>
      <c r="N190" s="169">
        <v>0.28000000000000003</v>
      </c>
      <c r="O190" s="166">
        <f t="shared" ca="1" si="146"/>
        <v>0</v>
      </c>
      <c r="Q190" s="123"/>
      <c r="R190" s="123">
        <f t="shared" si="145"/>
        <v>0</v>
      </c>
      <c r="S190" s="138"/>
      <c r="T190" s="124">
        <f t="shared" ca="1" si="131"/>
        <v>0</v>
      </c>
      <c r="U190" s="136"/>
    </row>
    <row r="191" spans="1:21" ht="17.25" hidden="1" customHeight="1" x14ac:dyDescent="0.25">
      <c r="A191" s="32">
        <v>4.49</v>
      </c>
      <c r="C191" s="267"/>
      <c r="D191" s="268"/>
      <c r="E191" s="117" t="s">
        <v>170</v>
      </c>
      <c r="F191" s="61">
        <f ca="1">SUMIF(Здание!$G$8:G$293,$E191,Здание!$Q$8:Q$293)</f>
        <v>0</v>
      </c>
      <c r="G191" s="61">
        <f>SUMIF(Здание!$G$245:H$291,$E191,Здание!$Q$245:S$291)</f>
        <v>0</v>
      </c>
      <c r="H191" s="62"/>
      <c r="I191" s="94">
        <f ca="1">SUM(F191:H191)</f>
        <v>0</v>
      </c>
      <c r="J191" s="95">
        <f ca="1">I191/A191</f>
        <v>0</v>
      </c>
      <c r="K191" s="94">
        <f t="shared" ca="1" si="141"/>
        <v>0</v>
      </c>
      <c r="L191" s="94">
        <f ca="1">K191/A191</f>
        <v>0</v>
      </c>
      <c r="M191" s="163"/>
      <c r="N191" s="169">
        <v>0.26</v>
      </c>
      <c r="O191" s="166">
        <f t="shared" ca="1" si="146"/>
        <v>0</v>
      </c>
      <c r="Q191" s="123"/>
      <c r="R191" s="123">
        <f t="shared" si="145"/>
        <v>0</v>
      </c>
      <c r="S191" s="138"/>
      <c r="T191" s="124">
        <f t="shared" ca="1" si="131"/>
        <v>0</v>
      </c>
      <c r="U191" s="136"/>
    </row>
    <row r="192" spans="1:21" ht="17.25" hidden="1" customHeight="1" x14ac:dyDescent="0.25">
      <c r="A192" s="32">
        <v>36.97</v>
      </c>
      <c r="C192" s="267"/>
      <c r="D192" s="268"/>
      <c r="E192" s="117" t="s">
        <v>205</v>
      </c>
      <c r="F192" s="61">
        <f ca="1">SUMIF(Здание!$G$8:G$293,$E192,Здание!$Q$8:Q$293)</f>
        <v>0</v>
      </c>
      <c r="G192" s="61">
        <f>SUMIF(Здание!$G$245:H$291,$E192,Здание!$Q$245:S$291)</f>
        <v>0</v>
      </c>
      <c r="H192" s="62"/>
      <c r="I192" s="94">
        <f t="shared" ca="1" si="148"/>
        <v>0</v>
      </c>
      <c r="J192" s="95">
        <f t="shared" ca="1" si="132"/>
        <v>0</v>
      </c>
      <c r="K192" s="94">
        <f t="shared" ca="1" si="141"/>
        <v>0</v>
      </c>
      <c r="L192" s="94">
        <f t="shared" ca="1" si="147"/>
        <v>0</v>
      </c>
      <c r="M192" s="163"/>
      <c r="N192" s="169">
        <v>0.5</v>
      </c>
      <c r="O192" s="166">
        <f t="shared" ca="1" si="146"/>
        <v>0</v>
      </c>
      <c r="Q192" s="123"/>
      <c r="R192" s="123">
        <f t="shared" si="145"/>
        <v>0</v>
      </c>
      <c r="S192" s="138"/>
      <c r="T192" s="124">
        <f t="shared" ca="1" si="131"/>
        <v>0</v>
      </c>
      <c r="U192" s="136"/>
    </row>
    <row r="193" spans="1:21" ht="17.25" hidden="1" customHeight="1" x14ac:dyDescent="0.25">
      <c r="A193" s="32">
        <v>19.41</v>
      </c>
      <c r="C193" s="267"/>
      <c r="D193" s="268"/>
      <c r="E193" s="117" t="s">
        <v>398</v>
      </c>
      <c r="F193" s="61">
        <f ca="1">SUMIF(Здание!$G$8:G$293,$E193,Здание!$Q$8:Q$293)</f>
        <v>0</v>
      </c>
      <c r="G193" s="61">
        <f>SUMIF(Здание!$G$245:H$291,$E193,Здание!$Q$245:S$291)</f>
        <v>0</v>
      </c>
      <c r="H193" s="62"/>
      <c r="I193" s="94">
        <f ca="1">SUM(F193:H193)</f>
        <v>0</v>
      </c>
      <c r="J193" s="95">
        <f ca="1">I193/A193</f>
        <v>0</v>
      </c>
      <c r="K193" s="94">
        <f t="shared" ref="K193" ca="1" si="153">I193*$C$261</f>
        <v>0</v>
      </c>
      <c r="L193" s="94">
        <f ca="1">K193/A193</f>
        <v>0</v>
      </c>
      <c r="M193" s="163"/>
      <c r="N193" s="169">
        <v>0.56000000000000005</v>
      </c>
      <c r="O193" s="166">
        <f t="shared" ref="O193" ca="1" si="154">N193*L193</f>
        <v>0</v>
      </c>
      <c r="Q193" s="123"/>
      <c r="R193" s="123">
        <f t="shared" ref="R193" si="155">SUM(Q193:Q193)</f>
        <v>0</v>
      </c>
      <c r="S193" s="138"/>
      <c r="T193" s="124">
        <f t="shared" ref="T193" ca="1" si="156">R193-I193</f>
        <v>0</v>
      </c>
      <c r="U193" s="136"/>
    </row>
    <row r="194" spans="1:21" ht="17.25" hidden="1" customHeight="1" x14ac:dyDescent="0.25">
      <c r="A194" s="32">
        <v>21.45</v>
      </c>
      <c r="C194" s="267"/>
      <c r="D194" s="268"/>
      <c r="E194" s="117" t="s">
        <v>267</v>
      </c>
      <c r="F194" s="61">
        <f ca="1">SUMIF(Здание!$G$8:G$293,$E194,Здание!$Q$8:Q$293)</f>
        <v>0</v>
      </c>
      <c r="G194" s="61">
        <f>SUMIF(Здание!$G$245:H$291,$E194,Здание!$Q$245:S$291)</f>
        <v>0</v>
      </c>
      <c r="H194" s="62"/>
      <c r="I194" s="94">
        <f ca="1">SUM(F194:H194)</f>
        <v>0</v>
      </c>
      <c r="J194" s="95">
        <f ca="1">I194/A194</f>
        <v>0</v>
      </c>
      <c r="K194" s="94">
        <f t="shared" ca="1" si="141"/>
        <v>0</v>
      </c>
      <c r="L194" s="94">
        <f ca="1">K194/A194</f>
        <v>0</v>
      </c>
      <c r="M194" s="163"/>
      <c r="N194" s="169">
        <v>0.56000000000000005</v>
      </c>
      <c r="O194" s="166">
        <f t="shared" ca="1" si="146"/>
        <v>0</v>
      </c>
      <c r="Q194" s="123"/>
      <c r="R194" s="123">
        <f t="shared" si="145"/>
        <v>0</v>
      </c>
      <c r="S194" s="138"/>
      <c r="T194" s="124">
        <f t="shared" ca="1" si="131"/>
        <v>0</v>
      </c>
      <c r="U194" s="136"/>
    </row>
    <row r="195" spans="1:21" ht="17.25" hidden="1" customHeight="1" x14ac:dyDescent="0.25">
      <c r="A195" s="32">
        <v>11.89</v>
      </c>
      <c r="C195" s="267"/>
      <c r="D195" s="268"/>
      <c r="E195" s="117" t="s">
        <v>169</v>
      </c>
      <c r="F195" s="61">
        <f ca="1">SUMIF(Здание!$G$8:G$293,$E195,Здание!$Q$8:Q$293)</f>
        <v>0</v>
      </c>
      <c r="G195" s="61">
        <f>SUMIF(Здание!$G$245:H$291,$E195,Здание!$Q$245:S$291)</f>
        <v>0</v>
      </c>
      <c r="H195" s="62"/>
      <c r="I195" s="94">
        <f t="shared" ca="1" si="148"/>
        <v>0</v>
      </c>
      <c r="J195" s="95">
        <f t="shared" ca="1" si="132"/>
        <v>0</v>
      </c>
      <c r="K195" s="94">
        <f t="shared" ca="1" si="141"/>
        <v>0</v>
      </c>
      <c r="L195" s="94">
        <f t="shared" ca="1" si="147"/>
        <v>0</v>
      </c>
      <c r="M195" s="163"/>
      <c r="N195" s="169">
        <v>0.48</v>
      </c>
      <c r="O195" s="166">
        <f t="shared" ca="1" si="146"/>
        <v>0</v>
      </c>
      <c r="Q195" s="123"/>
      <c r="R195" s="123">
        <f t="shared" si="145"/>
        <v>0</v>
      </c>
      <c r="S195" s="138"/>
      <c r="T195" s="124">
        <f t="shared" ca="1" si="131"/>
        <v>0</v>
      </c>
      <c r="U195" s="136"/>
    </row>
    <row r="196" spans="1:21" ht="17.25" hidden="1" customHeight="1" x14ac:dyDescent="0.25">
      <c r="A196" s="32">
        <v>15.46</v>
      </c>
      <c r="C196" s="267"/>
      <c r="D196" s="268"/>
      <c r="E196" s="117" t="s">
        <v>261</v>
      </c>
      <c r="F196" s="61">
        <f ca="1">SUMIF(Здание!$G$8:G$293,$E196,Здание!$Q$8:Q$293)</f>
        <v>0</v>
      </c>
      <c r="G196" s="61">
        <f>SUMIF(Здание!$G$245:H$291,$E196,Здание!$Q$245:S$291)</f>
        <v>0</v>
      </c>
      <c r="H196" s="62"/>
      <c r="I196" s="94">
        <f ca="1">SUM(F196:H196)</f>
        <v>0</v>
      </c>
      <c r="J196" s="95">
        <f ca="1">I196/A196</f>
        <v>0</v>
      </c>
      <c r="K196" s="94">
        <f t="shared" ca="1" si="141"/>
        <v>0</v>
      </c>
      <c r="L196" s="94">
        <f ca="1">K196/A196</f>
        <v>0</v>
      </c>
      <c r="M196" s="163"/>
      <c r="N196" s="169">
        <v>0.5</v>
      </c>
      <c r="O196" s="166">
        <f t="shared" ca="1" si="146"/>
        <v>0</v>
      </c>
      <c r="Q196" s="123"/>
      <c r="R196" s="123">
        <f t="shared" si="145"/>
        <v>0</v>
      </c>
      <c r="S196" s="138"/>
      <c r="T196" s="124">
        <f t="shared" ca="1" si="131"/>
        <v>0</v>
      </c>
      <c r="U196" s="136"/>
    </row>
    <row r="197" spans="1:21" ht="17.25" hidden="1" customHeight="1" x14ac:dyDescent="0.25">
      <c r="A197" s="32">
        <v>10.79</v>
      </c>
      <c r="C197" s="267"/>
      <c r="D197" s="268"/>
      <c r="E197" s="117" t="s">
        <v>319</v>
      </c>
      <c r="F197" s="61">
        <f ca="1">SUMIF(Здание!$G$8:G$293,$E197,Здание!$Q$8:Q$293)</f>
        <v>0</v>
      </c>
      <c r="G197" s="61">
        <f>SUMIF(Здание!$G$245:H$291,$E197,Здание!$Q$245:S$291)</f>
        <v>0</v>
      </c>
      <c r="H197" s="62"/>
      <c r="I197" s="94">
        <f t="shared" ca="1" si="148"/>
        <v>0</v>
      </c>
      <c r="J197" s="95">
        <f t="shared" ca="1" si="132"/>
        <v>0</v>
      </c>
      <c r="K197" s="94">
        <f t="shared" ca="1" si="141"/>
        <v>0</v>
      </c>
      <c r="L197" s="94">
        <f t="shared" ca="1" si="147"/>
        <v>0</v>
      </c>
      <c r="M197" s="163"/>
      <c r="N197" s="169">
        <v>0.4</v>
      </c>
      <c r="O197" s="166">
        <f t="shared" ca="1" si="146"/>
        <v>0</v>
      </c>
      <c r="Q197" s="123"/>
      <c r="R197" s="123">
        <f t="shared" si="145"/>
        <v>0</v>
      </c>
      <c r="S197" s="138"/>
      <c r="T197" s="124">
        <f t="shared" ca="1" si="131"/>
        <v>0</v>
      </c>
      <c r="U197" s="136"/>
    </row>
    <row r="198" spans="1:21" ht="17.25" hidden="1" customHeight="1" x14ac:dyDescent="0.25">
      <c r="A198" s="32">
        <v>8.33</v>
      </c>
      <c r="C198" s="267"/>
      <c r="D198" s="268"/>
      <c r="E198" s="117" t="s">
        <v>253</v>
      </c>
      <c r="F198" s="61">
        <f ca="1">SUMIF(Здание!$G$8:G$293,$E198,Здание!$Q$8:Q$293)</f>
        <v>0</v>
      </c>
      <c r="G198" s="61">
        <f>SUMIF(Здание!$G$245:H$291,$E198,Здание!$Q$245:S$291)</f>
        <v>0</v>
      </c>
      <c r="H198" s="62"/>
      <c r="I198" s="94">
        <f t="shared" ca="1" si="148"/>
        <v>0</v>
      </c>
      <c r="J198" s="95">
        <f t="shared" ca="1" si="132"/>
        <v>0</v>
      </c>
      <c r="K198" s="94">
        <f t="shared" ca="1" si="141"/>
        <v>0</v>
      </c>
      <c r="L198" s="94">
        <f t="shared" ca="1" si="147"/>
        <v>0</v>
      </c>
      <c r="M198" s="163"/>
      <c r="N198" s="169">
        <v>0.36</v>
      </c>
      <c r="O198" s="166">
        <f t="shared" ca="1" si="146"/>
        <v>0</v>
      </c>
      <c r="Q198" s="123"/>
      <c r="R198" s="123">
        <f t="shared" si="145"/>
        <v>0</v>
      </c>
      <c r="S198" s="138"/>
      <c r="T198" s="124">
        <f t="shared" ca="1" si="131"/>
        <v>0</v>
      </c>
      <c r="U198" s="136"/>
    </row>
    <row r="199" spans="1:21" ht="17.25" hidden="1" customHeight="1" x14ac:dyDescent="0.25">
      <c r="A199" s="32">
        <v>9.64</v>
      </c>
      <c r="C199" s="267"/>
      <c r="D199" s="268"/>
      <c r="E199" s="117" t="s">
        <v>258</v>
      </c>
      <c r="F199" s="61">
        <f ca="1">SUMIF(Здание!$G$8:G$293,$E199,Здание!$Q$8:Q$293)</f>
        <v>0</v>
      </c>
      <c r="G199" s="61">
        <f>SUMIF(Здание!$G$245:H$291,$E199,Здание!$Q$245:S$291)</f>
        <v>0</v>
      </c>
      <c r="H199" s="62"/>
      <c r="I199" s="94">
        <f ca="1">SUM(F199:H199)</f>
        <v>0</v>
      </c>
      <c r="J199" s="95">
        <f ca="1">I199/A199</f>
        <v>0</v>
      </c>
      <c r="K199" s="94">
        <f t="shared" ca="1" si="141"/>
        <v>0</v>
      </c>
      <c r="L199" s="94">
        <f ca="1">K199/A199</f>
        <v>0</v>
      </c>
      <c r="M199" s="163"/>
      <c r="N199" s="169">
        <v>0.36</v>
      </c>
      <c r="O199" s="166">
        <f t="shared" ca="1" si="146"/>
        <v>0</v>
      </c>
      <c r="Q199" s="123"/>
      <c r="R199" s="123">
        <f t="shared" si="145"/>
        <v>0</v>
      </c>
      <c r="S199" s="138"/>
      <c r="T199" s="124">
        <f t="shared" ca="1" si="131"/>
        <v>0</v>
      </c>
      <c r="U199" s="136"/>
    </row>
    <row r="200" spans="1:21" ht="17.25" hidden="1" customHeight="1" x14ac:dyDescent="0.25">
      <c r="A200" s="32">
        <v>7.36</v>
      </c>
      <c r="C200" s="267"/>
      <c r="D200" s="268"/>
      <c r="E200" s="117" t="s">
        <v>53</v>
      </c>
      <c r="F200" s="61">
        <f ca="1">SUMIF(Здание!$G$8:G$293,$E200,Здание!$Q$8:Q$293)</f>
        <v>0</v>
      </c>
      <c r="G200" s="61">
        <f>SUMIF(Здание!$G$245:H$291,$E200,Здание!$Q$245:S$291)</f>
        <v>0</v>
      </c>
      <c r="H200" s="62"/>
      <c r="I200" s="94">
        <f t="shared" ca="1" si="148"/>
        <v>0</v>
      </c>
      <c r="J200" s="95">
        <f t="shared" ca="1" si="132"/>
        <v>0</v>
      </c>
      <c r="K200" s="94">
        <f t="shared" ca="1" si="141"/>
        <v>0</v>
      </c>
      <c r="L200" s="94">
        <f t="shared" ca="1" si="147"/>
        <v>0</v>
      </c>
      <c r="M200" s="163"/>
      <c r="N200" s="169">
        <v>0.32</v>
      </c>
      <c r="O200" s="166">
        <f t="shared" ca="1" si="146"/>
        <v>0</v>
      </c>
      <c r="Q200" s="123"/>
      <c r="R200" s="123">
        <f t="shared" si="145"/>
        <v>0</v>
      </c>
      <c r="S200" s="138"/>
      <c r="T200" s="124">
        <f t="shared" ca="1" si="131"/>
        <v>0</v>
      </c>
      <c r="U200" s="136"/>
    </row>
    <row r="201" spans="1:21" ht="17.25" hidden="1" customHeight="1" x14ac:dyDescent="0.25">
      <c r="A201" s="32">
        <v>6.78</v>
      </c>
      <c r="C201" s="267"/>
      <c r="D201" s="268"/>
      <c r="E201" s="117" t="s">
        <v>133</v>
      </c>
      <c r="F201" s="61">
        <f ca="1">SUMIF(Здание!$G$8:G$293,$E201,Здание!$Q$8:Q$293)</f>
        <v>0</v>
      </c>
      <c r="G201" s="61">
        <f>SUMIF(Здание!$G$245:H$291,$E201,Здание!$Q$245:S$291)</f>
        <v>0</v>
      </c>
      <c r="H201" s="62"/>
      <c r="I201" s="94">
        <f t="shared" ca="1" si="148"/>
        <v>0</v>
      </c>
      <c r="J201" s="95">
        <f t="shared" ca="1" si="132"/>
        <v>0</v>
      </c>
      <c r="K201" s="94">
        <f t="shared" ca="1" si="141"/>
        <v>0</v>
      </c>
      <c r="L201" s="94">
        <f t="shared" ca="1" si="147"/>
        <v>0</v>
      </c>
      <c r="M201" s="163"/>
      <c r="N201" s="169">
        <v>0.32</v>
      </c>
      <c r="O201" s="166">
        <f t="shared" ca="1" si="146"/>
        <v>0</v>
      </c>
      <c r="Q201" s="123"/>
      <c r="R201" s="123">
        <f t="shared" si="145"/>
        <v>0</v>
      </c>
      <c r="S201" s="138"/>
      <c r="T201" s="124">
        <f t="shared" ca="1" si="131"/>
        <v>0</v>
      </c>
      <c r="U201" s="136"/>
    </row>
    <row r="202" spans="1:21" ht="42.75" customHeight="1" x14ac:dyDescent="0.25">
      <c r="A202" s="32">
        <v>6.89</v>
      </c>
      <c r="C202" s="267"/>
      <c r="D202" s="268"/>
      <c r="E202" s="117" t="s">
        <v>43</v>
      </c>
      <c r="F202" s="61">
        <f ca="1">SUMIF(Здание!$G$8:G$293,$E202,Здание!$Q$8:Q$293)</f>
        <v>2233.7379999999998</v>
      </c>
      <c r="G202" s="61">
        <f>SUMIF(Здание!$G$245:H$291,$E202,Здание!$Q$245:S$291)</f>
        <v>0</v>
      </c>
      <c r="H202" s="62"/>
      <c r="I202" s="94">
        <f t="shared" ca="1" si="148"/>
        <v>2233.7379999999998</v>
      </c>
      <c r="J202" s="95">
        <f t="shared" ca="1" si="132"/>
        <v>324.2</v>
      </c>
      <c r="K202" s="94">
        <f t="shared" ca="1" si="141"/>
        <v>2300.7501400000001</v>
      </c>
      <c r="L202" s="94">
        <f t="shared" ca="1" si="147"/>
        <v>333.92600000000004</v>
      </c>
      <c r="M202" s="163"/>
      <c r="N202" s="169">
        <v>0.3</v>
      </c>
      <c r="O202" s="166">
        <f t="shared" ca="1" si="146"/>
        <v>100.1778</v>
      </c>
      <c r="Q202" s="123">
        <v>2070</v>
      </c>
      <c r="R202" s="123">
        <f t="shared" si="145"/>
        <v>2070</v>
      </c>
      <c r="S202" s="138">
        <f>R202/A202</f>
        <v>300.43541364296084</v>
      </c>
      <c r="T202" s="124">
        <f t="shared" ca="1" si="131"/>
        <v>-163.73799999999983</v>
      </c>
      <c r="U202" s="136"/>
    </row>
    <row r="203" spans="1:21" ht="17.25" hidden="1" customHeight="1" x14ac:dyDescent="0.25">
      <c r="A203" s="32">
        <v>5.8</v>
      </c>
      <c r="C203" s="267"/>
      <c r="D203" s="268"/>
      <c r="E203" s="117" t="s">
        <v>132</v>
      </c>
      <c r="F203" s="61">
        <f ca="1">SUMIF(Здание!$G$8:G$293,$E203,Здание!$Q$8:Q$293)</f>
        <v>0</v>
      </c>
      <c r="G203" s="61">
        <f>SUMIF(Здание!$G$245:H$291,$E203,Здание!$Q$245:S$291)</f>
        <v>0</v>
      </c>
      <c r="H203" s="62"/>
      <c r="I203" s="94">
        <f t="shared" ca="1" si="148"/>
        <v>0</v>
      </c>
      <c r="J203" s="95">
        <f t="shared" ca="1" si="132"/>
        <v>0</v>
      </c>
      <c r="K203" s="94">
        <f t="shared" ca="1" si="141"/>
        <v>0</v>
      </c>
      <c r="L203" s="94">
        <f t="shared" ca="1" si="147"/>
        <v>0</v>
      </c>
      <c r="M203" s="163"/>
      <c r="N203" s="169">
        <v>0.3</v>
      </c>
      <c r="O203" s="166">
        <f t="shared" ca="1" si="146"/>
        <v>0</v>
      </c>
      <c r="Q203" s="123"/>
      <c r="R203" s="123">
        <f t="shared" si="145"/>
        <v>0</v>
      </c>
      <c r="S203" s="138">
        <f>R203/A203</f>
        <v>0</v>
      </c>
      <c r="T203" s="124">
        <f t="shared" ca="1" si="131"/>
        <v>0</v>
      </c>
      <c r="U203" s="137"/>
    </row>
    <row r="204" spans="1:21" ht="17.25" hidden="1" customHeight="1" x14ac:dyDescent="0.25">
      <c r="A204" s="32">
        <v>5.38</v>
      </c>
      <c r="C204" s="267"/>
      <c r="D204" s="268"/>
      <c r="E204" s="117" t="s">
        <v>167</v>
      </c>
      <c r="F204" s="61">
        <f ca="1">SUMIF(Здание!$G$8:G$293,$E204,Здание!$Q$8:Q$293)</f>
        <v>0</v>
      </c>
      <c r="G204" s="61">
        <f>SUMIF(Здание!$G$245:H$291,$E204,Здание!$Q$245:S$291)</f>
        <v>0</v>
      </c>
      <c r="H204" s="62"/>
      <c r="I204" s="94">
        <f ca="1">SUM(F204:H204)</f>
        <v>0</v>
      </c>
      <c r="J204" s="95">
        <f ca="1">I204/A204</f>
        <v>0</v>
      </c>
      <c r="K204" s="94">
        <f t="shared" ca="1" si="141"/>
        <v>0</v>
      </c>
      <c r="L204" s="94">
        <f ca="1">K204/A204</f>
        <v>0</v>
      </c>
      <c r="M204" s="163"/>
      <c r="N204" s="169">
        <v>0.28000000000000003</v>
      </c>
      <c r="O204" s="166">
        <f t="shared" ca="1" si="146"/>
        <v>0</v>
      </c>
      <c r="Q204" s="123"/>
      <c r="R204" s="123">
        <f t="shared" si="145"/>
        <v>0</v>
      </c>
      <c r="S204" s="138"/>
      <c r="T204" s="124">
        <f t="shared" ca="1" si="131"/>
        <v>0</v>
      </c>
      <c r="U204" s="136"/>
    </row>
    <row r="205" spans="1:21" ht="17.25" hidden="1" customHeight="1" x14ac:dyDescent="0.25">
      <c r="A205" s="32">
        <v>8.3699999999999992</v>
      </c>
      <c r="C205" s="267"/>
      <c r="D205" s="268"/>
      <c r="E205" s="117" t="s">
        <v>259</v>
      </c>
      <c r="F205" s="61">
        <f ca="1">SUMIF(Здание!$G$8:G$293,$E205,Здание!$Q$8:Q$293)</f>
        <v>0</v>
      </c>
      <c r="G205" s="61">
        <f>SUMIF(Здание!$G$245:H$291,$E205,Здание!$Q$245:S$291)</f>
        <v>0</v>
      </c>
      <c r="H205" s="62"/>
      <c r="I205" s="94">
        <f t="shared" ca="1" si="148"/>
        <v>0</v>
      </c>
      <c r="J205" s="95">
        <f t="shared" ca="1" si="132"/>
        <v>0</v>
      </c>
      <c r="K205" s="94">
        <f t="shared" ca="1" si="141"/>
        <v>0</v>
      </c>
      <c r="L205" s="94">
        <f t="shared" ca="1" si="147"/>
        <v>0</v>
      </c>
      <c r="M205" s="163"/>
      <c r="N205" s="169">
        <v>0.28000000000000003</v>
      </c>
      <c r="O205" s="166">
        <f t="shared" ca="1" si="146"/>
        <v>0</v>
      </c>
      <c r="Q205" s="123"/>
      <c r="R205" s="123">
        <f t="shared" si="145"/>
        <v>0</v>
      </c>
      <c r="S205" s="138"/>
      <c r="T205" s="124">
        <f t="shared" ca="1" si="131"/>
        <v>0</v>
      </c>
      <c r="U205" s="136"/>
    </row>
    <row r="206" spans="1:21" ht="17.25" hidden="1" customHeight="1" x14ac:dyDescent="0.25">
      <c r="A206" s="32">
        <v>4.8099999999999996</v>
      </c>
      <c r="C206" s="267"/>
      <c r="D206" s="268"/>
      <c r="E206" s="117" t="s">
        <v>14</v>
      </c>
      <c r="F206" s="61">
        <f ca="1">SUMIF(Здание!$G$8:G$293,$E206,Здание!$Q$8:Q$293)</f>
        <v>0</v>
      </c>
      <c r="G206" s="61">
        <f>SUMIF(Здание!$G$245:H$291,$E206,Здание!$Q$245:S$291)</f>
        <v>0</v>
      </c>
      <c r="H206" s="62"/>
      <c r="I206" s="94">
        <f t="shared" ca="1" si="148"/>
        <v>0</v>
      </c>
      <c r="J206" s="95">
        <f t="shared" ca="1" si="132"/>
        <v>0</v>
      </c>
      <c r="K206" s="94">
        <f t="shared" ca="1" si="141"/>
        <v>0</v>
      </c>
      <c r="L206" s="94">
        <f t="shared" ca="1" si="147"/>
        <v>0</v>
      </c>
      <c r="M206" s="163"/>
      <c r="N206" s="169">
        <v>0.252</v>
      </c>
      <c r="O206" s="166">
        <f t="shared" ca="1" si="146"/>
        <v>0</v>
      </c>
      <c r="Q206" s="123"/>
      <c r="R206" s="123">
        <f t="shared" si="145"/>
        <v>0</v>
      </c>
      <c r="S206" s="138"/>
      <c r="T206" s="124">
        <f t="shared" ca="1" si="131"/>
        <v>0</v>
      </c>
      <c r="U206" s="136"/>
    </row>
    <row r="207" spans="1:21" ht="17.25" hidden="1" customHeight="1" x14ac:dyDescent="0.25">
      <c r="A207" s="32">
        <v>3.77</v>
      </c>
      <c r="C207" s="267"/>
      <c r="D207" s="268"/>
      <c r="E207" s="117" t="s">
        <v>35</v>
      </c>
      <c r="F207" s="61">
        <f ca="1">SUMIF(Здание!$G$8:G$293,$E207,Здание!$Q$8:Q$293)</f>
        <v>0</v>
      </c>
      <c r="G207" s="61">
        <f>SUMIF(Здание!$G$245:H$291,$E207,Здание!$Q$245:S$291)</f>
        <v>0</v>
      </c>
      <c r="H207" s="62"/>
      <c r="I207" s="94">
        <f t="shared" ca="1" si="148"/>
        <v>0</v>
      </c>
      <c r="J207" s="95">
        <f t="shared" ca="1" si="132"/>
        <v>0</v>
      </c>
      <c r="K207" s="94">
        <f t="shared" ca="1" si="141"/>
        <v>0</v>
      </c>
      <c r="L207" s="94">
        <f t="shared" ca="1" si="147"/>
        <v>0</v>
      </c>
      <c r="M207" s="163"/>
      <c r="N207" s="169">
        <v>0.2</v>
      </c>
      <c r="O207" s="166">
        <f t="shared" ca="1" si="146"/>
        <v>0</v>
      </c>
      <c r="Q207" s="123"/>
      <c r="R207" s="123">
        <f t="shared" si="145"/>
        <v>0</v>
      </c>
      <c r="S207" s="138"/>
      <c r="T207" s="124">
        <f t="shared" ca="1" si="131"/>
        <v>0</v>
      </c>
      <c r="U207" s="136"/>
    </row>
    <row r="208" spans="1:21" ht="17.25" hidden="1" customHeight="1" x14ac:dyDescent="0.25">
      <c r="A208" s="32">
        <v>2.3199999999999998</v>
      </c>
      <c r="C208" s="267"/>
      <c r="D208" s="268"/>
      <c r="E208" s="117" t="s">
        <v>140</v>
      </c>
      <c r="F208" s="61">
        <f ca="1">SUMIF(Здание!$G$8:G$293,$E208,Здание!$Q$8:Q$293)</f>
        <v>0</v>
      </c>
      <c r="G208" s="61">
        <f>SUMIF(Здание!$G$245:H$291,$E208,Здание!$Q$245:S$291)</f>
        <v>0</v>
      </c>
      <c r="H208" s="62"/>
      <c r="I208" s="94">
        <f t="shared" ca="1" si="148"/>
        <v>0</v>
      </c>
      <c r="J208" s="95">
        <f t="shared" ca="1" si="132"/>
        <v>0</v>
      </c>
      <c r="K208" s="94">
        <f t="shared" ca="1" si="141"/>
        <v>0</v>
      </c>
      <c r="L208" s="94">
        <f t="shared" ca="1" si="147"/>
        <v>0</v>
      </c>
      <c r="M208" s="163"/>
      <c r="N208" s="169">
        <v>0.2</v>
      </c>
      <c r="O208" s="166">
        <f t="shared" ca="1" si="146"/>
        <v>0</v>
      </c>
      <c r="Q208" s="123"/>
      <c r="R208" s="123">
        <f t="shared" si="145"/>
        <v>0</v>
      </c>
      <c r="S208" s="138"/>
      <c r="T208" s="124">
        <f t="shared" ca="1" si="131"/>
        <v>0</v>
      </c>
      <c r="U208" s="136"/>
    </row>
    <row r="209" spans="1:21" ht="17.25" hidden="1" customHeight="1" x14ac:dyDescent="0.25">
      <c r="A209" s="32">
        <v>2.42</v>
      </c>
      <c r="C209" s="267"/>
      <c r="D209" s="268"/>
      <c r="E209" s="117" t="s">
        <v>198</v>
      </c>
      <c r="F209" s="61">
        <f ca="1">SUMIF(Здание!$G$8:G$293,$E209,Здание!$Q$8:Q$293)</f>
        <v>0</v>
      </c>
      <c r="G209" s="61">
        <f>SUMIF(Здание!$G$245:H$291,$E209,Здание!$Q$245:S$291)</f>
        <v>0</v>
      </c>
      <c r="H209" s="62"/>
      <c r="I209" s="94">
        <f ca="1">SUM(F209:H209)</f>
        <v>0</v>
      </c>
      <c r="J209" s="95">
        <f ca="1">I209/A209</f>
        <v>0</v>
      </c>
      <c r="K209" s="94">
        <f t="shared" ca="1" si="141"/>
        <v>0</v>
      </c>
      <c r="L209" s="94">
        <f ca="1">K209/A209</f>
        <v>0</v>
      </c>
      <c r="M209" s="163"/>
      <c r="N209" s="169">
        <v>0.16</v>
      </c>
      <c r="O209" s="166">
        <f t="shared" ca="1" si="146"/>
        <v>0</v>
      </c>
      <c r="Q209" s="123"/>
      <c r="R209" s="123">
        <f t="shared" si="145"/>
        <v>0</v>
      </c>
      <c r="S209" s="138"/>
      <c r="T209" s="124">
        <f t="shared" ca="1" si="131"/>
        <v>0</v>
      </c>
      <c r="U209" s="136"/>
    </row>
    <row r="210" spans="1:21" ht="17.25" hidden="1" customHeight="1" x14ac:dyDescent="0.25">
      <c r="A210" s="32">
        <v>1.1200000000000001</v>
      </c>
      <c r="C210" s="267"/>
      <c r="D210" s="268"/>
      <c r="E210" s="117" t="s">
        <v>41</v>
      </c>
      <c r="F210" s="61">
        <f ca="1">SUMIF(Здание!$G$8:G$293,$E210,Здание!$Q$8:Q$293)</f>
        <v>0</v>
      </c>
      <c r="G210" s="61">
        <f>SUMIF(Здание!$G$245:H$291,$E210,Здание!$Q$245:S$291)</f>
        <v>0</v>
      </c>
      <c r="H210" s="62"/>
      <c r="I210" s="94">
        <f t="shared" ca="1" si="148"/>
        <v>0</v>
      </c>
      <c r="J210" s="95">
        <f t="shared" ca="1" si="132"/>
        <v>0</v>
      </c>
      <c r="K210" s="94">
        <f t="shared" ca="1" si="141"/>
        <v>0</v>
      </c>
      <c r="L210" s="94">
        <f t="shared" ca="1" si="147"/>
        <v>0</v>
      </c>
      <c r="M210" s="163"/>
      <c r="N210" s="169">
        <v>0.1</v>
      </c>
      <c r="O210" s="166">
        <f t="shared" ca="1" si="146"/>
        <v>0</v>
      </c>
      <c r="Q210" s="123"/>
      <c r="R210" s="123">
        <f t="shared" si="145"/>
        <v>0</v>
      </c>
      <c r="S210" s="138"/>
      <c r="T210" s="124">
        <f t="shared" ca="1" si="131"/>
        <v>0</v>
      </c>
      <c r="U210" s="136"/>
    </row>
    <row r="211" spans="1:21" ht="2.1" hidden="1" customHeight="1" x14ac:dyDescent="0.25">
      <c r="A211" s="32"/>
      <c r="C211" s="269"/>
      <c r="D211" s="268"/>
      <c r="E211" s="117"/>
      <c r="F211" s="61"/>
      <c r="G211" s="61"/>
      <c r="H211" s="62"/>
      <c r="I211" s="94"/>
      <c r="J211" s="95"/>
      <c r="K211" s="94"/>
      <c r="L211" s="94"/>
      <c r="M211" s="163"/>
      <c r="N211" s="169"/>
      <c r="O211" s="167"/>
      <c r="Q211" s="123"/>
      <c r="R211" s="123">
        <f t="shared" si="145"/>
        <v>0</v>
      </c>
      <c r="S211" s="138"/>
      <c r="T211" s="124">
        <f t="shared" si="131"/>
        <v>0</v>
      </c>
      <c r="U211" s="136"/>
    </row>
    <row r="212" spans="1:21" ht="32.25" hidden="1" customHeight="1" x14ac:dyDescent="0.25">
      <c r="A212" s="32">
        <v>19.3</v>
      </c>
      <c r="C212" s="266" t="s">
        <v>146</v>
      </c>
      <c r="D212" s="270" t="s">
        <v>290</v>
      </c>
      <c r="E212" s="117" t="s">
        <v>145</v>
      </c>
      <c r="F212" s="61">
        <f ca="1">SUMIF(Здание!$G$8:G$293,$E212,Здание!$Q$8:Q$293)</f>
        <v>0</v>
      </c>
      <c r="G212" s="61">
        <f>SUMIF(Здание!$G$245:H$291,$E212,Здание!$Q$245:S$291)</f>
        <v>0</v>
      </c>
      <c r="H212" s="62"/>
      <c r="I212" s="94">
        <f t="shared" ca="1" si="148"/>
        <v>0</v>
      </c>
      <c r="J212" s="95">
        <f t="shared" ref="J212:J227" ca="1" si="157">I212/A212</f>
        <v>0</v>
      </c>
      <c r="K212" s="94">
        <f t="shared" ref="K212:K242" ca="1" si="158">I212*$C$261</f>
        <v>0</v>
      </c>
      <c r="L212" s="94">
        <f t="shared" ca="1" si="147"/>
        <v>0</v>
      </c>
      <c r="M212" s="163"/>
      <c r="N212" s="169"/>
      <c r="O212" s="166">
        <f ca="1">L212*2*2</f>
        <v>0</v>
      </c>
      <c r="Q212" s="123"/>
      <c r="R212" s="123">
        <f t="shared" si="145"/>
        <v>0</v>
      </c>
      <c r="S212" s="138"/>
      <c r="T212" s="124">
        <f t="shared" ca="1" si="131"/>
        <v>0</v>
      </c>
      <c r="U212" s="136"/>
    </row>
    <row r="213" spans="1:21" hidden="1" x14ac:dyDescent="0.25">
      <c r="A213" s="32">
        <v>17.23</v>
      </c>
      <c r="C213" s="267"/>
      <c r="D213" s="271"/>
      <c r="E213" s="117" t="s">
        <v>40</v>
      </c>
      <c r="F213" s="61">
        <f ca="1">SUMIF(Здание!$G$8:G$293,$E213,Здание!$Q$8:Q$293)</f>
        <v>0</v>
      </c>
      <c r="G213" s="61">
        <f>SUMIF(Здание!$G$245:H$291,$E213,Здание!$Q$245:S$291)</f>
        <v>0</v>
      </c>
      <c r="H213" s="62"/>
      <c r="I213" s="94">
        <f t="shared" ca="1" si="148"/>
        <v>0</v>
      </c>
      <c r="J213" s="95">
        <f t="shared" ca="1" si="157"/>
        <v>0</v>
      </c>
      <c r="K213" s="94">
        <f t="shared" ca="1" si="158"/>
        <v>0</v>
      </c>
      <c r="L213" s="94">
        <f t="shared" ca="1" si="147"/>
        <v>0</v>
      </c>
      <c r="M213" s="163"/>
      <c r="N213" s="169"/>
      <c r="O213" s="166">
        <f t="shared" ref="O213:O215" ca="1" si="159">L213*2*2</f>
        <v>0</v>
      </c>
      <c r="Q213" s="123"/>
      <c r="R213" s="123">
        <f t="shared" si="145"/>
        <v>0</v>
      </c>
      <c r="S213" s="138"/>
      <c r="T213" s="124">
        <f t="shared" ca="1" si="131"/>
        <v>0</v>
      </c>
      <c r="U213" s="136"/>
    </row>
    <row r="214" spans="1:21" hidden="1" x14ac:dyDescent="0.25">
      <c r="A214" s="32">
        <v>16.97</v>
      </c>
      <c r="C214" s="267"/>
      <c r="D214" s="271"/>
      <c r="E214" s="117" t="s">
        <v>143</v>
      </c>
      <c r="F214" s="61">
        <f ca="1">SUMIF(Здание!$G$8:G$293,$E214,Здание!$Q$8:Q$293)</f>
        <v>0</v>
      </c>
      <c r="G214" s="61">
        <f>SUMIF(Здание!$G$245:H$291,$E214,Здание!$Q$245:S$291)</f>
        <v>0</v>
      </c>
      <c r="H214" s="62"/>
      <c r="I214" s="94">
        <f t="shared" ca="1" si="148"/>
        <v>0</v>
      </c>
      <c r="J214" s="95">
        <f t="shared" ca="1" si="157"/>
        <v>0</v>
      </c>
      <c r="K214" s="94">
        <f t="shared" ca="1" si="158"/>
        <v>0</v>
      </c>
      <c r="L214" s="94">
        <f t="shared" ca="1" si="147"/>
        <v>0</v>
      </c>
      <c r="M214" s="163"/>
      <c r="N214" s="169"/>
      <c r="O214" s="166">
        <f t="shared" ca="1" si="159"/>
        <v>0</v>
      </c>
      <c r="Q214" s="123"/>
      <c r="R214" s="123">
        <f t="shared" si="145"/>
        <v>0</v>
      </c>
      <c r="S214" s="138">
        <f t="shared" ref="S214:S220" si="160">R214/A214</f>
        <v>0</v>
      </c>
      <c r="T214" s="124">
        <f t="shared" ca="1" si="131"/>
        <v>0</v>
      </c>
      <c r="U214" s="136"/>
    </row>
    <row r="215" spans="1:21" hidden="1" x14ac:dyDescent="0.25">
      <c r="A215" s="32">
        <v>14.22</v>
      </c>
      <c r="C215" s="267"/>
      <c r="D215" s="271"/>
      <c r="E215" s="117" t="s">
        <v>144</v>
      </c>
      <c r="F215" s="61">
        <f ca="1">SUMIF(Здание!$G$8:G$293,$E215,Здание!$Q$8:Q$293)</f>
        <v>0</v>
      </c>
      <c r="G215" s="61">
        <f>SUMIF(Здание!$G$245:H$291,$E215,Здание!$Q$245:S$291)</f>
        <v>0</v>
      </c>
      <c r="H215" s="62"/>
      <c r="I215" s="94">
        <f t="shared" ref="I215" ca="1" si="161">SUM(F215:H215)</f>
        <v>0</v>
      </c>
      <c r="J215" s="95">
        <f t="shared" ref="J215" ca="1" si="162">I215/A215</f>
        <v>0</v>
      </c>
      <c r="K215" s="94">
        <f t="shared" ca="1" si="158"/>
        <v>0</v>
      </c>
      <c r="L215" s="94">
        <f t="shared" ref="L215" ca="1" si="163">K215/A215</f>
        <v>0</v>
      </c>
      <c r="M215" s="163"/>
      <c r="N215" s="169"/>
      <c r="O215" s="166">
        <f t="shared" ca="1" si="159"/>
        <v>0</v>
      </c>
      <c r="Q215" s="123"/>
      <c r="R215" s="123">
        <f t="shared" ref="R215" si="164">SUM(Q215:Q215)</f>
        <v>0</v>
      </c>
      <c r="S215" s="138">
        <f t="shared" ref="S215" si="165">R215/A215</f>
        <v>0</v>
      </c>
      <c r="T215" s="124">
        <f t="shared" ca="1" si="131"/>
        <v>0</v>
      </c>
      <c r="U215" s="136"/>
    </row>
    <row r="216" spans="1:21" ht="2.1" hidden="1" customHeight="1" x14ac:dyDescent="0.25">
      <c r="A216" s="32"/>
      <c r="C216" s="269"/>
      <c r="D216" s="272"/>
      <c r="E216" s="117"/>
      <c r="F216" s="61">
        <f ca="1">SUMIF(Здание!$G$8:G$293,$E216,Здание!$Q$8:Q$293)</f>
        <v>0</v>
      </c>
      <c r="G216" s="61">
        <f>SUMIF(Здание!$G$245:H$291,$E216,Здание!$Q$245:S$291)</f>
        <v>0</v>
      </c>
      <c r="H216" s="62"/>
      <c r="I216" s="94">
        <f t="shared" ca="1" si="148"/>
        <v>0</v>
      </c>
      <c r="J216" s="95" t="e">
        <f t="shared" ca="1" si="157"/>
        <v>#DIV/0!</v>
      </c>
      <c r="K216" s="94">
        <f t="shared" ca="1" si="158"/>
        <v>0</v>
      </c>
      <c r="L216" s="94" t="e">
        <f t="shared" ca="1" si="147"/>
        <v>#DIV/0!</v>
      </c>
      <c r="M216" s="163"/>
      <c r="N216" s="169"/>
      <c r="O216" s="166"/>
      <c r="Q216" s="123"/>
      <c r="R216" s="123"/>
      <c r="S216" s="138"/>
      <c r="T216" s="124">
        <f t="shared" ca="1" si="131"/>
        <v>0</v>
      </c>
      <c r="U216" s="136"/>
    </row>
    <row r="217" spans="1:21" hidden="1" x14ac:dyDescent="0.25">
      <c r="A217" s="32">
        <v>3.55</v>
      </c>
      <c r="C217" s="274" t="s">
        <v>235</v>
      </c>
      <c r="D217" s="268" t="s">
        <v>290</v>
      </c>
      <c r="E217" s="117" t="s">
        <v>249</v>
      </c>
      <c r="F217" s="61">
        <f ca="1">SUMIF(Здание!$G$8:G$293,$E217,Здание!$Q$8:Q$293)</f>
        <v>0</v>
      </c>
      <c r="G217" s="61">
        <f>SUMIF(Здание!$G$245:H$291,$E217,Здание!$Q$245:S$291)</f>
        <v>0</v>
      </c>
      <c r="H217" s="62"/>
      <c r="I217" s="94">
        <f t="shared" ca="1" si="148"/>
        <v>0</v>
      </c>
      <c r="J217" s="95">
        <f t="shared" ca="1" si="157"/>
        <v>0</v>
      </c>
      <c r="K217" s="94">
        <f t="shared" ca="1" si="158"/>
        <v>0</v>
      </c>
      <c r="L217" s="94">
        <f t="shared" ca="1" si="147"/>
        <v>0</v>
      </c>
      <c r="M217" s="163"/>
      <c r="N217" s="169"/>
      <c r="O217" s="166"/>
      <c r="Q217" s="123"/>
      <c r="R217" s="123">
        <f t="shared" si="145"/>
        <v>0</v>
      </c>
      <c r="S217" s="138">
        <f t="shared" si="160"/>
        <v>0</v>
      </c>
      <c r="T217" s="124">
        <f t="shared" ref="T217:T257" ca="1" si="166">R217-I217</f>
        <v>0</v>
      </c>
      <c r="U217" s="136"/>
    </row>
    <row r="218" spans="1:21" ht="29.25" hidden="1" customHeight="1" x14ac:dyDescent="0.25">
      <c r="A218" s="32">
        <v>2.4700000000000002</v>
      </c>
      <c r="C218" s="274"/>
      <c r="D218" s="268"/>
      <c r="E218" s="117" t="s">
        <v>340</v>
      </c>
      <c r="F218" s="61">
        <f ca="1">SUMIF(Здание!$G$8:G$293,$E218,Здание!$Q$8:Q$293)</f>
        <v>0</v>
      </c>
      <c r="G218" s="61">
        <f>SUMIF(Здание!$G$245:H$291,$E218,Здание!$Q$245:S$291)</f>
        <v>0</v>
      </c>
      <c r="H218" s="62"/>
      <c r="I218" s="94">
        <f ca="1">SUM(F218:H218)</f>
        <v>0</v>
      </c>
      <c r="J218" s="95">
        <f ca="1">I218/A218</f>
        <v>0</v>
      </c>
      <c r="K218" s="94">
        <f t="shared" ca="1" si="158"/>
        <v>0</v>
      </c>
      <c r="L218" s="94">
        <f ca="1">K218/A218</f>
        <v>0</v>
      </c>
      <c r="M218" s="163"/>
      <c r="N218" s="169"/>
      <c r="O218" s="166"/>
      <c r="Q218" s="123"/>
      <c r="R218" s="123">
        <f t="shared" si="145"/>
        <v>0</v>
      </c>
      <c r="S218" s="138">
        <f t="shared" si="160"/>
        <v>0</v>
      </c>
      <c r="T218" s="124">
        <f t="shared" ca="1" si="166"/>
        <v>0</v>
      </c>
      <c r="U218" s="136"/>
    </row>
    <row r="219" spans="1:21" ht="28.5" hidden="1" customHeight="1" x14ac:dyDescent="0.25">
      <c r="A219" s="32">
        <v>1.998</v>
      </c>
      <c r="C219" s="274"/>
      <c r="D219" s="268"/>
      <c r="E219" s="117" t="s">
        <v>338</v>
      </c>
      <c r="F219" s="61">
        <f ca="1">SUMIF(Здание!$G$8:G$293,$E219,Здание!$Q$8:Q$293)</f>
        <v>0</v>
      </c>
      <c r="G219" s="61">
        <f>SUMIF(Здание!$G$245:H$291,$E219,Здание!$Q$245:S$291)</f>
        <v>0</v>
      </c>
      <c r="H219" s="62"/>
      <c r="I219" s="94">
        <f ca="1">SUM(F219:H219)</f>
        <v>0</v>
      </c>
      <c r="J219" s="95">
        <f ca="1">I219/A219</f>
        <v>0</v>
      </c>
      <c r="K219" s="94">
        <f t="shared" ca="1" si="158"/>
        <v>0</v>
      </c>
      <c r="L219" s="94">
        <f ca="1">K219/A219</f>
        <v>0</v>
      </c>
      <c r="M219" s="163"/>
      <c r="N219" s="169"/>
      <c r="O219" s="166"/>
      <c r="Q219" s="123"/>
      <c r="R219" s="123">
        <f t="shared" ref="R219" si="167">SUM(Q219:Q219)</f>
        <v>0</v>
      </c>
      <c r="S219" s="138">
        <f t="shared" si="160"/>
        <v>0</v>
      </c>
      <c r="T219" s="124">
        <f t="shared" ca="1" si="166"/>
        <v>0</v>
      </c>
      <c r="U219" s="136"/>
    </row>
    <row r="220" spans="1:21" hidden="1" x14ac:dyDescent="0.25">
      <c r="A220" s="32">
        <v>0.61699999999999999</v>
      </c>
      <c r="C220" s="274"/>
      <c r="D220" s="268"/>
      <c r="E220" s="117" t="s">
        <v>36</v>
      </c>
      <c r="F220" s="61">
        <f ca="1">SUMIF(Здание!$G$8:G$293,$E220,Здание!$Q$8:Q$293)</f>
        <v>0</v>
      </c>
      <c r="G220" s="61">
        <f>SUMIF(Здание!$G$245:H$291,$E220,Здание!$Q$245:S$291)</f>
        <v>0</v>
      </c>
      <c r="H220" s="62"/>
      <c r="I220" s="94">
        <f t="shared" ca="1" si="148"/>
        <v>0</v>
      </c>
      <c r="J220" s="95">
        <f t="shared" ca="1" si="157"/>
        <v>0</v>
      </c>
      <c r="K220" s="94">
        <f t="shared" ca="1" si="158"/>
        <v>0</v>
      </c>
      <c r="L220" s="94">
        <f t="shared" ca="1" si="147"/>
        <v>0</v>
      </c>
      <c r="M220" s="163"/>
      <c r="N220" s="169"/>
      <c r="O220" s="166"/>
      <c r="Q220" s="123"/>
      <c r="R220" s="123">
        <f t="shared" si="145"/>
        <v>0</v>
      </c>
      <c r="S220" s="138">
        <f t="shared" si="160"/>
        <v>0</v>
      </c>
      <c r="T220" s="124">
        <f t="shared" ca="1" si="166"/>
        <v>0</v>
      </c>
      <c r="U220" s="136"/>
    </row>
    <row r="221" spans="1:21" hidden="1" x14ac:dyDescent="0.25">
      <c r="A221" s="32">
        <v>0.39500000000000002</v>
      </c>
      <c r="C221" s="274"/>
      <c r="D221" s="268"/>
      <c r="E221" s="117" t="s">
        <v>155</v>
      </c>
      <c r="F221" s="61">
        <f ca="1">SUMIF(Здание!$G$8:G$293,$E221,Здание!$Q$8:Q$293)</f>
        <v>0</v>
      </c>
      <c r="G221" s="61">
        <f>SUMIF(Здание!$G$245:H$291,$E221,Здание!$Q$245:S$291)</f>
        <v>0</v>
      </c>
      <c r="H221" s="62"/>
      <c r="I221" s="94">
        <f t="shared" ref="I221" ca="1" si="168">SUM(F221:H221)</f>
        <v>0</v>
      </c>
      <c r="J221" s="95">
        <f t="shared" ref="J221" ca="1" si="169">I221/A221</f>
        <v>0</v>
      </c>
      <c r="K221" s="94">
        <f t="shared" ca="1" si="158"/>
        <v>0</v>
      </c>
      <c r="L221" s="94">
        <f t="shared" ref="L221" ca="1" si="170">K221/A221</f>
        <v>0</v>
      </c>
      <c r="M221" s="163"/>
      <c r="N221" s="169"/>
      <c r="O221" s="166"/>
      <c r="Q221" s="123"/>
      <c r="R221" s="123">
        <f t="shared" ref="R221" si="171">SUM(Q221:Q221)</f>
        <v>0</v>
      </c>
      <c r="S221" s="138"/>
      <c r="T221" s="124">
        <f t="shared" ca="1" si="166"/>
        <v>0</v>
      </c>
      <c r="U221" s="136"/>
    </row>
    <row r="222" spans="1:21" ht="2.1" hidden="1" customHeight="1" x14ac:dyDescent="0.25">
      <c r="A222" s="32"/>
      <c r="C222" s="274"/>
      <c r="D222" s="268"/>
      <c r="E222" s="117"/>
      <c r="F222" s="61">
        <f ca="1">SUMIF(Здание!$G$8:G$293,$E222,Здание!$Q$8:Q$293)</f>
        <v>0</v>
      </c>
      <c r="G222" s="61">
        <f>SUMIF(Здание!$G$245:H$291,$E222,Здание!$Q$245:S$291)</f>
        <v>0</v>
      </c>
      <c r="H222" s="62"/>
      <c r="I222" s="94">
        <f t="shared" ca="1" si="148"/>
        <v>0</v>
      </c>
      <c r="J222" s="95" t="e">
        <f t="shared" ca="1" si="157"/>
        <v>#DIV/0!</v>
      </c>
      <c r="K222" s="94">
        <f t="shared" ca="1" si="158"/>
        <v>0</v>
      </c>
      <c r="L222" s="94" t="e">
        <f t="shared" ca="1" si="147"/>
        <v>#DIV/0!</v>
      </c>
      <c r="M222" s="163"/>
      <c r="N222" s="169"/>
      <c r="O222" s="166"/>
      <c r="Q222" s="123"/>
      <c r="R222" s="123">
        <f t="shared" si="145"/>
        <v>0</v>
      </c>
      <c r="S222" s="138"/>
      <c r="T222" s="124">
        <f t="shared" ca="1" si="166"/>
        <v>0</v>
      </c>
      <c r="U222" s="136"/>
    </row>
    <row r="223" spans="1:21" ht="17.25" hidden="1" customHeight="1" x14ac:dyDescent="0.25">
      <c r="A223" s="32">
        <v>48.5</v>
      </c>
      <c r="C223" s="268" t="s">
        <v>147</v>
      </c>
      <c r="D223" s="274" t="s">
        <v>290</v>
      </c>
      <c r="E223" s="117" t="s">
        <v>286</v>
      </c>
      <c r="F223" s="61">
        <f ca="1">SUMIF(Здание!$G$8:G$293,$E223,Здание!$Q$8:Q$293)</f>
        <v>0</v>
      </c>
      <c r="G223" s="61">
        <f>SUMIF(Здание!$G$245:H$291,$E223,Здание!$Q$245:S$291)</f>
        <v>0</v>
      </c>
      <c r="H223" s="62"/>
      <c r="I223" s="94">
        <f ca="1">SUM(F223:H223)</f>
        <v>0</v>
      </c>
      <c r="J223" s="95">
        <f ca="1">I223/A223</f>
        <v>0</v>
      </c>
      <c r="K223" s="94">
        <f t="shared" ca="1" si="158"/>
        <v>0</v>
      </c>
      <c r="L223" s="94">
        <f ca="1">K223/A223</f>
        <v>0</v>
      </c>
      <c r="M223" s="163"/>
      <c r="N223" s="169"/>
      <c r="O223" s="166">
        <f ca="1">L223*2</f>
        <v>0</v>
      </c>
      <c r="Q223" s="123"/>
      <c r="R223" s="123">
        <f t="shared" ref="R223" si="172">SUM(Q223:Q223)</f>
        <v>0</v>
      </c>
      <c r="S223" s="138"/>
      <c r="T223" s="124">
        <f t="shared" ref="T223" ca="1" si="173">R223-I223</f>
        <v>0</v>
      </c>
      <c r="U223" s="136"/>
    </row>
    <row r="224" spans="1:21" ht="17.25" hidden="1" customHeight="1" x14ac:dyDescent="0.25">
      <c r="A224" s="32">
        <v>41.8</v>
      </c>
      <c r="C224" s="268"/>
      <c r="D224" s="274"/>
      <c r="E224" s="117" t="s">
        <v>148</v>
      </c>
      <c r="F224" s="61">
        <f ca="1">SUMIF(Здание!$G$8:G$293,$E224,Здание!$Q$8:Q$293)</f>
        <v>0</v>
      </c>
      <c r="G224" s="61">
        <f>SUMIF(Здание!$G$245:H$291,$E224,Здание!$Q$245:S$291)</f>
        <v>0</v>
      </c>
      <c r="H224" s="62"/>
      <c r="I224" s="94">
        <f t="shared" ca="1" si="148"/>
        <v>0</v>
      </c>
      <c r="J224" s="95">
        <f t="shared" ca="1" si="157"/>
        <v>0</v>
      </c>
      <c r="K224" s="94">
        <f t="shared" ca="1" si="158"/>
        <v>0</v>
      </c>
      <c r="L224" s="94">
        <f t="shared" ca="1" si="147"/>
        <v>0</v>
      </c>
      <c r="M224" s="163"/>
      <c r="N224" s="169"/>
      <c r="O224" s="166">
        <f t="shared" ref="O224:O227" ca="1" si="174">L224*2</f>
        <v>0</v>
      </c>
      <c r="Q224" s="123"/>
      <c r="R224" s="123">
        <f t="shared" si="145"/>
        <v>0</v>
      </c>
      <c r="S224" s="138"/>
      <c r="T224" s="124">
        <f t="shared" ca="1" si="166"/>
        <v>0</v>
      </c>
      <c r="U224" s="136"/>
    </row>
    <row r="225" spans="1:21" ht="17.25" hidden="1" customHeight="1" x14ac:dyDescent="0.25">
      <c r="A225" s="32">
        <v>33.799999999999997</v>
      </c>
      <c r="C225" s="268"/>
      <c r="D225" s="274"/>
      <c r="E225" s="117" t="s">
        <v>149</v>
      </c>
      <c r="F225" s="61">
        <f ca="1">SUMIF(Здание!$G$8:G$293,$E225,Здание!$Q$8:Q$293)</f>
        <v>0</v>
      </c>
      <c r="G225" s="61">
        <f>SUMIF(Здание!$G$245:H$291,$E225,Здание!$Q$245:S$291)</f>
        <v>0</v>
      </c>
      <c r="H225" s="62"/>
      <c r="I225" s="94">
        <f t="shared" ca="1" si="148"/>
        <v>0</v>
      </c>
      <c r="J225" s="95">
        <f t="shared" ca="1" si="157"/>
        <v>0</v>
      </c>
      <c r="K225" s="94">
        <f t="shared" ca="1" si="158"/>
        <v>0</v>
      </c>
      <c r="L225" s="94">
        <f t="shared" ca="1" si="147"/>
        <v>0</v>
      </c>
      <c r="M225" s="163"/>
      <c r="N225" s="169"/>
      <c r="O225" s="166">
        <f t="shared" ca="1" si="174"/>
        <v>0</v>
      </c>
      <c r="Q225" s="123"/>
      <c r="R225" s="123">
        <f t="shared" si="145"/>
        <v>0</v>
      </c>
      <c r="S225" s="138"/>
      <c r="T225" s="124">
        <f t="shared" ca="1" si="166"/>
        <v>0</v>
      </c>
      <c r="U225" s="136"/>
    </row>
    <row r="226" spans="1:21" ht="17.25" hidden="1" customHeight="1" x14ac:dyDescent="0.25">
      <c r="A226" s="32">
        <v>40.5</v>
      </c>
      <c r="C226" s="268"/>
      <c r="D226" s="274"/>
      <c r="E226" s="117" t="s">
        <v>150</v>
      </c>
      <c r="F226" s="61">
        <f ca="1">SUMIF(Здание!$G$8:G$293,$E226,Здание!$Q$8:Q$293)</f>
        <v>0</v>
      </c>
      <c r="G226" s="61">
        <f>SUMIF(Здание!$G$245:H$291,$E226,Здание!$Q$245:S$291)</f>
        <v>0</v>
      </c>
      <c r="H226" s="62"/>
      <c r="I226" s="94">
        <f t="shared" ca="1" si="148"/>
        <v>0</v>
      </c>
      <c r="J226" s="95">
        <f t="shared" ca="1" si="157"/>
        <v>0</v>
      </c>
      <c r="K226" s="94">
        <f t="shared" ca="1" si="158"/>
        <v>0</v>
      </c>
      <c r="L226" s="94">
        <f t="shared" ca="1" si="147"/>
        <v>0</v>
      </c>
      <c r="M226" s="163"/>
      <c r="N226" s="169"/>
      <c r="O226" s="166">
        <f t="shared" ca="1" si="174"/>
        <v>0</v>
      </c>
      <c r="Q226" s="123"/>
      <c r="R226" s="123">
        <f t="shared" si="145"/>
        <v>0</v>
      </c>
      <c r="S226" s="138"/>
      <c r="T226" s="124">
        <f t="shared" ca="1" si="166"/>
        <v>0</v>
      </c>
      <c r="U226" s="136"/>
    </row>
    <row r="227" spans="1:21" ht="17.25" hidden="1" customHeight="1" x14ac:dyDescent="0.25">
      <c r="A227" s="32">
        <v>32.200000000000003</v>
      </c>
      <c r="C227" s="268"/>
      <c r="D227" s="274"/>
      <c r="E227" s="117" t="s">
        <v>151</v>
      </c>
      <c r="F227" s="61">
        <f ca="1">SUMIF(Здание!$G$8:G$293,$E227,Здание!$Q$8:Q$293)</f>
        <v>0</v>
      </c>
      <c r="G227" s="61">
        <f>SUMIF(Здание!$G$245:H$291,$E227,Здание!$Q$245:S$291)</f>
        <v>0</v>
      </c>
      <c r="H227" s="62"/>
      <c r="I227" s="94">
        <f t="shared" ca="1" si="148"/>
        <v>0</v>
      </c>
      <c r="J227" s="95">
        <f t="shared" ca="1" si="157"/>
        <v>0</v>
      </c>
      <c r="K227" s="94">
        <f t="shared" ca="1" si="158"/>
        <v>0</v>
      </c>
      <c r="L227" s="94">
        <f t="shared" ca="1" si="147"/>
        <v>0</v>
      </c>
      <c r="M227" s="163"/>
      <c r="N227" s="169"/>
      <c r="O227" s="166">
        <f t="shared" ca="1" si="174"/>
        <v>0</v>
      </c>
      <c r="Q227" s="123"/>
      <c r="R227" s="123">
        <f t="shared" si="145"/>
        <v>0</v>
      </c>
      <c r="S227" s="138"/>
      <c r="T227" s="124">
        <f t="shared" ca="1" si="166"/>
        <v>0</v>
      </c>
      <c r="U227" s="136"/>
    </row>
    <row r="228" spans="1:21" ht="33" hidden="1" x14ac:dyDescent="0.25">
      <c r="A228" s="32">
        <v>44.652999999999999</v>
      </c>
      <c r="C228" s="118" t="s">
        <v>250</v>
      </c>
      <c r="D228" s="117" t="s">
        <v>251</v>
      </c>
      <c r="E228" s="117" t="s">
        <v>252</v>
      </c>
      <c r="F228" s="61">
        <f ca="1">SUMIF(Здание!$G$8:G$293,$E228,Здание!$Q$8:Q$293)</f>
        <v>0</v>
      </c>
      <c r="G228" s="61">
        <f>SUMIF(Здание!$G$245:H$291,$E228,Здание!$Q$245:S$291)</f>
        <v>0</v>
      </c>
      <c r="H228" s="62"/>
      <c r="I228" s="94">
        <f ca="1">SUM(F228:H228)</f>
        <v>0</v>
      </c>
      <c r="J228" s="95">
        <f ca="1">I228/A228</f>
        <v>0</v>
      </c>
      <c r="K228" s="94">
        <f t="shared" ca="1" si="158"/>
        <v>0</v>
      </c>
      <c r="L228" s="94">
        <f ca="1">K228/A228</f>
        <v>0</v>
      </c>
      <c r="M228" s="163"/>
      <c r="N228" s="169"/>
      <c r="O228" s="166"/>
      <c r="Q228" s="123"/>
      <c r="R228" s="123">
        <f t="shared" si="145"/>
        <v>0</v>
      </c>
      <c r="S228" s="138"/>
      <c r="T228" s="124">
        <f t="shared" ca="1" si="166"/>
        <v>0</v>
      </c>
      <c r="U228" s="136"/>
    </row>
    <row r="229" spans="1:21" ht="45" hidden="1" x14ac:dyDescent="0.25">
      <c r="A229" s="32"/>
      <c r="C229" s="117" t="s">
        <v>344</v>
      </c>
      <c r="D229" s="118" t="s">
        <v>289</v>
      </c>
      <c r="E229" s="101" t="s">
        <v>248</v>
      </c>
      <c r="F229" s="61">
        <f ca="1">SUMIF(Здание!$G$8:G$293,4,Здание!$R$8:R$293)</f>
        <v>0</v>
      </c>
      <c r="G229" s="102">
        <f>SUMIF(Здание!$G$245:H$291,$E229,Здание!$Q$245:S$291)</f>
        <v>0</v>
      </c>
      <c r="H229" s="103"/>
      <c r="I229" s="94">
        <f ca="1">SUM(F229:H229)</f>
        <v>0</v>
      </c>
      <c r="J229" s="94"/>
      <c r="K229" s="94">
        <f t="shared" ca="1" si="158"/>
        <v>0</v>
      </c>
      <c r="L229" s="104"/>
      <c r="M229" s="163"/>
      <c r="N229" s="169"/>
      <c r="O229" s="166"/>
      <c r="Q229" s="123"/>
      <c r="R229" s="123">
        <f t="shared" si="145"/>
        <v>0</v>
      </c>
      <c r="S229" s="138"/>
      <c r="T229" s="124">
        <f t="shared" ca="1" si="166"/>
        <v>0</v>
      </c>
      <c r="U229" s="136"/>
    </row>
    <row r="230" spans="1:21" ht="2.1" customHeight="1" x14ac:dyDescent="0.25">
      <c r="A230" s="52"/>
      <c r="C230" s="266" t="s">
        <v>87</v>
      </c>
      <c r="D230" s="275" t="s">
        <v>322</v>
      </c>
      <c r="E230" s="117"/>
      <c r="F230" s="61"/>
      <c r="G230" s="61"/>
      <c r="H230" s="62"/>
      <c r="I230" s="94"/>
      <c r="J230" s="95"/>
      <c r="K230" s="94">
        <f t="shared" si="158"/>
        <v>0</v>
      </c>
      <c r="L230" s="95"/>
      <c r="M230" s="164"/>
      <c r="N230" s="169"/>
      <c r="O230" s="166"/>
      <c r="Q230" s="123"/>
      <c r="R230" s="123">
        <f t="shared" si="145"/>
        <v>0</v>
      </c>
      <c r="S230" s="138"/>
      <c r="T230" s="124">
        <f t="shared" si="166"/>
        <v>0</v>
      </c>
      <c r="U230" s="136"/>
    </row>
    <row r="231" spans="1:21" ht="15" hidden="1" customHeight="1" x14ac:dyDescent="0.25">
      <c r="A231" s="52"/>
      <c r="C231" s="267"/>
      <c r="D231" s="275"/>
      <c r="E231" s="117">
        <v>40</v>
      </c>
      <c r="F231" s="61">
        <f ca="1">SUMIF(Здание!$G$8:G$293,$E231,Здание!$S$8:S$293)</f>
        <v>0</v>
      </c>
      <c r="G231" s="61">
        <f>SUMIF(Здание!$G$245:H$291,$E231,Здание!$S$245:U$291)</f>
        <v>0</v>
      </c>
      <c r="H231" s="61"/>
      <c r="I231" s="94">
        <f ca="1">SUM(F231:H231)</f>
        <v>0</v>
      </c>
      <c r="J231" s="95">
        <f t="shared" ref="J231:J257" ca="1" si="175">I231/$E231/7850*1000</f>
        <v>0</v>
      </c>
      <c r="K231" s="94">
        <f t="shared" ca="1" si="158"/>
        <v>0</v>
      </c>
      <c r="L231" s="95">
        <f t="shared" ref="L231:L256" ca="1" si="176">K231/7.85/$E231</f>
        <v>0</v>
      </c>
      <c r="M231" s="164"/>
      <c r="N231" s="169"/>
      <c r="O231" s="166">
        <f ca="1">L231*2</f>
        <v>0</v>
      </c>
      <c r="Q231" s="123"/>
      <c r="R231" s="123">
        <f t="shared" si="145"/>
        <v>0</v>
      </c>
      <c r="S231" s="138"/>
      <c r="T231" s="124">
        <f t="shared" ca="1" si="166"/>
        <v>0</v>
      </c>
      <c r="U231" s="136"/>
    </row>
    <row r="232" spans="1:21" hidden="1" x14ac:dyDescent="0.25">
      <c r="A232" s="52"/>
      <c r="C232" s="267"/>
      <c r="D232" s="275"/>
      <c r="E232" s="117">
        <v>36</v>
      </c>
      <c r="F232" s="61">
        <f ca="1">SUMIF(Здание!$G$8:G$293,$E232,Здание!$S$8:S$293)</f>
        <v>0</v>
      </c>
      <c r="G232" s="61">
        <f>SUMIF(Здание!$G$245:H$291,$E232,Здание!$S$245:U$291)</f>
        <v>0</v>
      </c>
      <c r="H232" s="61"/>
      <c r="I232" s="94">
        <f ca="1">SUM(F232:H232)</f>
        <v>0</v>
      </c>
      <c r="J232" s="95">
        <f t="shared" ca="1" si="175"/>
        <v>0</v>
      </c>
      <c r="K232" s="94">
        <f t="shared" ca="1" si="158"/>
        <v>0</v>
      </c>
      <c r="L232" s="95">
        <f t="shared" ca="1" si="176"/>
        <v>0</v>
      </c>
      <c r="M232" s="164"/>
      <c r="N232" s="169"/>
      <c r="O232" s="166">
        <f t="shared" ref="O232:O242" ca="1" si="177">L232*2</f>
        <v>0</v>
      </c>
      <c r="Q232" s="123"/>
      <c r="R232" s="123">
        <f t="shared" si="145"/>
        <v>0</v>
      </c>
      <c r="S232" s="138"/>
      <c r="T232" s="124">
        <f t="shared" ca="1" si="166"/>
        <v>0</v>
      </c>
      <c r="U232" s="136"/>
    </row>
    <row r="233" spans="1:21" ht="26.25" hidden="1" customHeight="1" x14ac:dyDescent="0.25">
      <c r="A233" s="52"/>
      <c r="C233" s="267"/>
      <c r="D233" s="275"/>
      <c r="E233" s="117">
        <v>30</v>
      </c>
      <c r="F233" s="61">
        <f ca="1">SUMIF(Здание!$G$8:G$293,$E233,Здание!$S$8:S$293)</f>
        <v>0</v>
      </c>
      <c r="G233" s="61">
        <f>SUMIF(Здание!$G$245:H$291,$E233,Здание!$S$245:U$291)</f>
        <v>0</v>
      </c>
      <c r="H233" s="61"/>
      <c r="I233" s="94">
        <f ca="1">SUM(F233:H233)</f>
        <v>0</v>
      </c>
      <c r="J233" s="95">
        <f ca="1">I233/$E233/7850*1000</f>
        <v>0</v>
      </c>
      <c r="K233" s="94">
        <f t="shared" ca="1" si="158"/>
        <v>0</v>
      </c>
      <c r="L233" s="95">
        <f ca="1">K233/7.85/$E233</f>
        <v>0</v>
      </c>
      <c r="M233" s="164"/>
      <c r="N233" s="169"/>
      <c r="O233" s="166">
        <f t="shared" ca="1" si="177"/>
        <v>0</v>
      </c>
      <c r="Q233" s="123"/>
      <c r="R233" s="123">
        <f t="shared" si="145"/>
        <v>0</v>
      </c>
      <c r="S233" s="138"/>
      <c r="T233" s="124">
        <f t="shared" ca="1" si="166"/>
        <v>0</v>
      </c>
      <c r="U233" s="136"/>
    </row>
    <row r="234" spans="1:21" ht="16.5" hidden="1" customHeight="1" x14ac:dyDescent="0.25">
      <c r="A234" s="52"/>
      <c r="C234" s="267"/>
      <c r="D234" s="275"/>
      <c r="E234" s="117">
        <v>25</v>
      </c>
      <c r="F234" s="61">
        <f ca="1">SUMIF(Здание!$G$8:G$293,$E234,Здание!$S$8:S$293)</f>
        <v>0</v>
      </c>
      <c r="G234" s="61">
        <f>SUMIF(Здание!$G$245:H$291,$E234,Здание!$S$245:U$291)</f>
        <v>0</v>
      </c>
      <c r="H234" s="61"/>
      <c r="I234" s="94">
        <f t="shared" ref="I234:I252" ca="1" si="178">SUM(F234:H234)</f>
        <v>0</v>
      </c>
      <c r="J234" s="95">
        <f t="shared" ca="1" si="175"/>
        <v>0</v>
      </c>
      <c r="K234" s="94">
        <f t="shared" ca="1" si="158"/>
        <v>0</v>
      </c>
      <c r="L234" s="95">
        <f t="shared" ca="1" si="176"/>
        <v>0</v>
      </c>
      <c r="M234" s="164"/>
      <c r="N234" s="169"/>
      <c r="O234" s="166">
        <f t="shared" ca="1" si="177"/>
        <v>0</v>
      </c>
      <c r="Q234" s="123"/>
      <c r="R234" s="123">
        <f t="shared" si="145"/>
        <v>0</v>
      </c>
      <c r="S234" s="138"/>
      <c r="T234" s="124">
        <f t="shared" ca="1" si="166"/>
        <v>0</v>
      </c>
      <c r="U234" s="136"/>
    </row>
    <row r="235" spans="1:21" ht="18.75" hidden="1" customHeight="1" x14ac:dyDescent="0.25">
      <c r="A235" s="52"/>
      <c r="C235" s="267"/>
      <c r="D235" s="275"/>
      <c r="E235" s="117">
        <v>20</v>
      </c>
      <c r="F235" s="61">
        <f ca="1">SUMIF(Здание!$G$8:G$293,$E235,Здание!$S$8:S$293)</f>
        <v>0</v>
      </c>
      <c r="G235" s="61">
        <f>SUMIF(Здание!$G$245:H$291,$E235,Здание!$S$245:U$291)</f>
        <v>0</v>
      </c>
      <c r="H235" s="61"/>
      <c r="I235" s="94">
        <f t="shared" ca="1" si="178"/>
        <v>0</v>
      </c>
      <c r="J235" s="95">
        <f t="shared" ca="1" si="175"/>
        <v>0</v>
      </c>
      <c r="K235" s="94">
        <f t="shared" ca="1" si="158"/>
        <v>0</v>
      </c>
      <c r="L235" s="95">
        <f t="shared" ca="1" si="176"/>
        <v>0</v>
      </c>
      <c r="M235" s="164"/>
      <c r="N235" s="169"/>
      <c r="O235" s="166">
        <f t="shared" ca="1" si="177"/>
        <v>0</v>
      </c>
      <c r="Q235" s="123"/>
      <c r="R235" s="123">
        <f t="shared" si="145"/>
        <v>0</v>
      </c>
      <c r="S235" s="138"/>
      <c r="T235" s="124">
        <f t="shared" ca="1" si="166"/>
        <v>0</v>
      </c>
      <c r="U235" s="136"/>
    </row>
    <row r="236" spans="1:21" ht="16.5" hidden="1" customHeight="1" x14ac:dyDescent="0.25">
      <c r="A236" s="52"/>
      <c r="C236" s="267"/>
      <c r="D236" s="275"/>
      <c r="E236" s="117">
        <v>16</v>
      </c>
      <c r="F236" s="61">
        <f ca="1">SUMIF(Здание!$G$8:G$293,$E236,Здание!$S$8:S$293)</f>
        <v>0</v>
      </c>
      <c r="G236" s="61">
        <f>SUMIF(Здание!$G$245:H$291,$E236,Здание!$S$245:U$291)</f>
        <v>0</v>
      </c>
      <c r="H236" s="61"/>
      <c r="I236" s="94">
        <f t="shared" ca="1" si="178"/>
        <v>0</v>
      </c>
      <c r="J236" s="95">
        <f t="shared" ca="1" si="175"/>
        <v>0</v>
      </c>
      <c r="K236" s="94">
        <f t="shared" ca="1" si="158"/>
        <v>0</v>
      </c>
      <c r="L236" s="95">
        <f t="shared" ca="1" si="176"/>
        <v>0</v>
      </c>
      <c r="M236" s="164"/>
      <c r="N236" s="169"/>
      <c r="O236" s="166">
        <f t="shared" ca="1" si="177"/>
        <v>0</v>
      </c>
      <c r="Q236" s="123"/>
      <c r="R236" s="123">
        <f t="shared" si="145"/>
        <v>0</v>
      </c>
      <c r="S236" s="138"/>
      <c r="T236" s="124">
        <f t="shared" ca="1" si="166"/>
        <v>0</v>
      </c>
      <c r="U236" s="136"/>
    </row>
    <row r="237" spans="1:21" ht="16.5" hidden="1" customHeight="1" x14ac:dyDescent="0.25">
      <c r="A237" s="52"/>
      <c r="C237" s="267"/>
      <c r="D237" s="275"/>
      <c r="E237" s="117">
        <v>14</v>
      </c>
      <c r="F237" s="61">
        <f ca="1">SUMIF(Здание!$G$8:G$293,$E237,Здание!$S$8:S$293)</f>
        <v>0</v>
      </c>
      <c r="G237" s="61">
        <f>SUMIF(Здание!$G$245:H$291,$E237,Здание!$S$245:U$291)</f>
        <v>0</v>
      </c>
      <c r="H237" s="61"/>
      <c r="I237" s="94">
        <f ca="1">SUM(F237:H237)</f>
        <v>0</v>
      </c>
      <c r="J237" s="95">
        <f ca="1">I237/$E237/7850*1000</f>
        <v>0</v>
      </c>
      <c r="K237" s="94">
        <f t="shared" ca="1" si="158"/>
        <v>0</v>
      </c>
      <c r="L237" s="95">
        <f ca="1">K237/7.85/$E237</f>
        <v>0</v>
      </c>
      <c r="M237" s="164"/>
      <c r="N237" s="169"/>
      <c r="O237" s="166">
        <f t="shared" ca="1" si="177"/>
        <v>0</v>
      </c>
      <c r="Q237" s="123"/>
      <c r="R237" s="123">
        <f t="shared" si="145"/>
        <v>0</v>
      </c>
      <c r="S237" s="138"/>
      <c r="T237" s="124">
        <f t="shared" ca="1" si="166"/>
        <v>0</v>
      </c>
      <c r="U237" s="136"/>
    </row>
    <row r="238" spans="1:21" ht="16.5" hidden="1" customHeight="1" x14ac:dyDescent="0.25">
      <c r="A238" s="52"/>
      <c r="C238" s="267"/>
      <c r="D238" s="275"/>
      <c r="E238" s="117">
        <v>12</v>
      </c>
      <c r="F238" s="61">
        <f ca="1">SUMIF(Здание!$G$8:G$293,$E238,Здание!$S$8:S$293)</f>
        <v>0</v>
      </c>
      <c r="G238" s="61">
        <f>SUMIF(Здание!$G$245:H$291,$E238,Здание!$S$245:U$291)</f>
        <v>0</v>
      </c>
      <c r="H238" s="61"/>
      <c r="I238" s="94">
        <f t="shared" ca="1" si="178"/>
        <v>0</v>
      </c>
      <c r="J238" s="95">
        <f t="shared" ca="1" si="175"/>
        <v>0</v>
      </c>
      <c r="K238" s="94">
        <f t="shared" ca="1" si="158"/>
        <v>0</v>
      </c>
      <c r="L238" s="95">
        <f t="shared" ca="1" si="176"/>
        <v>0</v>
      </c>
      <c r="M238" s="164"/>
      <c r="N238" s="169"/>
      <c r="O238" s="166">
        <f t="shared" ca="1" si="177"/>
        <v>0</v>
      </c>
      <c r="Q238" s="123"/>
      <c r="R238" s="123">
        <f t="shared" si="145"/>
        <v>0</v>
      </c>
      <c r="S238" s="138"/>
      <c r="T238" s="124">
        <f t="shared" ca="1" si="166"/>
        <v>0</v>
      </c>
      <c r="U238" s="136"/>
    </row>
    <row r="239" spans="1:21" ht="16.5" hidden="1" customHeight="1" x14ac:dyDescent="0.25">
      <c r="A239" s="52"/>
      <c r="C239" s="267"/>
      <c r="D239" s="275"/>
      <c r="E239" s="117">
        <v>10</v>
      </c>
      <c r="F239" s="61">
        <f ca="1">SUMIF(Здание!$G$8:G$293,$E239,Здание!$S$8:S$293)</f>
        <v>0</v>
      </c>
      <c r="G239" s="61">
        <f>SUMIF(Здание!$G$245:H$291,$E239,Здание!$S$245:U$291)</f>
        <v>0</v>
      </c>
      <c r="H239" s="61"/>
      <c r="I239" s="94">
        <f t="shared" ca="1" si="178"/>
        <v>0</v>
      </c>
      <c r="J239" s="95">
        <f t="shared" ca="1" si="175"/>
        <v>0</v>
      </c>
      <c r="K239" s="94">
        <f t="shared" ca="1" si="158"/>
        <v>0</v>
      </c>
      <c r="L239" s="95">
        <f t="shared" ca="1" si="176"/>
        <v>0</v>
      </c>
      <c r="M239" s="164"/>
      <c r="N239" s="169"/>
      <c r="O239" s="166">
        <f t="shared" ca="1" si="177"/>
        <v>0</v>
      </c>
      <c r="Q239" s="123"/>
      <c r="R239" s="123">
        <f t="shared" si="145"/>
        <v>0</v>
      </c>
      <c r="S239" s="138"/>
      <c r="T239" s="124">
        <f t="shared" ca="1" si="166"/>
        <v>0</v>
      </c>
      <c r="U239" s="136"/>
    </row>
    <row r="240" spans="1:21" ht="15" hidden="1" customHeight="1" x14ac:dyDescent="0.25">
      <c r="A240" s="52"/>
      <c r="C240" s="267"/>
      <c r="D240" s="275"/>
      <c r="E240" s="117">
        <v>8</v>
      </c>
      <c r="F240" s="61">
        <f ca="1">SUMIF(Здание!$G$8:G$293,$E240,Здание!$S$8:S$293)</f>
        <v>0</v>
      </c>
      <c r="G240" s="61">
        <f>SUMIF(Здание!$G$245:H$291,$E240,Здание!$S$245:U$291)</f>
        <v>0</v>
      </c>
      <c r="H240" s="61"/>
      <c r="I240" s="94">
        <f ca="1">SUM(F240:H240)</f>
        <v>0</v>
      </c>
      <c r="J240" s="95">
        <f ca="1">I240/$E240/7850*1000</f>
        <v>0</v>
      </c>
      <c r="K240" s="94">
        <f t="shared" ca="1" si="158"/>
        <v>0</v>
      </c>
      <c r="L240" s="95">
        <f ca="1">K240/7.85/$E240</f>
        <v>0</v>
      </c>
      <c r="M240" s="164"/>
      <c r="N240" s="169"/>
      <c r="O240" s="166">
        <f t="shared" ca="1" si="177"/>
        <v>0</v>
      </c>
      <c r="Q240" s="123"/>
      <c r="R240" s="123">
        <f t="shared" si="145"/>
        <v>0</v>
      </c>
      <c r="S240" s="138"/>
      <c r="T240" s="124">
        <f t="shared" ca="1" si="166"/>
        <v>0</v>
      </c>
      <c r="U240" s="136"/>
    </row>
    <row r="241" spans="1:21" ht="15" hidden="1" customHeight="1" x14ac:dyDescent="0.25">
      <c r="A241" s="52"/>
      <c r="C241" s="267"/>
      <c r="D241" s="275"/>
      <c r="E241" s="117">
        <v>6</v>
      </c>
      <c r="F241" s="61">
        <f ca="1">SUMIF(Здание!$G$8:G$293,$E241,Здание!$S$8:S$293)</f>
        <v>0</v>
      </c>
      <c r="G241" s="61">
        <f>SUMIF(Здание!$G$245:H$291,$E241,Здание!$S$245:U$291)</f>
        <v>0</v>
      </c>
      <c r="H241" s="61"/>
      <c r="I241" s="94">
        <f ca="1">SUM(F241:H241)</f>
        <v>0</v>
      </c>
      <c r="J241" s="95">
        <f ca="1">I241/$E241/7850*1000</f>
        <v>0</v>
      </c>
      <c r="K241" s="94">
        <f t="shared" ca="1" si="158"/>
        <v>0</v>
      </c>
      <c r="L241" s="95">
        <f ca="1">K241/7.85/$E241</f>
        <v>0</v>
      </c>
      <c r="M241" s="164"/>
      <c r="N241" s="169"/>
      <c r="O241" s="166">
        <f t="shared" ca="1" si="177"/>
        <v>0</v>
      </c>
      <c r="Q241" s="123"/>
      <c r="R241" s="123">
        <f t="shared" ref="R241:R257" si="179">SUM(Q241:Q241)</f>
        <v>0</v>
      </c>
      <c r="S241" s="138"/>
      <c r="T241" s="124">
        <f t="shared" ca="1" si="166"/>
        <v>0</v>
      </c>
      <c r="U241" s="136"/>
    </row>
    <row r="242" spans="1:21" ht="16.5" hidden="1" customHeight="1" x14ac:dyDescent="0.25">
      <c r="A242" s="52"/>
      <c r="C242" s="267"/>
      <c r="D242" s="275"/>
      <c r="E242" s="117">
        <v>5</v>
      </c>
      <c r="F242" s="61">
        <f ca="1">SUMIF(Здание!$G$8:G$293,$E242,Здание!$S$8:S$293)</f>
        <v>0</v>
      </c>
      <c r="G242" s="61">
        <f>SUMIF(Здание!$G$245:H$291,$E242,Здание!$S$245:U$291)</f>
        <v>0</v>
      </c>
      <c r="H242" s="61"/>
      <c r="I242" s="94">
        <f ca="1">SUM(F242:H242)</f>
        <v>0</v>
      </c>
      <c r="J242" s="95">
        <f ca="1">I242/$E242/7850*1000</f>
        <v>0</v>
      </c>
      <c r="K242" s="94">
        <f t="shared" ca="1" si="158"/>
        <v>0</v>
      </c>
      <c r="L242" s="95">
        <f ca="1">K242/7.85/$E242</f>
        <v>0</v>
      </c>
      <c r="M242" s="164"/>
      <c r="N242" s="169"/>
      <c r="O242" s="166">
        <f t="shared" ca="1" si="177"/>
        <v>0</v>
      </c>
      <c r="Q242" s="123"/>
      <c r="R242" s="123">
        <f t="shared" si="179"/>
        <v>0</v>
      </c>
      <c r="S242" s="138"/>
      <c r="T242" s="124">
        <f t="shared" ca="1" si="166"/>
        <v>0</v>
      </c>
      <c r="U242" s="136"/>
    </row>
    <row r="243" spans="1:21" ht="2.1" hidden="1" customHeight="1" x14ac:dyDescent="0.25">
      <c r="A243" s="52"/>
      <c r="C243" s="267"/>
      <c r="D243" s="275"/>
      <c r="E243" s="117"/>
      <c r="F243" s="61"/>
      <c r="G243" s="61"/>
      <c r="H243" s="61"/>
      <c r="I243" s="94"/>
      <c r="J243" s="95"/>
      <c r="K243" s="94"/>
      <c r="L243" s="95"/>
      <c r="M243" s="164"/>
      <c r="N243" s="170"/>
      <c r="O243" s="95"/>
      <c r="Q243" s="123"/>
      <c r="R243" s="123">
        <f t="shared" si="179"/>
        <v>0</v>
      </c>
      <c r="S243" s="138"/>
      <c r="T243" s="124">
        <f t="shared" si="166"/>
        <v>0</v>
      </c>
      <c r="U243" s="136"/>
    </row>
    <row r="244" spans="1:21" ht="16.5" hidden="1" customHeight="1" x14ac:dyDescent="0.25">
      <c r="C244" s="267"/>
      <c r="D244" s="275" t="s">
        <v>323</v>
      </c>
      <c r="E244" s="117">
        <v>50</v>
      </c>
      <c r="F244" s="61">
        <f ca="1">SUMIF(Здание!$G$8:G$293,$E244,Здание!$Q$8:Q$293)</f>
        <v>0</v>
      </c>
      <c r="G244" s="61">
        <f>SUMIF(Здание!$G$245:H$291,$E244,Здание!$Q$245:S$291)</f>
        <v>0</v>
      </c>
      <c r="H244" s="61"/>
      <c r="I244" s="94">
        <f ca="1">SUM(F244:H244)</f>
        <v>0</v>
      </c>
      <c r="J244" s="95">
        <f t="shared" ca="1" si="175"/>
        <v>0</v>
      </c>
      <c r="K244" s="94">
        <f t="shared" ref="K244:K257" ca="1" si="180">I244*$C$261</f>
        <v>0</v>
      </c>
      <c r="L244" s="95">
        <f t="shared" ca="1" si="176"/>
        <v>0</v>
      </c>
      <c r="M244" s="164"/>
      <c r="N244" s="170"/>
      <c r="O244" s="166">
        <f ca="1">L244*2</f>
        <v>0</v>
      </c>
      <c r="Q244" s="123"/>
      <c r="R244" s="123">
        <f t="shared" si="179"/>
        <v>0</v>
      </c>
      <c r="S244" s="138"/>
      <c r="T244" s="124">
        <f t="shared" ca="1" si="166"/>
        <v>0</v>
      </c>
      <c r="U244" s="136"/>
    </row>
    <row r="245" spans="1:21" ht="16.5" hidden="1" customHeight="1" x14ac:dyDescent="0.25">
      <c r="C245" s="267"/>
      <c r="D245" s="275"/>
      <c r="E245" s="117">
        <v>40</v>
      </c>
      <c r="F245" s="61">
        <f ca="1">SUMIF(Здание!$G$8:G$293,$E245,Здание!$Q$8:Q$293)</f>
        <v>0</v>
      </c>
      <c r="G245" s="61">
        <f>SUMIF(Здание!$G$245:H$291,$E245,Здание!$Q$245:S$291)</f>
        <v>0</v>
      </c>
      <c r="H245" s="61"/>
      <c r="I245" s="94">
        <f t="shared" ca="1" si="178"/>
        <v>0</v>
      </c>
      <c r="J245" s="95">
        <f t="shared" ca="1" si="175"/>
        <v>0</v>
      </c>
      <c r="K245" s="94">
        <f t="shared" ca="1" si="180"/>
        <v>0</v>
      </c>
      <c r="L245" s="95">
        <f t="shared" ca="1" si="176"/>
        <v>0</v>
      </c>
      <c r="M245" s="164"/>
      <c r="N245" s="170"/>
      <c r="O245" s="166">
        <f t="shared" ref="O245:O257" ca="1" si="181">L245*2</f>
        <v>0</v>
      </c>
      <c r="Q245" s="123"/>
      <c r="R245" s="123">
        <f t="shared" si="179"/>
        <v>0</v>
      </c>
      <c r="S245" s="138"/>
      <c r="T245" s="124">
        <f t="shared" ca="1" si="166"/>
        <v>0</v>
      </c>
      <c r="U245" s="136"/>
    </row>
    <row r="246" spans="1:21" ht="16.5" hidden="1" customHeight="1" x14ac:dyDescent="0.25">
      <c r="C246" s="267"/>
      <c r="D246" s="275"/>
      <c r="E246" s="117">
        <v>30</v>
      </c>
      <c r="F246" s="61">
        <f ca="1">SUMIF(Здание!$G$8:G$293,$E246,Здание!$Q$8:Q$293)</f>
        <v>0</v>
      </c>
      <c r="G246" s="61">
        <f>SUMIF(Здание!$G$245:H$291,$E246,Здание!$Q$245:S$291)</f>
        <v>0</v>
      </c>
      <c r="H246" s="61"/>
      <c r="I246" s="94">
        <f t="shared" ca="1" si="178"/>
        <v>0</v>
      </c>
      <c r="J246" s="95">
        <f t="shared" ca="1" si="175"/>
        <v>0</v>
      </c>
      <c r="K246" s="94">
        <f t="shared" ca="1" si="180"/>
        <v>0</v>
      </c>
      <c r="L246" s="95">
        <f t="shared" ca="1" si="176"/>
        <v>0</v>
      </c>
      <c r="M246" s="164"/>
      <c r="N246" s="170"/>
      <c r="O246" s="166">
        <f t="shared" ca="1" si="181"/>
        <v>0</v>
      </c>
      <c r="Q246" s="123"/>
      <c r="R246" s="123">
        <f t="shared" si="179"/>
        <v>0</v>
      </c>
      <c r="S246" s="138"/>
      <c r="T246" s="124">
        <f t="shared" ca="1" si="166"/>
        <v>0</v>
      </c>
      <c r="U246" s="136"/>
    </row>
    <row r="247" spans="1:21" ht="16.5" hidden="1" customHeight="1" x14ac:dyDescent="0.25">
      <c r="C247" s="267"/>
      <c r="D247" s="275"/>
      <c r="E247" s="117">
        <v>28</v>
      </c>
      <c r="F247" s="61">
        <f ca="1">SUMIF(Здание!$G$8:G$293,$E247,Здание!$Q$8:Q$293)</f>
        <v>0</v>
      </c>
      <c r="G247" s="61">
        <f>SUMIF(Здание!$G$245:H$291,$E247,Здание!$Q$245:S$291)</f>
        <v>0</v>
      </c>
      <c r="H247" s="61"/>
      <c r="I247" s="94">
        <f ca="1">SUM(F247:H247)</f>
        <v>0</v>
      </c>
      <c r="J247" s="95">
        <f t="shared" ca="1" si="175"/>
        <v>0</v>
      </c>
      <c r="K247" s="94">
        <f t="shared" ca="1" si="180"/>
        <v>0</v>
      </c>
      <c r="L247" s="95">
        <f t="shared" ca="1" si="176"/>
        <v>0</v>
      </c>
      <c r="M247" s="164"/>
      <c r="N247" s="170"/>
      <c r="O247" s="166">
        <f t="shared" ca="1" si="181"/>
        <v>0</v>
      </c>
      <c r="Q247" s="123"/>
      <c r="R247" s="123">
        <f t="shared" si="179"/>
        <v>0</v>
      </c>
      <c r="S247" s="138"/>
      <c r="T247" s="124">
        <f t="shared" ca="1" si="166"/>
        <v>0</v>
      </c>
      <c r="U247" s="136"/>
    </row>
    <row r="248" spans="1:21" ht="16.5" hidden="1" customHeight="1" x14ac:dyDescent="0.25">
      <c r="C248" s="267"/>
      <c r="D248" s="275"/>
      <c r="E248" s="117">
        <v>25</v>
      </c>
      <c r="F248" s="61">
        <f ca="1">SUMIF(Здание!$G$8:G$293,$E248,Здание!$Q$8:Q$293)</f>
        <v>0</v>
      </c>
      <c r="G248" s="61">
        <f>SUMIF(Здание!$G$245:H$291,$E248,Здание!$Q$245:S$291)</f>
        <v>0</v>
      </c>
      <c r="H248" s="61"/>
      <c r="I248" s="94">
        <f ca="1">SUM(F248:H248)</f>
        <v>0</v>
      </c>
      <c r="J248" s="95">
        <f t="shared" ca="1" si="175"/>
        <v>0</v>
      </c>
      <c r="K248" s="94">
        <f t="shared" ca="1" si="180"/>
        <v>0</v>
      </c>
      <c r="L248" s="95">
        <f t="shared" ca="1" si="176"/>
        <v>0</v>
      </c>
      <c r="M248" s="164"/>
      <c r="N248" s="170"/>
      <c r="O248" s="166">
        <f t="shared" ca="1" si="181"/>
        <v>0</v>
      </c>
      <c r="Q248" s="123"/>
      <c r="R248" s="123">
        <f t="shared" si="179"/>
        <v>0</v>
      </c>
      <c r="S248" s="138"/>
      <c r="T248" s="124">
        <f t="shared" ca="1" si="166"/>
        <v>0</v>
      </c>
      <c r="U248" s="136"/>
    </row>
    <row r="249" spans="1:21" ht="16.5" customHeight="1" x14ac:dyDescent="0.25">
      <c r="C249" s="267"/>
      <c r="D249" s="275"/>
      <c r="E249" s="117">
        <v>20</v>
      </c>
      <c r="F249" s="61">
        <f ca="1">SUMIF(Здание!$G$8:G$293,$E249,Здание!$Q$8:Q$293)</f>
        <v>420.50879999999995</v>
      </c>
      <c r="G249" s="61">
        <f>SUMIF(Здание!$G$245:H$291,$E249,Здание!$Q$245:S$291)</f>
        <v>0</v>
      </c>
      <c r="H249" s="61"/>
      <c r="I249" s="94">
        <f ca="1">SUM(F249:H249)</f>
        <v>420.50879999999995</v>
      </c>
      <c r="J249" s="95">
        <f t="shared" ca="1" si="175"/>
        <v>2.6783999999999994</v>
      </c>
      <c r="K249" s="94">
        <f t="shared" ca="1" si="180"/>
        <v>433.12406399999998</v>
      </c>
      <c r="L249" s="95">
        <f t="shared" ca="1" si="176"/>
        <v>2.7587520000000003</v>
      </c>
      <c r="M249" s="164"/>
      <c r="N249" s="170"/>
      <c r="O249" s="166">
        <f t="shared" ca="1" si="181"/>
        <v>5.5175040000000006</v>
      </c>
      <c r="Q249" s="123">
        <v>410</v>
      </c>
      <c r="R249" s="123">
        <f t="shared" si="179"/>
        <v>410</v>
      </c>
      <c r="S249" s="138"/>
      <c r="T249" s="124">
        <f t="shared" ca="1" si="166"/>
        <v>-10.508799999999951</v>
      </c>
      <c r="U249" s="136"/>
    </row>
    <row r="250" spans="1:21" ht="16.5" hidden="1" customHeight="1" x14ac:dyDescent="0.25">
      <c r="C250" s="267"/>
      <c r="D250" s="275"/>
      <c r="E250" s="117">
        <v>16</v>
      </c>
      <c r="F250" s="61">
        <f ca="1">SUMIF(Здание!$G$8:G$293,$E250,Здание!$Q$8:Q$293)</f>
        <v>0</v>
      </c>
      <c r="G250" s="61">
        <f>SUMIF(Здание!$G$245:H$291,$E250,Здание!$Q$245:S$291)</f>
        <v>0</v>
      </c>
      <c r="H250" s="61"/>
      <c r="I250" s="94">
        <f ca="1">SUM(F250:H250)</f>
        <v>0</v>
      </c>
      <c r="J250" s="95">
        <f t="shared" ca="1" si="175"/>
        <v>0</v>
      </c>
      <c r="K250" s="94">
        <f t="shared" ca="1" si="180"/>
        <v>0</v>
      </c>
      <c r="L250" s="95">
        <f t="shared" ca="1" si="176"/>
        <v>0</v>
      </c>
      <c r="M250" s="164"/>
      <c r="N250" s="170"/>
      <c r="O250" s="166">
        <f t="shared" ca="1" si="181"/>
        <v>0</v>
      </c>
      <c r="Q250" s="123"/>
      <c r="R250" s="123">
        <f t="shared" si="179"/>
        <v>0</v>
      </c>
      <c r="S250" s="138"/>
      <c r="T250" s="124">
        <f t="shared" ca="1" si="166"/>
        <v>0</v>
      </c>
      <c r="U250" s="136"/>
    </row>
    <row r="251" spans="1:21" ht="16.5" hidden="1" customHeight="1" x14ac:dyDescent="0.25">
      <c r="C251" s="267"/>
      <c r="D251" s="275"/>
      <c r="E251" s="117">
        <v>14</v>
      </c>
      <c r="F251" s="61">
        <f ca="1">SUMIF(Здание!$G$8:G$293,$E251,Здание!$Q$8:Q$293)</f>
        <v>0</v>
      </c>
      <c r="G251" s="61">
        <f>SUMIF(Здание!$G$245:H$291,$E251,Здание!$Q$245:S$291)</f>
        <v>0</v>
      </c>
      <c r="H251" s="61"/>
      <c r="I251" s="94">
        <f t="shared" ca="1" si="178"/>
        <v>0</v>
      </c>
      <c r="J251" s="95">
        <f t="shared" ca="1" si="175"/>
        <v>0</v>
      </c>
      <c r="K251" s="94">
        <f t="shared" ca="1" si="180"/>
        <v>0</v>
      </c>
      <c r="L251" s="95">
        <f t="shared" ca="1" si="176"/>
        <v>0</v>
      </c>
      <c r="M251" s="164"/>
      <c r="N251" s="170"/>
      <c r="O251" s="166">
        <f t="shared" ca="1" si="181"/>
        <v>0</v>
      </c>
      <c r="Q251" s="123"/>
      <c r="R251" s="123">
        <f t="shared" si="179"/>
        <v>0</v>
      </c>
      <c r="S251" s="138"/>
      <c r="T251" s="124">
        <f t="shared" ca="1" si="166"/>
        <v>0</v>
      </c>
      <c r="U251" s="136"/>
    </row>
    <row r="252" spans="1:21" ht="16.5" customHeight="1" x14ac:dyDescent="0.25">
      <c r="C252" s="267"/>
      <c r="D252" s="275"/>
      <c r="E252" s="117">
        <v>12</v>
      </c>
      <c r="F252" s="61">
        <f ca="1">SUMIF(Здание!$G$8:G$293,$E252,Здание!$Q$8:Q$293)</f>
        <v>64.621200000000002</v>
      </c>
      <c r="G252" s="61">
        <f>SUMIF(Здание!$G$245:H$291,$E252,Здание!$Q$245:S$291)</f>
        <v>0</v>
      </c>
      <c r="H252" s="61"/>
      <c r="I252" s="94">
        <f t="shared" ca="1" si="178"/>
        <v>64.621200000000002</v>
      </c>
      <c r="J252" s="95">
        <f t="shared" ca="1" si="175"/>
        <v>0.68600000000000005</v>
      </c>
      <c r="K252" s="94">
        <f t="shared" ca="1" si="180"/>
        <v>66.559836000000004</v>
      </c>
      <c r="L252" s="95">
        <f t="shared" ca="1" si="176"/>
        <v>0.7065800000000001</v>
      </c>
      <c r="M252" s="164"/>
      <c r="N252" s="170"/>
      <c r="O252" s="166">
        <f t="shared" ca="1" si="181"/>
        <v>1.4131600000000002</v>
      </c>
      <c r="Q252" s="123">
        <v>70</v>
      </c>
      <c r="R252" s="123">
        <f t="shared" si="179"/>
        <v>70</v>
      </c>
      <c r="S252" s="138"/>
      <c r="T252" s="124">
        <f t="shared" ca="1" si="166"/>
        <v>5.3787999999999982</v>
      </c>
      <c r="U252" s="136"/>
    </row>
    <row r="253" spans="1:21" ht="16.5" customHeight="1" x14ac:dyDescent="0.25">
      <c r="C253" s="267"/>
      <c r="D253" s="275"/>
      <c r="E253" s="117">
        <v>10</v>
      </c>
      <c r="F253" s="61">
        <f ca="1">SUMIF(Здание!$G$8:G$293,$E253,Здание!$Q$8:Q$293)</f>
        <v>1809.9588000000001</v>
      </c>
      <c r="G253" s="61">
        <f>SUMIF(Здание!$G$245:H$291,$E253,Здание!$Q$245:S$291)</f>
        <v>0</v>
      </c>
      <c r="H253" s="61"/>
      <c r="I253" s="94">
        <f ca="1">SUM(F253:H253)</f>
        <v>1809.9588000000001</v>
      </c>
      <c r="J253" s="95">
        <f t="shared" ca="1" si="175"/>
        <v>23.056799999999999</v>
      </c>
      <c r="K253" s="94">
        <f t="shared" ca="1" si="180"/>
        <v>1864.2575640000002</v>
      </c>
      <c r="L253" s="95">
        <f t="shared" ca="1" si="176"/>
        <v>23.748504000000004</v>
      </c>
      <c r="M253" s="164"/>
      <c r="N253" s="170"/>
      <c r="O253" s="166">
        <f t="shared" ca="1" si="181"/>
        <v>47.497008000000008</v>
      </c>
      <c r="Q253" s="123">
        <v>1450</v>
      </c>
      <c r="R253" s="123">
        <f t="shared" si="179"/>
        <v>1450</v>
      </c>
      <c r="S253" s="138"/>
      <c r="T253" s="124">
        <f t="shared" ca="1" si="166"/>
        <v>-359.95880000000011</v>
      </c>
      <c r="U253" s="136"/>
    </row>
    <row r="254" spans="1:21" ht="16.5" hidden="1" customHeight="1" x14ac:dyDescent="0.25">
      <c r="C254" s="267"/>
      <c r="D254" s="275"/>
      <c r="E254" s="117">
        <v>8</v>
      </c>
      <c r="F254" s="61">
        <f ca="1">SUMIF(Здание!$G$8:G$293,$E254,Здание!$Q$8:Q$293)</f>
        <v>0</v>
      </c>
      <c r="G254" s="61">
        <f>SUMIF(Здание!$G$245:H$291,$E254,Здание!$Q$245:S$291)</f>
        <v>0</v>
      </c>
      <c r="H254" s="61"/>
      <c r="I254" s="94">
        <f ca="1">SUM(F254:H254)</f>
        <v>0</v>
      </c>
      <c r="J254" s="95">
        <f t="shared" ca="1" si="175"/>
        <v>0</v>
      </c>
      <c r="K254" s="94">
        <f t="shared" ca="1" si="180"/>
        <v>0</v>
      </c>
      <c r="L254" s="95">
        <f t="shared" ca="1" si="176"/>
        <v>0</v>
      </c>
      <c r="M254" s="164"/>
      <c r="N254" s="170"/>
      <c r="O254" s="166">
        <f t="shared" ca="1" si="181"/>
        <v>0</v>
      </c>
      <c r="Q254" s="123"/>
      <c r="R254" s="123">
        <f t="shared" si="179"/>
        <v>0</v>
      </c>
      <c r="S254" s="138"/>
      <c r="T254" s="124">
        <f t="shared" ca="1" si="166"/>
        <v>0</v>
      </c>
      <c r="U254" s="136"/>
    </row>
    <row r="255" spans="1:21" ht="16.5" hidden="1" customHeight="1" x14ac:dyDescent="0.25">
      <c r="C255" s="267"/>
      <c r="D255" s="275"/>
      <c r="E255" s="117">
        <v>6</v>
      </c>
      <c r="F255" s="61">
        <f ca="1">SUMIF(Здание!$G$8:G$293,$E255,Здание!$Q$8:Q$293)</f>
        <v>0</v>
      </c>
      <c r="G255" s="61">
        <f>SUMIF(Здание!$G$245:H$291,$E255,Здание!$Q$245:S$291)</f>
        <v>0</v>
      </c>
      <c r="H255" s="61"/>
      <c r="I255" s="94">
        <f ca="1">SUM(F255:H255)</f>
        <v>0</v>
      </c>
      <c r="J255" s="95">
        <f ca="1">I255/$E255/7850*1000</f>
        <v>0</v>
      </c>
      <c r="K255" s="94">
        <f t="shared" ca="1" si="180"/>
        <v>0</v>
      </c>
      <c r="L255" s="95">
        <f ca="1">K255/7.85/$E255</f>
        <v>0</v>
      </c>
      <c r="M255" s="164"/>
      <c r="N255" s="170"/>
      <c r="O255" s="166">
        <f t="shared" ca="1" si="181"/>
        <v>0</v>
      </c>
      <c r="Q255" s="123"/>
      <c r="R255" s="123">
        <f t="shared" si="179"/>
        <v>0</v>
      </c>
      <c r="S255" s="138"/>
      <c r="T255" s="124">
        <f t="shared" ca="1" si="166"/>
        <v>0</v>
      </c>
      <c r="U255" s="136"/>
    </row>
    <row r="256" spans="1:21" ht="16.5" hidden="1" customHeight="1" x14ac:dyDescent="0.25">
      <c r="C256" s="267"/>
      <c r="D256" s="275"/>
      <c r="E256" s="117">
        <v>5</v>
      </c>
      <c r="F256" s="61">
        <f ca="1">SUMIF(Здание!$G$8:G$293,$E256,Здание!$Q$8:Q$293)</f>
        <v>0</v>
      </c>
      <c r="G256" s="61">
        <f>SUMIF(Здание!$G$245:H$291,$E256,Здание!$Q$245:S$291)</f>
        <v>0</v>
      </c>
      <c r="H256" s="61"/>
      <c r="I256" s="94">
        <f ca="1">SUM(F256:H256)</f>
        <v>0</v>
      </c>
      <c r="J256" s="95">
        <f t="shared" ca="1" si="175"/>
        <v>0</v>
      </c>
      <c r="K256" s="94">
        <f t="shared" ca="1" si="180"/>
        <v>0</v>
      </c>
      <c r="L256" s="95">
        <f t="shared" ca="1" si="176"/>
        <v>0</v>
      </c>
      <c r="M256" s="164"/>
      <c r="N256" s="170"/>
      <c r="O256" s="166">
        <f t="shared" ca="1" si="181"/>
        <v>0</v>
      </c>
      <c r="Q256" s="123"/>
      <c r="R256" s="123">
        <f t="shared" si="179"/>
        <v>0</v>
      </c>
      <c r="S256" s="138"/>
      <c r="T256" s="124">
        <f t="shared" ca="1" si="166"/>
        <v>0</v>
      </c>
      <c r="U256" s="136"/>
    </row>
    <row r="257" spans="3:21" ht="16.5" customHeight="1" x14ac:dyDescent="0.25">
      <c r="C257" s="267"/>
      <c r="D257" s="275"/>
      <c r="E257" s="117">
        <v>4</v>
      </c>
      <c r="F257" s="61">
        <f ca="1">SUMIF(Здание!$G$8:G$245,$E257,Здание!$Q$8:Q$245)</f>
        <v>53.531505000000003</v>
      </c>
      <c r="G257" s="61">
        <f>SUMIF(Здание!$G$245:H$291,$E257,Здание!$Q$245:S$291)</f>
        <v>0</v>
      </c>
      <c r="H257" s="62"/>
      <c r="I257" s="94">
        <f ca="1">SUM(F257:H257)</f>
        <v>53.531505000000003</v>
      </c>
      <c r="J257" s="95">
        <f t="shared" ca="1" si="175"/>
        <v>1.704825</v>
      </c>
      <c r="K257" s="94">
        <f t="shared" ca="1" si="180"/>
        <v>55.137450150000006</v>
      </c>
      <c r="L257" s="95">
        <f ca="1">K257/7.85/$E257</f>
        <v>1.7559697500000002</v>
      </c>
      <c r="M257" s="164"/>
      <c r="N257" s="170"/>
      <c r="O257" s="166">
        <f t="shared" ca="1" si="181"/>
        <v>3.5119395000000004</v>
      </c>
      <c r="Q257" s="123">
        <v>35</v>
      </c>
      <c r="R257" s="123">
        <f t="shared" si="179"/>
        <v>35</v>
      </c>
      <c r="S257" s="138"/>
      <c r="T257" s="124">
        <f t="shared" ca="1" si="166"/>
        <v>-18.531505000000003</v>
      </c>
      <c r="U257" s="136"/>
    </row>
    <row r="258" spans="3:21" x14ac:dyDescent="0.25">
      <c r="C258" s="117"/>
      <c r="D258" s="11"/>
      <c r="E258" s="60" t="s">
        <v>20</v>
      </c>
      <c r="F258" s="42">
        <f ca="1">SUM(F5:F257)</f>
        <v>14675.767645</v>
      </c>
      <c r="G258" s="42">
        <f>SUM(G5:G257)</f>
        <v>0</v>
      </c>
      <c r="H258" s="42">
        <f>SUM(H5:H257)</f>
        <v>0</v>
      </c>
      <c r="I258" s="42">
        <f ca="1">SUM(I5:I257)</f>
        <v>14675.767645</v>
      </c>
      <c r="J258" s="38"/>
      <c r="K258" s="42">
        <f ca="1">SUM(K5:K257)</f>
        <v>15116.040674349999</v>
      </c>
      <c r="L258" s="46"/>
      <c r="M258" s="165"/>
      <c r="N258" s="46"/>
      <c r="O258" s="166">
        <f ca="1">SUM(O5:O257)</f>
        <v>420.55069950000001</v>
      </c>
      <c r="Q258" s="42">
        <f>SUM(Q5:Q257)</f>
        <v>13880</v>
      </c>
      <c r="R258" s="42">
        <f>SUM(R5:R257)</f>
        <v>4035</v>
      </c>
      <c r="S258" s="99"/>
      <c r="T258" s="99"/>
      <c r="U258" s="99"/>
    </row>
    <row r="259" spans="3:21" x14ac:dyDescent="0.25">
      <c r="C259" s="154" t="s">
        <v>354</v>
      </c>
    </row>
    <row r="260" spans="3:21" x14ac:dyDescent="0.25">
      <c r="C260" s="168">
        <v>1.03</v>
      </c>
      <c r="D260" s="154" t="s">
        <v>355</v>
      </c>
    </row>
    <row r="261" spans="3:21" x14ac:dyDescent="0.25">
      <c r="C261" s="168">
        <v>1.03</v>
      </c>
      <c r="D261" s="154" t="s">
        <v>353</v>
      </c>
    </row>
  </sheetData>
  <mergeCells count="32">
    <mergeCell ref="N3:O3"/>
    <mergeCell ref="D45:D76"/>
    <mergeCell ref="C2:I2"/>
    <mergeCell ref="C6:C43"/>
    <mergeCell ref="C3:C4"/>
    <mergeCell ref="D3:D4"/>
    <mergeCell ref="E3:E4"/>
    <mergeCell ref="F3:H3"/>
    <mergeCell ref="I3:J3"/>
    <mergeCell ref="C230:C257"/>
    <mergeCell ref="D230:D243"/>
    <mergeCell ref="D244:D257"/>
    <mergeCell ref="C217:C222"/>
    <mergeCell ref="D217:D222"/>
    <mergeCell ref="C223:C227"/>
    <mergeCell ref="D223:D227"/>
    <mergeCell ref="D181:D182"/>
    <mergeCell ref="D183:D211"/>
    <mergeCell ref="C212:C216"/>
    <mergeCell ref="D212:D216"/>
    <mergeCell ref="Q3:S3"/>
    <mergeCell ref="D7:D43"/>
    <mergeCell ref="C150:C161"/>
    <mergeCell ref="D150:D161"/>
    <mergeCell ref="C162:C174"/>
    <mergeCell ref="C175:C180"/>
    <mergeCell ref="D175:D179"/>
    <mergeCell ref="D164:D173"/>
    <mergeCell ref="C181:C211"/>
    <mergeCell ref="K3:L3"/>
    <mergeCell ref="D77:D149"/>
    <mergeCell ref="C45:C149"/>
  </mergeCells>
  <phoneticPr fontId="28" type="noConversion"/>
  <conditionalFormatting sqref="F155:H155 F256:H257 F85:H87 F109:H111 F69:H78 F43:H44 F80:H83 F49:H51 F90:H107 F164:H167 F157:H162 F121:H153 F169:H174 F186:H192 F220:H220 F176:H184 F222:H222 F216:H218 F53:H67 F113:H119 Q6:S7 F30:H30 Q30:S30 F20:H20 F22:H23 Q20:S23 Q35:S37 F35:H37 Q42:S44 Q46:S46 F46:H46 F224:H254 Q48:S192 Q224:S257 Q194:S222 F194:H214">
    <cfRule type="cellIs" dxfId="113" priority="279" operator="greaterThan">
      <formula>0</formula>
    </cfRule>
  </conditionalFormatting>
  <conditionalFormatting sqref="I5:M5 I155:M155 I256:M257 I85:M87 I109:M111 I69:M78 I43:M44 I80:M83 I49:M51 I90:M107 I164:M167 I157:M162 I121:M153 I169:M174 I186:M192 I220:M220 I176:M184 I222:M222 I216:M218 I53:M67 I113:M119 I30:M30 I20:M20 I22:M23 I35:M37 I46:M46 I224:M254 I194:M214">
    <cfRule type="cellIs" dxfId="112" priority="280" operator="greaterThan">
      <formula>0</formula>
    </cfRule>
  </conditionalFormatting>
  <conditionalFormatting sqref="F6:H6">
    <cfRule type="cellIs" dxfId="111" priority="207" operator="greaterThan">
      <formula>0</formula>
    </cfRule>
  </conditionalFormatting>
  <conditionalFormatting sqref="I6:M6">
    <cfRule type="cellIs" dxfId="110" priority="208" operator="greaterThan">
      <formula>0</formula>
    </cfRule>
  </conditionalFormatting>
  <conditionalFormatting sqref="F154:H154">
    <cfRule type="cellIs" dxfId="109" priority="175" operator="greaterThan">
      <formula>0</formula>
    </cfRule>
  </conditionalFormatting>
  <conditionalFormatting sqref="I154:M154">
    <cfRule type="cellIs" dxfId="108" priority="176" operator="greaterThan">
      <formula>0</formula>
    </cfRule>
  </conditionalFormatting>
  <conditionalFormatting sqref="F255:H255">
    <cfRule type="cellIs" dxfId="107" priority="169" operator="greaterThan">
      <formula>0</formula>
    </cfRule>
  </conditionalFormatting>
  <conditionalFormatting sqref="I255:M255">
    <cfRule type="cellIs" dxfId="106" priority="170" operator="greaterThan">
      <formula>0</formula>
    </cfRule>
  </conditionalFormatting>
  <conditionalFormatting sqref="T255">
    <cfRule type="dataBar" priority="1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{4214E50B-FC53-4BBE-9A99-A1A9373230F3}</x14:id>
        </ext>
      </extLst>
    </cfRule>
  </conditionalFormatting>
  <conditionalFormatting sqref="F156:H156">
    <cfRule type="cellIs" dxfId="105" priority="166" operator="greaterThan">
      <formula>0</formula>
    </cfRule>
  </conditionalFormatting>
  <conditionalFormatting sqref="I156:M156">
    <cfRule type="cellIs" dxfId="104" priority="167" operator="greaterThan">
      <formula>0</formula>
    </cfRule>
  </conditionalFormatting>
  <conditionalFormatting sqref="T156">
    <cfRule type="dataBar" priority="1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{CA0671C1-8AE9-4E67-965B-B693E817152F}</x14:id>
        </ext>
      </extLst>
    </cfRule>
  </conditionalFormatting>
  <conditionalFormatting sqref="T256:T257 T224:T254 T157:T162 T85:T87 T109:T111 T69:T78 T35:T37 T80:T83 T49:T51 T90:T107 T164:T167 T176:T184 T121:T155 T169:T174 T43:T44 T186:T192 T220 T222 T216:T218 T53:T67 T113:T119 T46 T194:T214">
    <cfRule type="dataBar" priority="73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{C06B03C2-7C65-46EC-9955-1DC6821C39B8}</x14:id>
        </ext>
      </extLst>
    </cfRule>
  </conditionalFormatting>
  <conditionalFormatting sqref="F84:H84">
    <cfRule type="cellIs" dxfId="103" priority="156" operator="greaterThan">
      <formula>0</formula>
    </cfRule>
  </conditionalFormatting>
  <conditionalFormatting sqref="I84:M84">
    <cfRule type="cellIs" dxfId="102" priority="157" operator="greaterThan">
      <formula>0</formula>
    </cfRule>
  </conditionalFormatting>
  <conditionalFormatting sqref="T84">
    <cfRule type="dataBar" priority="1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{82F2164F-6F58-4D1A-95C3-793F21415C53}</x14:id>
        </ext>
      </extLst>
    </cfRule>
  </conditionalFormatting>
  <conditionalFormatting sqref="F108:H108">
    <cfRule type="cellIs" dxfId="101" priority="153" operator="greaterThan">
      <formula>0</formula>
    </cfRule>
  </conditionalFormatting>
  <conditionalFormatting sqref="I108:M108">
    <cfRule type="cellIs" dxfId="100" priority="154" operator="greaterThan">
      <formula>0</formula>
    </cfRule>
  </conditionalFormatting>
  <conditionalFormatting sqref="T108">
    <cfRule type="dataBar" priority="1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{37E44DC5-4EEB-4D4F-BF5A-448466C42E8E}</x14:id>
        </ext>
      </extLst>
    </cfRule>
  </conditionalFormatting>
  <conditionalFormatting sqref="F68:H68">
    <cfRule type="cellIs" dxfId="99" priority="150" operator="greaterThan">
      <formula>0</formula>
    </cfRule>
  </conditionalFormatting>
  <conditionalFormatting sqref="I68:M68">
    <cfRule type="cellIs" dxfId="98" priority="151" operator="greaterThan">
      <formula>0</formula>
    </cfRule>
  </conditionalFormatting>
  <conditionalFormatting sqref="T68">
    <cfRule type="dataBar" priority="1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{E4020B29-1C5E-49A3-92A9-069A46EA770A}</x14:id>
        </ext>
      </extLst>
    </cfRule>
  </conditionalFormatting>
  <conditionalFormatting sqref="F79:H79">
    <cfRule type="cellIs" dxfId="97" priority="144" operator="greaterThan">
      <formula>0</formula>
    </cfRule>
  </conditionalFormatting>
  <conditionalFormatting sqref="I79:M79">
    <cfRule type="cellIs" dxfId="96" priority="145" operator="greaterThan">
      <formula>0</formula>
    </cfRule>
  </conditionalFormatting>
  <conditionalFormatting sqref="T79">
    <cfRule type="dataBar" priority="1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{4D0C0FFD-B235-4343-9093-C1CC70567818}</x14:id>
        </ext>
      </extLst>
    </cfRule>
  </conditionalFormatting>
  <conditionalFormatting sqref="F48:H48">
    <cfRule type="cellIs" dxfId="95" priority="141" operator="greaterThan">
      <formula>0</formula>
    </cfRule>
  </conditionalFormatting>
  <conditionalFormatting sqref="I48:M48">
    <cfRule type="cellIs" dxfId="94" priority="142" operator="greaterThan">
      <formula>0</formula>
    </cfRule>
  </conditionalFormatting>
  <conditionalFormatting sqref="T48">
    <cfRule type="dataBar" priority="1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{8306A7F2-AA64-4381-9FB9-69C109E0084B}</x14:id>
        </ext>
      </extLst>
    </cfRule>
  </conditionalFormatting>
  <conditionalFormatting sqref="F89:H89">
    <cfRule type="cellIs" dxfId="93" priority="138" operator="greaterThan">
      <formula>0</formula>
    </cfRule>
  </conditionalFormatting>
  <conditionalFormatting sqref="I89:M89">
    <cfRule type="cellIs" dxfId="92" priority="139" operator="greaterThan">
      <formula>0</formula>
    </cfRule>
  </conditionalFormatting>
  <conditionalFormatting sqref="T89">
    <cfRule type="dataBar" priority="1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{A62AF530-5171-4862-A71D-AC5FD999BC84}</x14:id>
        </ext>
      </extLst>
    </cfRule>
  </conditionalFormatting>
  <conditionalFormatting sqref="F163:H163">
    <cfRule type="cellIs" dxfId="91" priority="133" operator="greaterThan">
      <formula>0</formula>
    </cfRule>
  </conditionalFormatting>
  <conditionalFormatting sqref="I163:M163">
    <cfRule type="cellIs" dxfId="90" priority="134" operator="greaterThan">
      <formula>0</formula>
    </cfRule>
  </conditionalFormatting>
  <conditionalFormatting sqref="T163">
    <cfRule type="dataBar" priority="1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{A0050C25-952A-44A9-979C-4EC8317A51C9}</x14:id>
        </ext>
      </extLst>
    </cfRule>
  </conditionalFormatting>
  <conditionalFormatting sqref="F175:H175">
    <cfRule type="cellIs" dxfId="89" priority="130" operator="greaterThan">
      <formula>0</formula>
    </cfRule>
  </conditionalFormatting>
  <conditionalFormatting sqref="I175:M175">
    <cfRule type="cellIs" dxfId="88" priority="131" operator="greaterThan">
      <formula>0</formula>
    </cfRule>
  </conditionalFormatting>
  <conditionalFormatting sqref="T175"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{036C6BE7-1459-47BC-8F34-B676BFE6D8DF}</x14:id>
        </ext>
      </extLst>
    </cfRule>
  </conditionalFormatting>
  <conditionalFormatting sqref="F88:H88">
    <cfRule type="cellIs" dxfId="87" priority="127" operator="greaterThan">
      <formula>0</formula>
    </cfRule>
  </conditionalFormatting>
  <conditionalFormatting sqref="I88:M88">
    <cfRule type="cellIs" dxfId="86" priority="128" operator="greaterThan">
      <formula>0</formula>
    </cfRule>
  </conditionalFormatting>
  <conditionalFormatting sqref="T88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{EFA411BB-FD76-4DC1-8AE5-22A003E57F49}</x14:id>
        </ext>
      </extLst>
    </cfRule>
  </conditionalFormatting>
  <conditionalFormatting sqref="F21:H21">
    <cfRule type="cellIs" dxfId="85" priority="125" operator="greaterThan">
      <formula>0</formula>
    </cfRule>
  </conditionalFormatting>
  <conditionalFormatting sqref="I21:M21">
    <cfRule type="cellIs" dxfId="84" priority="126" operator="greaterThan">
      <formula>0</formula>
    </cfRule>
  </conditionalFormatting>
  <conditionalFormatting sqref="F7:H7">
    <cfRule type="cellIs" dxfId="83" priority="123" operator="greaterThan">
      <formula>0</formula>
    </cfRule>
  </conditionalFormatting>
  <conditionalFormatting sqref="I7:M7">
    <cfRule type="cellIs" dxfId="82" priority="124" operator="greaterThan">
      <formula>0</formula>
    </cfRule>
  </conditionalFormatting>
  <conditionalFormatting sqref="F120:H120">
    <cfRule type="cellIs" dxfId="81" priority="120" operator="greaterThan">
      <formula>0</formula>
    </cfRule>
  </conditionalFormatting>
  <conditionalFormatting sqref="I120:M120">
    <cfRule type="cellIs" dxfId="80" priority="121" operator="greaterThan">
      <formula>0</formula>
    </cfRule>
  </conditionalFormatting>
  <conditionalFormatting sqref="T120">
    <cfRule type="dataBar" priority="1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{016FD7D1-9236-4FFE-8398-EC6021BBD17C}</x14:id>
        </ext>
      </extLst>
    </cfRule>
  </conditionalFormatting>
  <conditionalFormatting sqref="F168:H168">
    <cfRule type="cellIs" dxfId="79" priority="117" operator="greaterThan">
      <formula>0</formula>
    </cfRule>
  </conditionalFormatting>
  <conditionalFormatting sqref="I168:M168">
    <cfRule type="cellIs" dxfId="78" priority="118" operator="greaterThan">
      <formula>0</formula>
    </cfRule>
  </conditionalFormatting>
  <conditionalFormatting sqref="T168">
    <cfRule type="dataBar" priority="1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{75DC36BC-D470-4939-A2C7-6398D7E4A3F1}</x14:id>
        </ext>
      </extLst>
    </cfRule>
  </conditionalFormatting>
  <conditionalFormatting sqref="F42:H42">
    <cfRule type="cellIs" dxfId="77" priority="114" operator="greaterThan">
      <formula>0</formula>
    </cfRule>
  </conditionalFormatting>
  <conditionalFormatting sqref="I42:M42">
    <cfRule type="cellIs" dxfId="76" priority="115" operator="greaterThan">
      <formula>0</formula>
    </cfRule>
  </conditionalFormatting>
  <conditionalFormatting sqref="T42">
    <cfRule type="dataBar" priority="1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{67F4032F-A8D7-4C81-BBBA-6DF37BD6413E}</x14:id>
        </ext>
      </extLst>
    </cfRule>
  </conditionalFormatting>
  <conditionalFormatting sqref="F185:H185">
    <cfRule type="cellIs" dxfId="75" priority="111" operator="greaterThan">
      <formula>0</formula>
    </cfRule>
  </conditionalFormatting>
  <conditionalFormatting sqref="I185:M185">
    <cfRule type="cellIs" dxfId="74" priority="112" operator="greaterThan">
      <formula>0</formula>
    </cfRule>
  </conditionalFormatting>
  <conditionalFormatting sqref="T185">
    <cfRule type="dataBar" priority="1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{B4DACF3E-8795-46AB-BA8D-11A77B5DE41A}</x14:id>
        </ext>
      </extLst>
    </cfRule>
  </conditionalFormatting>
  <conditionalFormatting sqref="F219:H219">
    <cfRule type="cellIs" dxfId="73" priority="108" operator="greaterThan">
      <formula>0</formula>
    </cfRule>
  </conditionalFormatting>
  <conditionalFormatting sqref="I219:M219">
    <cfRule type="cellIs" dxfId="72" priority="109" operator="greaterThan">
      <formula>0</formula>
    </cfRule>
  </conditionalFormatting>
  <conditionalFormatting sqref="F221:H221">
    <cfRule type="cellIs" dxfId="71" priority="105" operator="greaterThan">
      <formula>0</formula>
    </cfRule>
  </conditionalFormatting>
  <conditionalFormatting sqref="I221:M221">
    <cfRule type="cellIs" dxfId="70" priority="106" operator="greaterThan">
      <formula>0</formula>
    </cfRule>
  </conditionalFormatting>
  <conditionalFormatting sqref="T221">
    <cfRule type="dataBar" priority="1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{3017548B-3CC4-41D2-AACB-CE7F33454D04}</x14:id>
        </ext>
      </extLst>
    </cfRule>
  </conditionalFormatting>
  <conditionalFormatting sqref="F215:H215">
    <cfRule type="cellIs" dxfId="69" priority="102" operator="greaterThan">
      <formula>0</formula>
    </cfRule>
  </conditionalFormatting>
  <conditionalFormatting sqref="I215:M215">
    <cfRule type="cellIs" dxfId="68" priority="103" operator="greaterThan">
      <formula>0</formula>
    </cfRule>
  </conditionalFormatting>
  <conditionalFormatting sqref="T215">
    <cfRule type="dataBar" priority="1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{8374928C-AFD2-4956-B684-314AA2237155}</x14:id>
        </ext>
      </extLst>
    </cfRule>
  </conditionalFormatting>
  <conditionalFormatting sqref="F52:H52">
    <cfRule type="cellIs" dxfId="67" priority="97" operator="greaterThan">
      <formula>0</formula>
    </cfRule>
  </conditionalFormatting>
  <conditionalFormatting sqref="I52:M52">
    <cfRule type="cellIs" dxfId="66" priority="98" operator="greaterThan">
      <formula>0</formula>
    </cfRule>
  </conditionalFormatting>
  <conditionalFormatting sqref="T52">
    <cfRule type="dataBar" priority="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{17174D79-C1C9-4707-8CA0-73CCBB557D90}</x14:id>
        </ext>
      </extLst>
    </cfRule>
  </conditionalFormatting>
  <conditionalFormatting sqref="F112:H112">
    <cfRule type="cellIs" dxfId="65" priority="94" operator="greaterThan">
      <formula>0</formula>
    </cfRule>
  </conditionalFormatting>
  <conditionalFormatting sqref="I112:M112">
    <cfRule type="cellIs" dxfId="64" priority="95" operator="greaterThan">
      <formula>0</formula>
    </cfRule>
  </conditionalFormatting>
  <conditionalFormatting sqref="T112">
    <cfRule type="dataBar" priority="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{52D29DEB-BD2F-4A0C-A299-5DF0BE1F5163}</x14:id>
        </ext>
      </extLst>
    </cfRule>
  </conditionalFormatting>
  <conditionalFormatting sqref="R165">
    <cfRule type="cellIs" dxfId="63" priority="91" operator="greaterThan">
      <formula>0</formula>
    </cfRule>
  </conditionalFormatting>
  <conditionalFormatting sqref="R110">
    <cfRule type="cellIs" dxfId="62" priority="87" operator="greaterThan">
      <formula>0</formula>
    </cfRule>
  </conditionalFormatting>
  <conditionalFormatting sqref="R135">
    <cfRule type="cellIs" dxfId="61" priority="86" operator="greaterThan">
      <formula>0</formula>
    </cfRule>
  </conditionalFormatting>
  <conditionalFormatting sqref="R86">
    <cfRule type="cellIs" dxfId="60" priority="84" operator="greaterThan">
      <formula>0</formula>
    </cfRule>
  </conditionalFormatting>
  <conditionalFormatting sqref="R51">
    <cfRule type="cellIs" dxfId="59" priority="83" operator="greaterThan">
      <formula>0</formula>
    </cfRule>
  </conditionalFormatting>
  <conditionalFormatting sqref="R65">
    <cfRule type="cellIs" dxfId="58" priority="82" operator="greaterThan">
      <formula>0</formula>
    </cfRule>
  </conditionalFormatting>
  <conditionalFormatting sqref="R121">
    <cfRule type="cellIs" dxfId="57" priority="81" operator="greaterThan">
      <formula>0</formula>
    </cfRule>
  </conditionalFormatting>
  <conditionalFormatting sqref="R109">
    <cfRule type="cellIs" dxfId="56" priority="80" operator="greaterThan">
      <formula>0</formula>
    </cfRule>
  </conditionalFormatting>
  <conditionalFormatting sqref="R134">
    <cfRule type="cellIs" dxfId="55" priority="79" operator="greaterThan">
      <formula>0</formula>
    </cfRule>
  </conditionalFormatting>
  <conditionalFormatting sqref="F24:H24 Q24:S24">
    <cfRule type="cellIs" dxfId="54" priority="76" operator="greaterThan">
      <formula>0</formula>
    </cfRule>
  </conditionalFormatting>
  <conditionalFormatting sqref="I24:M24">
    <cfRule type="cellIs" dxfId="53" priority="77" operator="greaterThan">
      <formula>0</formula>
    </cfRule>
  </conditionalFormatting>
  <conditionalFormatting sqref="T24">
    <cfRule type="dataBar" priority="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{6149098E-BB3D-4586-900D-133563127DC7}</x14:id>
        </ext>
      </extLst>
    </cfRule>
  </conditionalFormatting>
  <conditionalFormatting sqref="Q25:S25">
    <cfRule type="cellIs" dxfId="52" priority="74" operator="greaterThan">
      <formula>0</formula>
    </cfRule>
  </conditionalFormatting>
  <conditionalFormatting sqref="F25:H25">
    <cfRule type="cellIs" dxfId="51" priority="72" operator="greaterThan">
      <formula>0</formula>
    </cfRule>
  </conditionalFormatting>
  <conditionalFormatting sqref="I25:M25">
    <cfRule type="cellIs" dxfId="50" priority="73" operator="greaterThan">
      <formula>0</formula>
    </cfRule>
  </conditionalFormatting>
  <conditionalFormatting sqref="T25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{EBFFCD7C-D724-4BB0-915B-CDA7A6A32DC7}</x14:id>
        </ext>
      </extLst>
    </cfRule>
  </conditionalFormatting>
  <conditionalFormatting sqref="F26:H26 Q26:S27">
    <cfRule type="cellIs" dxfId="49" priority="68" operator="greaterThan">
      <formula>0</formula>
    </cfRule>
  </conditionalFormatting>
  <conditionalFormatting sqref="I26:M26">
    <cfRule type="cellIs" dxfId="48" priority="69" operator="greaterThan">
      <formula>0</formula>
    </cfRule>
  </conditionalFormatting>
  <conditionalFormatting sqref="F27:H27">
    <cfRule type="cellIs" dxfId="47" priority="66" operator="greaterThan">
      <formula>0</formula>
    </cfRule>
  </conditionalFormatting>
  <conditionalFormatting sqref="I27:M27">
    <cfRule type="cellIs" dxfId="46" priority="67" operator="greaterThan">
      <formula>0</formula>
    </cfRule>
  </conditionalFormatting>
  <conditionalFormatting sqref="T27"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{0B900FEC-C437-49D1-A034-9C1E221CB75D}</x14:id>
        </ext>
      </extLst>
    </cfRule>
  </conditionalFormatting>
  <conditionalFormatting sqref="T26"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{FB2AD5A2-6778-485F-8466-DB4C08EEAE75}</x14:id>
        </ext>
      </extLst>
    </cfRule>
  </conditionalFormatting>
  <conditionalFormatting sqref="T26:T27"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{9A748FD8-BE45-4DCD-9270-EC3A911AF363}</x14:id>
        </ext>
      </extLst>
    </cfRule>
  </conditionalFormatting>
  <conditionalFormatting sqref="F29:H29 Q29:S29">
    <cfRule type="cellIs" dxfId="45" priority="61" operator="greaterThan">
      <formula>0</formula>
    </cfRule>
  </conditionalFormatting>
  <conditionalFormatting sqref="I29:M29">
    <cfRule type="cellIs" dxfId="44" priority="62" operator="greaterThan">
      <formula>0</formula>
    </cfRule>
  </conditionalFormatting>
  <conditionalFormatting sqref="T29"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{A4E9DFCA-BA26-4651-8211-BA6278613A80}</x14:id>
        </ext>
      </extLst>
    </cfRule>
  </conditionalFormatting>
  <conditionalFormatting sqref="T29"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{C30FC7E5-BEC5-48F5-8ABF-5EC5B63E9DAF}</x14:id>
        </ext>
      </extLst>
    </cfRule>
  </conditionalFormatting>
  <conditionalFormatting sqref="F28:H28 Q28:S28">
    <cfRule type="cellIs" dxfId="43" priority="57" operator="greaterThan">
      <formula>0</formula>
    </cfRule>
  </conditionalFormatting>
  <conditionalFormatting sqref="I28:M28">
    <cfRule type="cellIs" dxfId="42" priority="58" operator="greaterThan">
      <formula>0</formula>
    </cfRule>
  </conditionalFormatting>
  <conditionalFormatting sqref="T28"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{A74E6F2B-82D9-479B-83CD-02049CA02B09}</x14:id>
        </ext>
      </extLst>
    </cfRule>
  </conditionalFormatting>
  <conditionalFormatting sqref="T28"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{E3A8751A-2636-4A9D-BAE7-53E6A81F968D}</x14:id>
        </ext>
      </extLst>
    </cfRule>
  </conditionalFormatting>
  <conditionalFormatting sqref="F9:H9 F11:H11 Q8:S11">
    <cfRule type="cellIs" dxfId="41" priority="53" operator="greaterThan">
      <formula>0</formula>
    </cfRule>
  </conditionalFormatting>
  <conditionalFormatting sqref="I9:M9 I11:M11">
    <cfRule type="cellIs" dxfId="40" priority="54" operator="greaterThan">
      <formula>0</formula>
    </cfRule>
  </conditionalFormatting>
  <conditionalFormatting sqref="F8:H8">
    <cfRule type="cellIs" dxfId="39" priority="51" operator="greaterThan">
      <formula>0</formula>
    </cfRule>
  </conditionalFormatting>
  <conditionalFormatting sqref="I8:M8">
    <cfRule type="cellIs" dxfId="38" priority="52" operator="greaterThan">
      <formula>0</formula>
    </cfRule>
  </conditionalFormatting>
  <conditionalFormatting sqref="F10:H10">
    <cfRule type="cellIs" dxfId="37" priority="49" operator="greaterThan">
      <formula>0</formula>
    </cfRule>
  </conditionalFormatting>
  <conditionalFormatting sqref="I10:M10">
    <cfRule type="cellIs" dxfId="36" priority="50" operator="greaterThan">
      <formula>0</formula>
    </cfRule>
  </conditionalFormatting>
  <conditionalFormatting sqref="T10:T11">
    <cfRule type="dataBar" priority="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{A2B98EF9-6D0A-41C2-9CEF-2F06DC99F162}</x14:id>
        </ext>
      </extLst>
    </cfRule>
  </conditionalFormatting>
  <conditionalFormatting sqref="R8:S8">
    <cfRule type="cellIs" dxfId="35" priority="48" operator="greaterThan">
      <formula>0</formula>
    </cfRule>
  </conditionalFormatting>
  <conditionalFormatting sqref="T10:T11">
    <cfRule type="dataBar" priority="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{5E53937E-0FE5-4C62-BCA5-1F4C652A1DE5}</x14:id>
        </ext>
      </extLst>
    </cfRule>
  </conditionalFormatting>
  <conditionalFormatting sqref="F12:H13 Q12:S13">
    <cfRule type="cellIs" dxfId="34" priority="44" operator="greaterThan">
      <formula>0</formula>
    </cfRule>
  </conditionalFormatting>
  <conditionalFormatting sqref="I12:M13">
    <cfRule type="cellIs" dxfId="33" priority="45" operator="greaterThan">
      <formula>0</formula>
    </cfRule>
  </conditionalFormatting>
  <conditionalFormatting sqref="T12:T13">
    <cfRule type="dataBar" priority="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{87C2A05B-573C-443E-8119-AB0128085196}</x14:id>
        </ext>
      </extLst>
    </cfRule>
  </conditionalFormatting>
  <conditionalFormatting sqref="T12:T13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{B519D285-3C72-492C-B98C-AA518C4DC5BB}</x14:id>
        </ext>
      </extLst>
    </cfRule>
  </conditionalFormatting>
  <conditionalFormatting sqref="F15:H18 Q14:S19">
    <cfRule type="cellIs" dxfId="32" priority="40" operator="greaterThan">
      <formula>0</formula>
    </cfRule>
  </conditionalFormatting>
  <conditionalFormatting sqref="I15:M18">
    <cfRule type="cellIs" dxfId="31" priority="41" operator="greaterThan">
      <formula>0</formula>
    </cfRule>
  </conditionalFormatting>
  <conditionalFormatting sqref="F14:H14">
    <cfRule type="cellIs" dxfId="30" priority="38" operator="greaterThan">
      <formula>0</formula>
    </cfRule>
  </conditionalFormatting>
  <conditionalFormatting sqref="I14:M14">
    <cfRule type="cellIs" dxfId="29" priority="39" operator="greaterThan">
      <formula>0</formula>
    </cfRule>
  </conditionalFormatting>
  <conditionalFormatting sqref="F19:H19">
    <cfRule type="cellIs" dxfId="28" priority="36" operator="greaterThan">
      <formula>0</formula>
    </cfRule>
  </conditionalFormatting>
  <conditionalFormatting sqref="I19:M19">
    <cfRule type="cellIs" dxfId="27" priority="37" operator="greaterThan">
      <formula>0</formula>
    </cfRule>
  </conditionalFormatting>
  <conditionalFormatting sqref="T14:T19"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{3CE2254C-EC0A-401B-BFEC-4B83DA0BF7A4}</x14:id>
        </ext>
      </extLst>
    </cfRule>
  </conditionalFormatting>
  <conditionalFormatting sqref="R15">
    <cfRule type="cellIs" dxfId="26" priority="35" operator="greaterThan">
      <formula>0</formula>
    </cfRule>
  </conditionalFormatting>
  <conditionalFormatting sqref="T14:T19"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{A1E463CF-C0E7-4165-B268-FE27EEBB78B2}</x14:id>
        </ext>
      </extLst>
    </cfRule>
  </conditionalFormatting>
  <conditionalFormatting sqref="F32:H32 Q32:S32">
    <cfRule type="cellIs" dxfId="25" priority="33" operator="greaterThan">
      <formula>0</formula>
    </cfRule>
  </conditionalFormatting>
  <conditionalFormatting sqref="I32:M32">
    <cfRule type="cellIs" dxfId="24" priority="34" operator="greaterThan">
      <formula>0</formula>
    </cfRule>
  </conditionalFormatting>
  <conditionalFormatting sqref="F31:H31 Q31:S31">
    <cfRule type="cellIs" dxfId="23" priority="31" operator="greaterThan">
      <formula>0</formula>
    </cfRule>
  </conditionalFormatting>
  <conditionalFormatting sqref="I31:M31">
    <cfRule type="cellIs" dxfId="22" priority="32" operator="greaterThan">
      <formula>0</formula>
    </cfRule>
  </conditionalFormatting>
  <conditionalFormatting sqref="Q33:S34 F33:H34">
    <cfRule type="cellIs" dxfId="21" priority="27" operator="greaterThan">
      <formula>0</formula>
    </cfRule>
  </conditionalFormatting>
  <conditionalFormatting sqref="I33:M34">
    <cfRule type="cellIs" dxfId="20" priority="28" operator="greaterThan">
      <formula>0</formula>
    </cfRule>
  </conditionalFormatting>
  <conditionalFormatting sqref="T33:T34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{26EF3681-7169-4D03-855C-7B72A74DA5B8}</x14:id>
        </ext>
      </extLst>
    </cfRule>
  </conditionalFormatting>
  <conditionalFormatting sqref="T33:T34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{D3DAF33E-1F49-481B-AF7F-CA1F26615A72}</x14:id>
        </ext>
      </extLst>
    </cfRule>
  </conditionalFormatting>
  <conditionalFormatting sqref="Q38:S39 F38:H39">
    <cfRule type="cellIs" dxfId="19" priority="23" operator="greaterThan">
      <formula>0</formula>
    </cfRule>
  </conditionalFormatting>
  <conditionalFormatting sqref="I38:M39">
    <cfRule type="cellIs" dxfId="18" priority="24" operator="greaterThan">
      <formula>0</formula>
    </cfRule>
  </conditionalFormatting>
  <conditionalFormatting sqref="T38:T39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{C26226D0-B9A5-4600-9C57-FE1AB71A902A}</x14:id>
        </ext>
      </extLst>
    </cfRule>
  </conditionalFormatting>
  <conditionalFormatting sqref="T38:T39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{681C984D-4243-44CA-916D-2914F176703C}</x14:id>
        </ext>
      </extLst>
    </cfRule>
  </conditionalFormatting>
  <conditionalFormatting sqref="F47:H47 Q47:S47">
    <cfRule type="cellIs" dxfId="17" priority="19" operator="greaterThan">
      <formula>0</formula>
    </cfRule>
  </conditionalFormatting>
  <conditionalFormatting sqref="I47:M47">
    <cfRule type="cellIs" dxfId="16" priority="20" operator="greaterThan">
      <formula>0</formula>
    </cfRule>
  </conditionalFormatting>
  <conditionalFormatting sqref="T47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{282E4ECA-B73E-4E01-83F4-D91816B15D00}</x14:id>
        </ext>
      </extLst>
    </cfRule>
  </conditionalFormatting>
  <conditionalFormatting sqref="T47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{BA5B8F8C-E033-4DA0-9B01-F2F4574D1F3C}</x14:id>
        </ext>
      </extLst>
    </cfRule>
  </conditionalFormatting>
  <conditionalFormatting sqref="Q45:S45 F45:H45">
    <cfRule type="cellIs" dxfId="15" priority="15" operator="greaterThan">
      <formula>0</formula>
    </cfRule>
  </conditionalFormatting>
  <conditionalFormatting sqref="I45:M45">
    <cfRule type="cellIs" dxfId="14" priority="16" operator="greaterThan">
      <formula>0</formula>
    </cfRule>
  </conditionalFormatting>
  <conditionalFormatting sqref="T45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{B17F5876-1789-4224-AC31-7553449C315E}</x14:id>
        </ext>
      </extLst>
    </cfRule>
  </conditionalFormatting>
  <conditionalFormatting sqref="T45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{B4EA02F5-DA5D-443C-9649-56B9DA0F7D89}</x14:id>
        </ext>
      </extLst>
    </cfRule>
  </conditionalFormatting>
  <conditionalFormatting sqref="Q40:S41">
    <cfRule type="cellIs" dxfId="13" priority="13" operator="greaterThan">
      <formula>0</formula>
    </cfRule>
  </conditionalFormatting>
  <conditionalFormatting sqref="F40:H41">
    <cfRule type="cellIs" dxfId="12" priority="10" operator="greaterThan">
      <formula>0</formula>
    </cfRule>
  </conditionalFormatting>
  <conditionalFormatting sqref="I40:M41">
    <cfRule type="cellIs" dxfId="11" priority="11" operator="greaterThan">
      <formula>0</formula>
    </cfRule>
  </conditionalFormatting>
  <conditionalFormatting sqref="T40:T41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{19E66721-1AF3-4E08-A27B-25B92981881A}</x14:id>
        </ext>
      </extLst>
    </cfRule>
  </conditionalFormatting>
  <conditionalFormatting sqref="T40:T41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{EDEE58F4-B8D7-4372-B550-8AE6B8F33ECA}</x14:id>
        </ext>
      </extLst>
    </cfRule>
  </conditionalFormatting>
  <conditionalFormatting sqref="Q223:S223">
    <cfRule type="cellIs" dxfId="10" priority="8" operator="greaterThan">
      <formula>0</formula>
    </cfRule>
  </conditionalFormatting>
  <conditionalFormatting sqref="F223:H223">
    <cfRule type="cellIs" dxfId="9" priority="6" operator="greaterThan">
      <formula>0</formula>
    </cfRule>
  </conditionalFormatting>
  <conditionalFormatting sqref="I223:M223">
    <cfRule type="cellIs" dxfId="8" priority="7" operator="greaterThan">
      <formula>0</formula>
    </cfRule>
  </conditionalFormatting>
  <conditionalFormatting sqref="T22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{A9D08884-B0CA-4F9B-B28D-331B785BFCA2}</x14:id>
        </ext>
      </extLst>
    </cfRule>
  </conditionalFormatting>
  <conditionalFormatting sqref="T22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{326DB2C7-DC39-4BA0-B8C2-7E1520984D1E}</x14:id>
        </ext>
      </extLst>
    </cfRule>
  </conditionalFormatting>
  <conditionalFormatting sqref="T48:T192 T35:T37 T42:T44 T46 T224:T257 T194:T222">
    <cfRule type="dataBar" priority="166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{1F31D329-4759-438B-9658-39C73B494F0D}</x14:id>
        </ext>
      </extLst>
    </cfRule>
  </conditionalFormatting>
  <conditionalFormatting sqref="Q193:S193 F193:H193">
    <cfRule type="cellIs" dxfId="7" priority="1" operator="greaterThan">
      <formula>0</formula>
    </cfRule>
  </conditionalFormatting>
  <conditionalFormatting sqref="I193:M193">
    <cfRule type="cellIs" dxfId="6" priority="2" operator="greaterThan">
      <formula>0</formula>
    </cfRule>
  </conditionalFormatting>
  <conditionalFormatting sqref="T19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{AC7AA37E-D5C9-4E2C-8416-49A6A3610E9B}</x14:id>
        </ext>
      </extLst>
    </cfRule>
  </conditionalFormatting>
  <conditionalFormatting sqref="T19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{9F018294-587A-4F24-AD24-8931F6DD25FD}</x14:id>
        </ext>
      </extLst>
    </cfRule>
  </conditionalFormatting>
  <pageMargins left="0.7" right="0.7" top="0.75" bottom="0.75" header="0.3" footer="0.3"/>
  <pageSetup paperSize="9" scale="80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14E50B-FC53-4BBE-9A99-A1A9373230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T255</xm:sqref>
        </x14:conditionalFormatting>
        <x14:conditionalFormatting xmlns:xm="http://schemas.microsoft.com/office/excel/2006/main">
          <x14:cfRule type="dataBar" id="{CA0671C1-8AE9-4E67-965B-B693E81715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T156</xm:sqref>
        </x14:conditionalFormatting>
        <x14:conditionalFormatting xmlns:xm="http://schemas.microsoft.com/office/excel/2006/main">
          <x14:cfRule type="dataBar" id="{C06B03C2-7C65-46EC-9955-1DC6821C39B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T256:T257 T224:T254 T157:T162 T85:T87 T109:T111 T69:T78 T35:T37 T80:T83 T49:T51 T90:T107 T164:T167 T176:T184 T121:T155 T169:T174 T43:T44 T186:T192 T220 T222 T216:T218 T53:T67 T113:T119 T46 T194:T214</xm:sqref>
        </x14:conditionalFormatting>
        <x14:conditionalFormatting xmlns:xm="http://schemas.microsoft.com/office/excel/2006/main">
          <x14:cfRule type="dataBar" id="{82F2164F-6F58-4D1A-95C3-793F21415C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T84</xm:sqref>
        </x14:conditionalFormatting>
        <x14:conditionalFormatting xmlns:xm="http://schemas.microsoft.com/office/excel/2006/main">
          <x14:cfRule type="dataBar" id="{37E44DC5-4EEB-4D4F-BF5A-448466C42E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T108</xm:sqref>
        </x14:conditionalFormatting>
        <x14:conditionalFormatting xmlns:xm="http://schemas.microsoft.com/office/excel/2006/main">
          <x14:cfRule type="dataBar" id="{E4020B29-1C5E-49A3-92A9-069A46EA770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T68</xm:sqref>
        </x14:conditionalFormatting>
        <x14:conditionalFormatting xmlns:xm="http://schemas.microsoft.com/office/excel/2006/main">
          <x14:cfRule type="dataBar" id="{4D0C0FFD-B235-4343-9093-C1CC7056781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T79</xm:sqref>
        </x14:conditionalFormatting>
        <x14:conditionalFormatting xmlns:xm="http://schemas.microsoft.com/office/excel/2006/main">
          <x14:cfRule type="dataBar" id="{8306A7F2-AA64-4381-9FB9-69C109E0084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T48</xm:sqref>
        </x14:conditionalFormatting>
        <x14:conditionalFormatting xmlns:xm="http://schemas.microsoft.com/office/excel/2006/main">
          <x14:cfRule type="dataBar" id="{A62AF530-5171-4862-A71D-AC5FD999BC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T89</xm:sqref>
        </x14:conditionalFormatting>
        <x14:conditionalFormatting xmlns:xm="http://schemas.microsoft.com/office/excel/2006/main">
          <x14:cfRule type="dataBar" id="{A0050C25-952A-44A9-979C-4EC8317A51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T163</xm:sqref>
        </x14:conditionalFormatting>
        <x14:conditionalFormatting xmlns:xm="http://schemas.microsoft.com/office/excel/2006/main">
          <x14:cfRule type="dataBar" id="{036C6BE7-1459-47BC-8F34-B676BFE6D8D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T175</xm:sqref>
        </x14:conditionalFormatting>
        <x14:conditionalFormatting xmlns:xm="http://schemas.microsoft.com/office/excel/2006/main">
          <x14:cfRule type="dataBar" id="{EFA411BB-FD76-4DC1-8AE5-22A003E57F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T88</xm:sqref>
        </x14:conditionalFormatting>
        <x14:conditionalFormatting xmlns:xm="http://schemas.microsoft.com/office/excel/2006/main">
          <x14:cfRule type="dataBar" id="{016FD7D1-9236-4FFE-8398-EC6021BBD17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T120</xm:sqref>
        </x14:conditionalFormatting>
        <x14:conditionalFormatting xmlns:xm="http://schemas.microsoft.com/office/excel/2006/main">
          <x14:cfRule type="dataBar" id="{75DC36BC-D470-4939-A2C7-6398D7E4A3F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T168</xm:sqref>
        </x14:conditionalFormatting>
        <x14:conditionalFormatting xmlns:xm="http://schemas.microsoft.com/office/excel/2006/main">
          <x14:cfRule type="dataBar" id="{67F4032F-A8D7-4C81-BBBA-6DF37BD641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T42</xm:sqref>
        </x14:conditionalFormatting>
        <x14:conditionalFormatting xmlns:xm="http://schemas.microsoft.com/office/excel/2006/main">
          <x14:cfRule type="dataBar" id="{B4DACF3E-8795-46AB-BA8D-11A77B5DE4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T185</xm:sqref>
        </x14:conditionalFormatting>
        <x14:conditionalFormatting xmlns:xm="http://schemas.microsoft.com/office/excel/2006/main">
          <x14:cfRule type="dataBar" id="{3017548B-3CC4-41D2-AACB-CE7F33454D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T221</xm:sqref>
        </x14:conditionalFormatting>
        <x14:conditionalFormatting xmlns:xm="http://schemas.microsoft.com/office/excel/2006/main">
          <x14:cfRule type="dataBar" id="{8374928C-AFD2-4956-B684-314AA22371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T215</xm:sqref>
        </x14:conditionalFormatting>
        <x14:conditionalFormatting xmlns:xm="http://schemas.microsoft.com/office/excel/2006/main">
          <x14:cfRule type="dataBar" id="{17174D79-C1C9-4707-8CA0-73CCBB557D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T52</xm:sqref>
        </x14:conditionalFormatting>
        <x14:conditionalFormatting xmlns:xm="http://schemas.microsoft.com/office/excel/2006/main">
          <x14:cfRule type="dataBar" id="{52D29DEB-BD2F-4A0C-A299-5DF0BE1F516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T112</xm:sqref>
        </x14:conditionalFormatting>
        <x14:conditionalFormatting xmlns:xm="http://schemas.microsoft.com/office/excel/2006/main">
          <x14:cfRule type="dataBar" id="{6149098E-BB3D-4586-900D-133563127D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T24</xm:sqref>
        </x14:conditionalFormatting>
        <x14:conditionalFormatting xmlns:xm="http://schemas.microsoft.com/office/excel/2006/main">
          <x14:cfRule type="dataBar" id="{EBFFCD7C-D724-4BB0-915B-CDA7A6A32D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T25</xm:sqref>
        </x14:conditionalFormatting>
        <x14:conditionalFormatting xmlns:xm="http://schemas.microsoft.com/office/excel/2006/main">
          <x14:cfRule type="dataBar" id="{0B900FEC-C437-49D1-A034-9C1E221CB7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T27</xm:sqref>
        </x14:conditionalFormatting>
        <x14:conditionalFormatting xmlns:xm="http://schemas.microsoft.com/office/excel/2006/main">
          <x14:cfRule type="dataBar" id="{FB2AD5A2-6778-485F-8466-DB4C08EEAE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</xm:sqref>
        </x14:conditionalFormatting>
        <x14:conditionalFormatting xmlns:xm="http://schemas.microsoft.com/office/excel/2006/main">
          <x14:cfRule type="dataBar" id="{9A748FD8-BE45-4DCD-9270-EC3A911AF36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T26:T27</xm:sqref>
        </x14:conditionalFormatting>
        <x14:conditionalFormatting xmlns:xm="http://schemas.microsoft.com/office/excel/2006/main">
          <x14:cfRule type="dataBar" id="{A4E9DFCA-BA26-4651-8211-BA6278613A8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T29</xm:sqref>
        </x14:conditionalFormatting>
        <x14:conditionalFormatting xmlns:xm="http://schemas.microsoft.com/office/excel/2006/main">
          <x14:cfRule type="dataBar" id="{C30FC7E5-BEC5-48F5-8ABF-5EC5B63E9D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T29</xm:sqref>
        </x14:conditionalFormatting>
        <x14:conditionalFormatting xmlns:xm="http://schemas.microsoft.com/office/excel/2006/main">
          <x14:cfRule type="dataBar" id="{A74E6F2B-82D9-479B-83CD-02049CA02B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T28</xm:sqref>
        </x14:conditionalFormatting>
        <x14:conditionalFormatting xmlns:xm="http://schemas.microsoft.com/office/excel/2006/main">
          <x14:cfRule type="dataBar" id="{E3A8751A-2636-4A9D-BAE7-53E6A81F96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T28</xm:sqref>
        </x14:conditionalFormatting>
        <x14:conditionalFormatting xmlns:xm="http://schemas.microsoft.com/office/excel/2006/main">
          <x14:cfRule type="dataBar" id="{A2B98EF9-6D0A-41C2-9CEF-2F06DC99F1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T10:T11</xm:sqref>
        </x14:conditionalFormatting>
        <x14:conditionalFormatting xmlns:xm="http://schemas.microsoft.com/office/excel/2006/main">
          <x14:cfRule type="dataBar" id="{5E53937E-0FE5-4C62-BCA5-1F4C652A1D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T10:T11</xm:sqref>
        </x14:conditionalFormatting>
        <x14:conditionalFormatting xmlns:xm="http://schemas.microsoft.com/office/excel/2006/main">
          <x14:cfRule type="dataBar" id="{87C2A05B-573C-443E-8119-AB01280851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T12:T13</xm:sqref>
        </x14:conditionalFormatting>
        <x14:conditionalFormatting xmlns:xm="http://schemas.microsoft.com/office/excel/2006/main">
          <x14:cfRule type="dataBar" id="{B519D285-3C72-492C-B98C-AA518C4DC5B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T12:T13</xm:sqref>
        </x14:conditionalFormatting>
        <x14:conditionalFormatting xmlns:xm="http://schemas.microsoft.com/office/excel/2006/main">
          <x14:cfRule type="dataBar" id="{3CE2254C-EC0A-401B-BFEC-4B83DA0BF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T14:T19</xm:sqref>
        </x14:conditionalFormatting>
        <x14:conditionalFormatting xmlns:xm="http://schemas.microsoft.com/office/excel/2006/main">
          <x14:cfRule type="dataBar" id="{A1E463CF-C0E7-4165-B268-FE27EEBB78B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T14:T19</xm:sqref>
        </x14:conditionalFormatting>
        <x14:conditionalFormatting xmlns:xm="http://schemas.microsoft.com/office/excel/2006/main">
          <x14:cfRule type="dataBar" id="{26EF3681-7169-4D03-855C-7B72A74DA5B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T33:T34</xm:sqref>
        </x14:conditionalFormatting>
        <x14:conditionalFormatting xmlns:xm="http://schemas.microsoft.com/office/excel/2006/main">
          <x14:cfRule type="dataBar" id="{D3DAF33E-1F49-481B-AF7F-CA1F26615A7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T33:T34</xm:sqref>
        </x14:conditionalFormatting>
        <x14:conditionalFormatting xmlns:xm="http://schemas.microsoft.com/office/excel/2006/main">
          <x14:cfRule type="dataBar" id="{C26226D0-B9A5-4600-9C57-FE1AB71A902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T38:T39</xm:sqref>
        </x14:conditionalFormatting>
        <x14:conditionalFormatting xmlns:xm="http://schemas.microsoft.com/office/excel/2006/main">
          <x14:cfRule type="dataBar" id="{681C984D-4243-44CA-916D-2914F17670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T38:T39</xm:sqref>
        </x14:conditionalFormatting>
        <x14:conditionalFormatting xmlns:xm="http://schemas.microsoft.com/office/excel/2006/main">
          <x14:cfRule type="dataBar" id="{282E4ECA-B73E-4E01-83F4-D91816B15D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T47</xm:sqref>
        </x14:conditionalFormatting>
        <x14:conditionalFormatting xmlns:xm="http://schemas.microsoft.com/office/excel/2006/main">
          <x14:cfRule type="dataBar" id="{BA5B8F8C-E033-4DA0-9B01-F2F4574D1F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T47</xm:sqref>
        </x14:conditionalFormatting>
        <x14:conditionalFormatting xmlns:xm="http://schemas.microsoft.com/office/excel/2006/main">
          <x14:cfRule type="dataBar" id="{B17F5876-1789-4224-AC31-7553449C31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T45</xm:sqref>
        </x14:conditionalFormatting>
        <x14:conditionalFormatting xmlns:xm="http://schemas.microsoft.com/office/excel/2006/main">
          <x14:cfRule type="dataBar" id="{B4EA02F5-DA5D-443C-9649-56B9DA0F7D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T45</xm:sqref>
        </x14:conditionalFormatting>
        <x14:conditionalFormatting xmlns:xm="http://schemas.microsoft.com/office/excel/2006/main">
          <x14:cfRule type="dataBar" id="{19E66721-1AF3-4E08-A27B-25B9298188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T40:T41</xm:sqref>
        </x14:conditionalFormatting>
        <x14:conditionalFormatting xmlns:xm="http://schemas.microsoft.com/office/excel/2006/main">
          <x14:cfRule type="dataBar" id="{EDEE58F4-B8D7-4372-B550-8AE6B8F33E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T40:T41</xm:sqref>
        </x14:conditionalFormatting>
        <x14:conditionalFormatting xmlns:xm="http://schemas.microsoft.com/office/excel/2006/main">
          <x14:cfRule type="dataBar" id="{A9D08884-B0CA-4F9B-B28D-331B785BFC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T223</xm:sqref>
        </x14:conditionalFormatting>
        <x14:conditionalFormatting xmlns:xm="http://schemas.microsoft.com/office/excel/2006/main">
          <x14:cfRule type="dataBar" id="{326DB2C7-DC39-4BA0-B8C2-7E1520984D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T223</xm:sqref>
        </x14:conditionalFormatting>
        <x14:conditionalFormatting xmlns:xm="http://schemas.microsoft.com/office/excel/2006/main">
          <x14:cfRule type="dataBar" id="{1F31D329-4759-438B-9658-39C73B494F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T48:T192 T35:T37 T42:T44 T46 T224:T257 T194:T222</xm:sqref>
        </x14:conditionalFormatting>
        <x14:conditionalFormatting xmlns:xm="http://schemas.microsoft.com/office/excel/2006/main">
          <x14:cfRule type="dataBar" id="{AC7AA37E-D5C9-4E2C-8416-49A6A3610E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T193</xm:sqref>
        </x14:conditionalFormatting>
        <x14:conditionalFormatting xmlns:xm="http://schemas.microsoft.com/office/excel/2006/main">
          <x14:cfRule type="dataBar" id="{9F018294-587A-4F24-AD24-8931F6DD25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T193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92D050"/>
    <pageSetUpPr fitToPage="1"/>
  </sheetPr>
  <dimension ref="A7:K108"/>
  <sheetViews>
    <sheetView zoomScale="85" zoomScaleNormal="85" workbookViewId="0">
      <selection activeCell="F108" sqref="C7:F108"/>
    </sheetView>
  </sheetViews>
  <sheetFormatPr defaultRowHeight="15" x14ac:dyDescent="0.25"/>
  <cols>
    <col min="1" max="1" width="9.140625" style="3"/>
    <col min="2" max="2" width="9.140625" style="3" hidden="1" customWidth="1"/>
    <col min="3" max="3" width="54.85546875" style="3" customWidth="1"/>
    <col min="4" max="4" width="12.5703125" style="3" customWidth="1"/>
    <col min="5" max="5" width="14.85546875" style="3" customWidth="1"/>
    <col min="6" max="6" width="8.5703125" style="3" customWidth="1"/>
    <col min="7" max="7" width="9.140625" style="3"/>
    <col min="8" max="8" width="9.140625" style="3" customWidth="1"/>
    <col min="9" max="9" width="16.7109375" style="3" customWidth="1"/>
    <col min="10" max="10" width="49.42578125" style="3" customWidth="1"/>
  </cols>
  <sheetData>
    <row r="7" spans="1:10" ht="21" x14ac:dyDescent="0.35">
      <c r="B7" s="171"/>
      <c r="C7" s="171"/>
      <c r="D7" s="171" t="s">
        <v>21</v>
      </c>
      <c r="F7" s="171"/>
      <c r="G7" s="171"/>
      <c r="H7" s="171"/>
    </row>
    <row r="8" spans="1:10" ht="15" customHeight="1" x14ac:dyDescent="0.25">
      <c r="B8" s="281" t="s">
        <v>22</v>
      </c>
      <c r="C8" s="279" t="s">
        <v>23</v>
      </c>
      <c r="D8" s="281" t="s">
        <v>356</v>
      </c>
      <c r="E8" s="279" t="s">
        <v>24</v>
      </c>
      <c r="F8" s="281" t="s">
        <v>37</v>
      </c>
      <c r="G8" s="283" t="s">
        <v>13</v>
      </c>
      <c r="H8" s="284"/>
      <c r="I8" s="279" t="s">
        <v>39</v>
      </c>
      <c r="J8" s="279" t="s">
        <v>68</v>
      </c>
    </row>
    <row r="9" spans="1:10" ht="16.5" x14ac:dyDescent="0.25">
      <c r="B9" s="282"/>
      <c r="C9" s="280"/>
      <c r="D9" s="282"/>
      <c r="E9" s="280"/>
      <c r="F9" s="282"/>
      <c r="G9" s="172" t="s">
        <v>25</v>
      </c>
      <c r="H9" s="173" t="s">
        <v>26</v>
      </c>
      <c r="I9" s="280"/>
      <c r="J9" s="280"/>
    </row>
    <row r="10" spans="1:10" ht="18.75" hidden="1" x14ac:dyDescent="0.25">
      <c r="A10" s="174"/>
      <c r="B10" s="1"/>
      <c r="C10" s="175"/>
      <c r="D10" s="175"/>
      <c r="E10" s="1"/>
      <c r="F10" s="174"/>
      <c r="G10" s="176"/>
      <c r="H10" s="177"/>
      <c r="I10" s="178"/>
      <c r="J10" s="179"/>
    </row>
    <row r="11" spans="1:10" ht="18.75" hidden="1" x14ac:dyDescent="0.25">
      <c r="A11" s="174">
        <f>Отправочная!H4</f>
        <v>0</v>
      </c>
      <c r="B11" s="1"/>
      <c r="C11" s="180" t="s">
        <v>247</v>
      </c>
      <c r="D11" s="180"/>
      <c r="E11" s="1" t="s">
        <v>28</v>
      </c>
      <c r="F11" s="174">
        <f t="shared" ref="F11:F42" si="0">A11*$D$108</f>
        <v>0</v>
      </c>
      <c r="G11" s="176">
        <v>0.24254000000000001</v>
      </c>
      <c r="H11" s="181">
        <f>F11*G11</f>
        <v>0</v>
      </c>
      <c r="I11" s="178"/>
      <c r="J11" s="179"/>
    </row>
    <row r="12" spans="1:10" ht="18.75" hidden="1" x14ac:dyDescent="0.25">
      <c r="A12" s="174">
        <f>Отправочная!H5</f>
        <v>0</v>
      </c>
      <c r="B12" s="1"/>
      <c r="C12" s="180" t="str">
        <f>Отправочная!H2</f>
        <v>Болт М27x80 8.8</v>
      </c>
      <c r="D12" s="180"/>
      <c r="E12" s="1" t="s">
        <v>27</v>
      </c>
      <c r="F12" s="174">
        <f t="shared" si="0"/>
        <v>0</v>
      </c>
      <c r="G12" s="176">
        <v>0.53610000000000002</v>
      </c>
      <c r="H12" s="181">
        <f>F12*G12</f>
        <v>0</v>
      </c>
      <c r="I12" s="182"/>
      <c r="J12" s="179"/>
    </row>
    <row r="13" spans="1:10" ht="18.75" hidden="1" x14ac:dyDescent="0.25">
      <c r="A13" s="174"/>
      <c r="B13" s="1"/>
      <c r="C13" s="175"/>
      <c r="D13" s="175"/>
      <c r="E13" s="1"/>
      <c r="F13" s="174">
        <f t="shared" si="0"/>
        <v>0</v>
      </c>
      <c r="G13" s="176"/>
      <c r="H13" s="177"/>
      <c r="I13" s="178"/>
      <c r="J13" s="179"/>
    </row>
    <row r="14" spans="1:10" ht="18.75" hidden="1" x14ac:dyDescent="0.25">
      <c r="A14" s="174">
        <f>A12*2</f>
        <v>0</v>
      </c>
      <c r="B14" s="1"/>
      <c r="C14" s="180" t="s">
        <v>237</v>
      </c>
      <c r="D14" s="180"/>
      <c r="E14" s="1" t="s">
        <v>28</v>
      </c>
      <c r="F14" s="174">
        <f t="shared" si="0"/>
        <v>0</v>
      </c>
      <c r="G14" s="176">
        <v>0.17527999999999999</v>
      </c>
      <c r="H14" s="181">
        <f>F14*G14</f>
        <v>0</v>
      </c>
      <c r="I14" s="178"/>
      <c r="J14" s="179"/>
    </row>
    <row r="15" spans="1:10" ht="18.75" hidden="1" x14ac:dyDescent="0.25">
      <c r="A15" s="174">
        <f>A14</f>
        <v>0</v>
      </c>
      <c r="B15" s="1"/>
      <c r="C15" s="180" t="s">
        <v>241</v>
      </c>
      <c r="D15" s="180"/>
      <c r="E15" s="1" t="s">
        <v>29</v>
      </c>
      <c r="F15" s="174">
        <f t="shared" si="0"/>
        <v>0</v>
      </c>
      <c r="G15" s="176">
        <v>3.9438000000000001E-2</v>
      </c>
      <c r="H15" s="181">
        <f>F15*G15</f>
        <v>0</v>
      </c>
      <c r="I15" s="178"/>
      <c r="J15" s="179"/>
    </row>
    <row r="16" spans="1:10" ht="18.75" hidden="1" x14ac:dyDescent="0.25">
      <c r="A16" s="174"/>
      <c r="B16" s="1"/>
      <c r="C16" s="175"/>
      <c r="D16" s="175"/>
      <c r="E16" s="1"/>
      <c r="F16" s="174">
        <f t="shared" si="0"/>
        <v>0</v>
      </c>
      <c r="G16" s="176"/>
      <c r="H16" s="177"/>
      <c r="I16" s="178"/>
      <c r="J16" s="179"/>
    </row>
    <row r="17" spans="1:10" ht="18.75" hidden="1" x14ac:dyDescent="0.25">
      <c r="A17" s="174">
        <f>Отправочная!I5</f>
        <v>0</v>
      </c>
      <c r="B17" s="1"/>
      <c r="C17" s="183" t="str">
        <f>Отправочная!I2</f>
        <v>Болт М24x100 10.9 ХЛ</v>
      </c>
      <c r="D17" s="183" t="s">
        <v>365</v>
      </c>
      <c r="E17" s="1" t="s">
        <v>79</v>
      </c>
      <c r="F17" s="174">
        <f t="shared" si="0"/>
        <v>0</v>
      </c>
      <c r="G17" s="176">
        <v>0.50800000000000001</v>
      </c>
      <c r="H17" s="181">
        <f>F17*G17</f>
        <v>0</v>
      </c>
      <c r="I17" s="182" t="s">
        <v>182</v>
      </c>
      <c r="J17" s="179"/>
    </row>
    <row r="18" spans="1:10" ht="18.75" hidden="1" x14ac:dyDescent="0.25">
      <c r="A18" s="174">
        <f>A17</f>
        <v>0</v>
      </c>
      <c r="B18" s="1"/>
      <c r="C18" s="183" t="s">
        <v>221</v>
      </c>
      <c r="D18" s="183" t="s">
        <v>365</v>
      </c>
      <c r="E18" s="1" t="s">
        <v>80</v>
      </c>
      <c r="F18" s="174">
        <f t="shared" si="0"/>
        <v>0</v>
      </c>
      <c r="G18" s="176">
        <v>0.183</v>
      </c>
      <c r="H18" s="181">
        <f>F18*G18</f>
        <v>0</v>
      </c>
      <c r="I18" s="182" t="s">
        <v>182</v>
      </c>
      <c r="J18" s="179"/>
    </row>
    <row r="19" spans="1:10" ht="18.75" hidden="1" x14ac:dyDescent="0.25">
      <c r="A19" s="174">
        <f>A17*2</f>
        <v>0</v>
      </c>
      <c r="B19" s="1"/>
      <c r="C19" s="183" t="s">
        <v>181</v>
      </c>
      <c r="D19" s="183" t="s">
        <v>365</v>
      </c>
      <c r="E19" s="1" t="s">
        <v>82</v>
      </c>
      <c r="F19" s="174">
        <f t="shared" si="0"/>
        <v>0</v>
      </c>
      <c r="G19" s="176">
        <v>5.1700000000000003E-2</v>
      </c>
      <c r="H19" s="181">
        <f>F19*G19</f>
        <v>0</v>
      </c>
      <c r="I19" s="182" t="s">
        <v>182</v>
      </c>
      <c r="J19" s="179"/>
    </row>
    <row r="20" spans="1:10" ht="18.75" hidden="1" x14ac:dyDescent="0.25">
      <c r="A20" s="174"/>
      <c r="B20" s="1"/>
      <c r="C20" s="175"/>
      <c r="D20" s="175"/>
      <c r="E20" s="1"/>
      <c r="F20" s="174">
        <f t="shared" si="0"/>
        <v>0</v>
      </c>
      <c r="G20" s="176"/>
      <c r="H20" s="181"/>
      <c r="I20" s="178"/>
      <c r="J20" s="179"/>
    </row>
    <row r="21" spans="1:10" ht="18.75" hidden="1" x14ac:dyDescent="0.25">
      <c r="A21" s="174"/>
      <c r="B21" s="1"/>
      <c r="C21" s="175"/>
      <c r="D21" s="175"/>
      <c r="E21" s="1"/>
      <c r="F21" s="174">
        <f t="shared" si="0"/>
        <v>0</v>
      </c>
      <c r="G21" s="176"/>
      <c r="H21" s="181"/>
      <c r="I21" s="178"/>
      <c r="J21" s="179"/>
    </row>
    <row r="22" spans="1:10" ht="18.75" hidden="1" x14ac:dyDescent="0.25">
      <c r="A22" s="174"/>
      <c r="B22" s="1"/>
      <c r="C22" s="175"/>
      <c r="D22" s="175"/>
      <c r="E22" s="1"/>
      <c r="F22" s="174">
        <f t="shared" si="0"/>
        <v>0</v>
      </c>
      <c r="G22" s="176"/>
      <c r="H22" s="181"/>
      <c r="I22" s="178"/>
      <c r="J22" s="179"/>
    </row>
    <row r="23" spans="1:10" ht="18.75" hidden="1" x14ac:dyDescent="0.25">
      <c r="A23" s="174">
        <f>Отправочная!M5</f>
        <v>0</v>
      </c>
      <c r="B23" s="1"/>
      <c r="C23" s="183" t="str">
        <f>Отправочная!M2</f>
        <v>Болт М20x65 10.9ХЛ</v>
      </c>
      <c r="D23" s="183" t="s">
        <v>365</v>
      </c>
      <c r="E23" s="1" t="s">
        <v>79</v>
      </c>
      <c r="F23" s="174">
        <f t="shared" si="0"/>
        <v>0</v>
      </c>
      <c r="G23" s="176">
        <v>0.23499999999999999</v>
      </c>
      <c r="H23" s="181">
        <f t="shared" ref="H23:H34" si="1">F23*G23</f>
        <v>0</v>
      </c>
      <c r="I23" s="182" t="s">
        <v>182</v>
      </c>
      <c r="J23" s="179"/>
    </row>
    <row r="24" spans="1:10" ht="18.75" hidden="1" x14ac:dyDescent="0.25">
      <c r="A24" s="174">
        <f>Отправочная!N5</f>
        <v>0</v>
      </c>
      <c r="B24" s="1"/>
      <c r="C24" s="183" t="str">
        <f>Отправочная!N2</f>
        <v>Болт М20x90 10.9ХЛ</v>
      </c>
      <c r="D24" s="183" t="s">
        <v>365</v>
      </c>
      <c r="E24" s="1" t="s">
        <v>79</v>
      </c>
      <c r="F24" s="174">
        <f t="shared" si="0"/>
        <v>0</v>
      </c>
      <c r="G24" s="176">
        <v>0.29499999999999998</v>
      </c>
      <c r="H24" s="181">
        <f>F24*G24</f>
        <v>0</v>
      </c>
      <c r="I24" s="182" t="s">
        <v>182</v>
      </c>
      <c r="J24" s="179"/>
    </row>
    <row r="25" spans="1:10" ht="18.75" hidden="1" x14ac:dyDescent="0.25">
      <c r="A25" s="174">
        <f>Отправочная!O5</f>
        <v>0</v>
      </c>
      <c r="B25" s="1"/>
      <c r="C25" s="183" t="str">
        <f>Отправочная!O2</f>
        <v>Болт М20x100 10.9ХЛ</v>
      </c>
      <c r="D25" s="183" t="s">
        <v>365</v>
      </c>
      <c r="E25" s="1" t="s">
        <v>79</v>
      </c>
      <c r="F25" s="174">
        <f t="shared" si="0"/>
        <v>0</v>
      </c>
      <c r="G25" s="176">
        <v>0.31900000000000001</v>
      </c>
      <c r="H25" s="181">
        <f t="shared" si="1"/>
        <v>0</v>
      </c>
      <c r="I25" s="182" t="s">
        <v>182</v>
      </c>
      <c r="J25" s="179"/>
    </row>
    <row r="26" spans="1:10" ht="18.75" hidden="1" x14ac:dyDescent="0.25">
      <c r="A26" s="174">
        <f>Отправочная!P5</f>
        <v>0</v>
      </c>
      <c r="B26" s="1"/>
      <c r="C26" s="183" t="str">
        <f>Отправочная!P2</f>
        <v>Болт М20x110 10.9ХЛ</v>
      </c>
      <c r="D26" s="183" t="s">
        <v>365</v>
      </c>
      <c r="E26" s="1" t="s">
        <v>79</v>
      </c>
      <c r="F26" s="174">
        <f t="shared" si="0"/>
        <v>0</v>
      </c>
      <c r="G26" s="176">
        <v>0.34300000000000003</v>
      </c>
      <c r="H26" s="181">
        <f t="shared" si="1"/>
        <v>0</v>
      </c>
      <c r="I26" s="182" t="s">
        <v>182</v>
      </c>
      <c r="J26" s="179"/>
    </row>
    <row r="27" spans="1:10" ht="18.75" hidden="1" x14ac:dyDescent="0.25">
      <c r="A27" s="174">
        <f>Отправочная!Q5</f>
        <v>0</v>
      </c>
      <c r="B27" s="1"/>
      <c r="C27" s="183" t="str">
        <f>Отправочная!Q2</f>
        <v>Болт М20x120 10.9ХЛ</v>
      </c>
      <c r="D27" s="183" t="s">
        <v>365</v>
      </c>
      <c r="E27" s="1"/>
      <c r="F27" s="174">
        <f t="shared" si="0"/>
        <v>0</v>
      </c>
      <c r="G27" s="176">
        <v>0.36699999999999999</v>
      </c>
      <c r="H27" s="181">
        <f>F27*G27</f>
        <v>0</v>
      </c>
      <c r="I27" s="182" t="s">
        <v>182</v>
      </c>
      <c r="J27" s="179"/>
    </row>
    <row r="28" spans="1:10" ht="18.75" hidden="1" x14ac:dyDescent="0.25">
      <c r="A28" s="174"/>
      <c r="B28" s="1"/>
      <c r="C28" s="183"/>
      <c r="D28" s="183"/>
      <c r="E28" s="1"/>
      <c r="F28" s="174">
        <f t="shared" si="0"/>
        <v>0</v>
      </c>
      <c r="G28" s="176"/>
      <c r="H28" s="181"/>
      <c r="I28" s="179"/>
      <c r="J28" s="179"/>
    </row>
    <row r="29" spans="1:10" ht="18.75" hidden="1" x14ac:dyDescent="0.25">
      <c r="A29" s="174">
        <f>SUM(A23:A28)*1</f>
        <v>0</v>
      </c>
      <c r="B29" s="1"/>
      <c r="C29" s="183" t="s">
        <v>83</v>
      </c>
      <c r="D29" s="183"/>
      <c r="E29" s="1" t="s">
        <v>80</v>
      </c>
      <c r="F29" s="174">
        <f t="shared" si="0"/>
        <v>0</v>
      </c>
      <c r="G29" s="176">
        <v>8.8999999999999996E-2</v>
      </c>
      <c r="H29" s="181">
        <f t="shared" si="1"/>
        <v>0</v>
      </c>
      <c r="I29" s="179" t="s">
        <v>81</v>
      </c>
      <c r="J29" s="179"/>
    </row>
    <row r="30" spans="1:10" ht="18.75" hidden="1" x14ac:dyDescent="0.25">
      <c r="A30" s="174">
        <f>A29*2</f>
        <v>0</v>
      </c>
      <c r="B30" s="1"/>
      <c r="C30" s="183" t="s">
        <v>50</v>
      </c>
      <c r="D30" s="183"/>
      <c r="E30" s="1" t="s">
        <v>82</v>
      </c>
      <c r="F30" s="174">
        <f t="shared" si="0"/>
        <v>0</v>
      </c>
      <c r="G30" s="176">
        <v>3.6299999999999999E-2</v>
      </c>
      <c r="H30" s="181">
        <f t="shared" si="1"/>
        <v>0</v>
      </c>
      <c r="I30" s="179" t="s">
        <v>81</v>
      </c>
      <c r="J30" s="179"/>
    </row>
    <row r="31" spans="1:10" ht="18.75" hidden="1" x14ac:dyDescent="0.25">
      <c r="A31" s="174"/>
      <c r="B31" s="1"/>
      <c r="C31" s="175"/>
      <c r="D31" s="175"/>
      <c r="E31" s="1" t="s">
        <v>27</v>
      </c>
      <c r="F31" s="174">
        <f t="shared" si="0"/>
        <v>0</v>
      </c>
      <c r="G31" s="176"/>
      <c r="H31" s="181">
        <f t="shared" si="1"/>
        <v>0</v>
      </c>
      <c r="I31" s="178"/>
      <c r="J31" s="179"/>
    </row>
    <row r="32" spans="1:10" ht="18.75" hidden="1" x14ac:dyDescent="0.25">
      <c r="A32" s="174">
        <f>Отправочная!J5</f>
        <v>0</v>
      </c>
      <c r="B32" s="1"/>
      <c r="C32" s="180" t="str">
        <f>Отправочная!J2</f>
        <v>Болт М24-100.58</v>
      </c>
      <c r="D32" s="180"/>
      <c r="E32" s="1" t="s">
        <v>27</v>
      </c>
      <c r="F32" s="174">
        <f t="shared" si="0"/>
        <v>0</v>
      </c>
      <c r="G32" s="176">
        <v>0.47320000000000001</v>
      </c>
      <c r="H32" s="181">
        <f>F32*G32</f>
        <v>0</v>
      </c>
      <c r="I32" s="178"/>
      <c r="J32" s="179"/>
    </row>
    <row r="33" spans="1:10" ht="18.75" hidden="1" x14ac:dyDescent="0.25">
      <c r="A33" s="174">
        <f>Отправочная!K5</f>
        <v>0</v>
      </c>
      <c r="B33" s="1"/>
      <c r="C33" s="180" t="str">
        <f>Отправочная!K2</f>
        <v>Болт М24-90.88</v>
      </c>
      <c r="D33" s="180"/>
      <c r="E33" s="1" t="s">
        <v>27</v>
      </c>
      <c r="F33" s="174">
        <f t="shared" si="0"/>
        <v>0</v>
      </c>
      <c r="G33" s="176">
        <v>0.43759999999999999</v>
      </c>
      <c r="H33" s="181">
        <f t="shared" si="1"/>
        <v>0</v>
      </c>
      <c r="I33" s="178"/>
      <c r="J33" s="179"/>
    </row>
    <row r="34" spans="1:10" ht="18.75" hidden="1" x14ac:dyDescent="0.25">
      <c r="A34" s="174">
        <f>Отправочная!L5</f>
        <v>0</v>
      </c>
      <c r="B34" s="1"/>
      <c r="C34" s="180" t="str">
        <f>Отправочная!L2</f>
        <v>Болт М24-70.88</v>
      </c>
      <c r="D34" s="180"/>
      <c r="E34" s="1" t="s">
        <v>27</v>
      </c>
      <c r="F34" s="174">
        <f t="shared" si="0"/>
        <v>0</v>
      </c>
      <c r="G34" s="176">
        <v>0.36649999999999999</v>
      </c>
      <c r="H34" s="181">
        <f t="shared" si="1"/>
        <v>0</v>
      </c>
      <c r="I34" s="178"/>
      <c r="J34" s="179"/>
    </row>
    <row r="35" spans="1:10" ht="18.75" hidden="1" x14ac:dyDescent="0.25">
      <c r="A35" s="174"/>
      <c r="B35" s="1"/>
      <c r="C35" s="180"/>
      <c r="D35" s="180"/>
      <c r="E35" s="1"/>
      <c r="F35" s="174">
        <f t="shared" si="0"/>
        <v>0</v>
      </c>
      <c r="G35" s="176"/>
      <c r="H35" s="181"/>
      <c r="I35" s="178"/>
      <c r="J35" s="179"/>
    </row>
    <row r="36" spans="1:10" ht="18.75" hidden="1" x14ac:dyDescent="0.25">
      <c r="A36" s="174">
        <f>SUM(A31:A35)*1</f>
        <v>0</v>
      </c>
      <c r="B36" s="1"/>
      <c r="C36" s="180" t="s">
        <v>239</v>
      </c>
      <c r="D36" s="180"/>
      <c r="E36" s="1" t="s">
        <v>28</v>
      </c>
      <c r="F36" s="174">
        <f t="shared" si="0"/>
        <v>0</v>
      </c>
      <c r="G36" s="176">
        <v>0.12286999999999999</v>
      </c>
      <c r="H36" s="181">
        <f>F36*G36</f>
        <v>0</v>
      </c>
      <c r="I36" s="178"/>
      <c r="J36" s="179"/>
    </row>
    <row r="37" spans="1:10" ht="18.75" hidden="1" x14ac:dyDescent="0.25">
      <c r="A37" s="174"/>
      <c r="B37" s="1"/>
      <c r="C37" s="180" t="s">
        <v>240</v>
      </c>
      <c r="D37" s="180"/>
      <c r="E37" s="1" t="s">
        <v>28</v>
      </c>
      <c r="F37" s="174">
        <f t="shared" si="0"/>
        <v>0</v>
      </c>
      <c r="G37" s="176">
        <v>0.12286999999999999</v>
      </c>
      <c r="H37" s="181">
        <f>F37*G37</f>
        <v>0</v>
      </c>
      <c r="I37" s="178"/>
      <c r="J37" s="179"/>
    </row>
    <row r="38" spans="1:10" ht="18.75" hidden="1" x14ac:dyDescent="0.25">
      <c r="A38" s="174">
        <f>A39</f>
        <v>0</v>
      </c>
      <c r="B38" s="1"/>
      <c r="C38" s="180" t="s">
        <v>123</v>
      </c>
      <c r="D38" s="180"/>
      <c r="E38" s="1" t="s">
        <v>47</v>
      </c>
      <c r="F38" s="174">
        <f t="shared" si="0"/>
        <v>0</v>
      </c>
      <c r="G38" s="176">
        <f>14.33/1000</f>
        <v>1.4330000000000001E-2</v>
      </c>
      <c r="H38" s="181">
        <f>F38*G38</f>
        <v>0</v>
      </c>
      <c r="I38" s="178"/>
      <c r="J38" s="179"/>
    </row>
    <row r="39" spans="1:10" ht="18.75" hidden="1" x14ac:dyDescent="0.25">
      <c r="A39" s="174">
        <f>A36</f>
        <v>0</v>
      </c>
      <c r="B39" s="1"/>
      <c r="C39" s="180" t="s">
        <v>124</v>
      </c>
      <c r="D39" s="180"/>
      <c r="E39" s="1" t="s">
        <v>29</v>
      </c>
      <c r="F39" s="174">
        <f t="shared" si="0"/>
        <v>0</v>
      </c>
      <c r="G39" s="176">
        <v>3.1060000000000001E-2</v>
      </c>
      <c r="H39" s="181">
        <f>F39*G39</f>
        <v>0</v>
      </c>
      <c r="I39" s="178"/>
      <c r="J39" s="179"/>
    </row>
    <row r="40" spans="1:10" ht="18.75" hidden="1" x14ac:dyDescent="0.25">
      <c r="A40" s="174"/>
      <c r="B40" s="1"/>
      <c r="C40" s="180"/>
      <c r="D40" s="180"/>
      <c r="E40" s="1"/>
      <c r="F40" s="174">
        <f t="shared" si="0"/>
        <v>0</v>
      </c>
      <c r="G40" s="176"/>
      <c r="H40" s="181"/>
      <c r="I40" s="178"/>
      <c r="J40" s="179"/>
    </row>
    <row r="41" spans="1:10" ht="18.75" hidden="1" x14ac:dyDescent="0.25">
      <c r="A41" s="174">
        <f>Отправочная!R5</f>
        <v>0</v>
      </c>
      <c r="B41" s="1"/>
      <c r="C41" s="180" t="str">
        <f>Отправочная!R2</f>
        <v>Болт М20х150.88</v>
      </c>
      <c r="D41" s="180"/>
      <c r="E41" s="1" t="s">
        <v>27</v>
      </c>
      <c r="F41" s="174">
        <f t="shared" si="0"/>
        <v>0</v>
      </c>
      <c r="G41" s="176">
        <v>0.43809999999999999</v>
      </c>
      <c r="H41" s="181">
        <f t="shared" ref="H41:H53" si="2">F41*G41</f>
        <v>0</v>
      </c>
      <c r="I41" s="178"/>
      <c r="J41" s="179"/>
    </row>
    <row r="42" spans="1:10" ht="18.75" hidden="1" x14ac:dyDescent="0.25">
      <c r="A42" s="174">
        <f>Отправочная!S5</f>
        <v>0</v>
      </c>
      <c r="B42" s="1"/>
      <c r="C42" s="180" t="str">
        <f>Отправочная!S2</f>
        <v>Болт М20х110.88</v>
      </c>
      <c r="D42" s="180"/>
      <c r="E42" s="1" t="s">
        <v>27</v>
      </c>
      <c r="F42" s="174">
        <f t="shared" si="0"/>
        <v>0</v>
      </c>
      <c r="G42" s="176">
        <v>0.33939999999999998</v>
      </c>
      <c r="H42" s="181">
        <f t="shared" si="2"/>
        <v>0</v>
      </c>
      <c r="I42" s="178"/>
      <c r="J42" s="179"/>
    </row>
    <row r="43" spans="1:10" ht="18.75" hidden="1" x14ac:dyDescent="0.25">
      <c r="A43" s="174">
        <f>Отправочная!S6</f>
        <v>0</v>
      </c>
      <c r="B43" s="1"/>
      <c r="C43" s="180" t="str">
        <f>Отправочная!T2</f>
        <v>Болт М20х100.88</v>
      </c>
      <c r="D43" s="180"/>
      <c r="E43" s="1" t="s">
        <v>27</v>
      </c>
      <c r="F43" s="174">
        <f t="shared" ref="F43:F74" si="3">A43*$D$108</f>
        <v>0</v>
      </c>
      <c r="G43" s="176">
        <v>0.31469999999999998</v>
      </c>
      <c r="H43" s="181">
        <f t="shared" si="2"/>
        <v>0</v>
      </c>
      <c r="I43" s="178"/>
      <c r="J43" s="179"/>
    </row>
    <row r="44" spans="1:10" ht="18.75" hidden="1" x14ac:dyDescent="0.25">
      <c r="A44" s="174">
        <f>Отправочная!U5</f>
        <v>0</v>
      </c>
      <c r="B44" s="1"/>
      <c r="C44" s="180" t="str">
        <f>Отправочная!U2</f>
        <v xml:space="preserve">Болт М20х90 </v>
      </c>
      <c r="D44" s="180">
        <v>8.8000000000000007</v>
      </c>
      <c r="E44" s="1" t="s">
        <v>27</v>
      </c>
      <c r="F44" s="174">
        <f t="shared" si="3"/>
        <v>0</v>
      </c>
      <c r="G44" s="176">
        <v>0.29010000000000002</v>
      </c>
      <c r="H44" s="181">
        <f t="shared" si="2"/>
        <v>0</v>
      </c>
      <c r="I44" s="178"/>
      <c r="J44" s="179"/>
    </row>
    <row r="45" spans="1:10" ht="18.75" hidden="1" x14ac:dyDescent="0.25">
      <c r="A45" s="174">
        <f>Отправочная!V5</f>
        <v>0</v>
      </c>
      <c r="B45" s="1"/>
      <c r="C45" s="180" t="str">
        <f>Отправочная!V2</f>
        <v xml:space="preserve">Болт М20х80 </v>
      </c>
      <c r="D45" s="180">
        <v>8.8000000000000007</v>
      </c>
      <c r="E45" s="1" t="s">
        <v>27</v>
      </c>
      <c r="F45" s="174">
        <f t="shared" si="3"/>
        <v>0</v>
      </c>
      <c r="G45" s="176">
        <v>0.26500000000000001</v>
      </c>
      <c r="H45" s="181">
        <f t="shared" si="2"/>
        <v>0</v>
      </c>
      <c r="I45" s="179"/>
      <c r="J45" s="179"/>
    </row>
    <row r="46" spans="1:10" ht="18.75" hidden="1" x14ac:dyDescent="0.25">
      <c r="A46" s="174">
        <f>Отправочная!W5</f>
        <v>0</v>
      </c>
      <c r="B46" s="1"/>
      <c r="C46" s="180" t="str">
        <f>Отправочная!W2</f>
        <v xml:space="preserve">Болт М20х75 </v>
      </c>
      <c r="D46" s="180">
        <v>8.8000000000000007</v>
      </c>
      <c r="E46" s="1" t="s">
        <v>27</v>
      </c>
      <c r="F46" s="174">
        <f t="shared" si="3"/>
        <v>0</v>
      </c>
      <c r="G46" s="176">
        <v>0.253</v>
      </c>
      <c r="H46" s="181">
        <f t="shared" si="2"/>
        <v>0</v>
      </c>
      <c r="I46" s="179"/>
      <c r="J46" s="179"/>
    </row>
    <row r="47" spans="1:10" ht="18.75" hidden="1" x14ac:dyDescent="0.25">
      <c r="A47" s="174">
        <f>Отправочная!X5</f>
        <v>0</v>
      </c>
      <c r="B47" s="1"/>
      <c r="C47" s="180" t="str">
        <f>Отправочная!X2</f>
        <v xml:space="preserve">Болт М20х70 </v>
      </c>
      <c r="D47" s="180">
        <v>8.8000000000000007</v>
      </c>
      <c r="E47" s="1" t="s">
        <v>27</v>
      </c>
      <c r="F47" s="174">
        <f t="shared" si="3"/>
        <v>0</v>
      </c>
      <c r="G47" s="176">
        <v>0.2407</v>
      </c>
      <c r="H47" s="181">
        <f t="shared" si="2"/>
        <v>0</v>
      </c>
      <c r="I47" s="179"/>
      <c r="J47" s="179"/>
    </row>
    <row r="48" spans="1:10" ht="18.75" hidden="1" x14ac:dyDescent="0.25">
      <c r="A48" s="174">
        <f>Отправочная!Y5</f>
        <v>0</v>
      </c>
      <c r="B48" s="1"/>
      <c r="C48" s="180" t="str">
        <f>Отправочная!Y2</f>
        <v xml:space="preserve">Болт М20х65 </v>
      </c>
      <c r="D48" s="180">
        <v>8.8000000000000007</v>
      </c>
      <c r="E48" s="1" t="s">
        <v>27</v>
      </c>
      <c r="F48" s="174">
        <f t="shared" si="3"/>
        <v>0</v>
      </c>
      <c r="G48" s="176">
        <v>0.22839999999999999</v>
      </c>
      <c r="H48" s="181">
        <f t="shared" si="2"/>
        <v>0</v>
      </c>
      <c r="I48" s="179"/>
      <c r="J48" s="179"/>
    </row>
    <row r="49" spans="1:11" ht="18.75" hidden="1" x14ac:dyDescent="0.25">
      <c r="A49" s="174">
        <f>Отправочная!Z5</f>
        <v>0</v>
      </c>
      <c r="B49" s="1"/>
      <c r="C49" s="180" t="str">
        <f>Отправочная!Z2</f>
        <v>Болт М20х60.88</v>
      </c>
      <c r="D49" s="180">
        <v>8.8000000000000007</v>
      </c>
      <c r="E49" s="1" t="s">
        <v>27</v>
      </c>
      <c r="F49" s="174">
        <f t="shared" si="3"/>
        <v>0</v>
      </c>
      <c r="G49" s="176">
        <v>0.216</v>
      </c>
      <c r="H49" s="181">
        <f t="shared" si="2"/>
        <v>0</v>
      </c>
      <c r="I49" s="179"/>
      <c r="J49" s="179"/>
    </row>
    <row r="50" spans="1:11" ht="18.75" hidden="1" x14ac:dyDescent="0.25">
      <c r="A50" s="174">
        <f>Отправочная!AI5</f>
        <v>0</v>
      </c>
      <c r="B50" s="1"/>
      <c r="C50" s="180" t="str">
        <f>Отправочная!AI2</f>
        <v>Шпилька М20х250</v>
      </c>
      <c r="D50" s="180"/>
      <c r="E50" s="1"/>
      <c r="F50" s="174">
        <f t="shared" si="3"/>
        <v>0</v>
      </c>
      <c r="G50" s="176">
        <v>1.998</v>
      </c>
      <c r="H50" s="181">
        <f t="shared" si="2"/>
        <v>0</v>
      </c>
      <c r="I50" s="179"/>
      <c r="J50" s="179"/>
    </row>
    <row r="51" spans="1:11" ht="18.75" hidden="1" x14ac:dyDescent="0.25">
      <c r="A51" s="174">
        <f>SUM(A41:A49)*2+A41*2</f>
        <v>0</v>
      </c>
      <c r="B51" s="1"/>
      <c r="C51" s="180" t="s">
        <v>362</v>
      </c>
      <c r="D51" s="180">
        <v>8.8000000000000007</v>
      </c>
      <c r="E51" s="1" t="s">
        <v>28</v>
      </c>
      <c r="F51" s="174">
        <f t="shared" si="3"/>
        <v>0</v>
      </c>
      <c r="G51" s="176">
        <v>7.1440000000000003E-2</v>
      </c>
      <c r="H51" s="181">
        <f t="shared" si="2"/>
        <v>0</v>
      </c>
      <c r="I51" s="179"/>
      <c r="J51" s="179"/>
    </row>
    <row r="52" spans="1:11" ht="18.75" hidden="1" x14ac:dyDescent="0.25">
      <c r="A52" s="174"/>
      <c r="B52" s="1"/>
      <c r="C52" s="180" t="s">
        <v>49</v>
      </c>
      <c r="D52" s="180"/>
      <c r="E52" s="1" t="s">
        <v>47</v>
      </c>
      <c r="F52" s="174">
        <f t="shared" si="3"/>
        <v>0</v>
      </c>
      <c r="G52" s="176">
        <f>14.33/1000</f>
        <v>1.4330000000000001E-2</v>
      </c>
      <c r="H52" s="181">
        <f t="shared" si="2"/>
        <v>0</v>
      </c>
      <c r="I52" s="179"/>
      <c r="J52" s="179"/>
    </row>
    <row r="53" spans="1:11" ht="18.75" hidden="1" x14ac:dyDescent="0.25">
      <c r="A53" s="174">
        <f>A51</f>
        <v>0</v>
      </c>
      <c r="B53" s="1"/>
      <c r="C53" s="180" t="s">
        <v>50</v>
      </c>
      <c r="D53" s="180">
        <v>8.8000000000000007</v>
      </c>
      <c r="E53" s="1" t="s">
        <v>29</v>
      </c>
      <c r="F53" s="174">
        <f t="shared" si="3"/>
        <v>0</v>
      </c>
      <c r="G53" s="176">
        <v>1.6361000000000001E-2</v>
      </c>
      <c r="H53" s="181">
        <f t="shared" si="2"/>
        <v>0</v>
      </c>
      <c r="I53" s="179"/>
      <c r="J53" s="179"/>
    </row>
    <row r="54" spans="1:11" ht="18.75" hidden="1" x14ac:dyDescent="0.25">
      <c r="A54" s="174"/>
      <c r="B54" s="1"/>
      <c r="C54" s="180"/>
      <c r="D54" s="180"/>
      <c r="E54" s="1"/>
      <c r="F54" s="174">
        <f t="shared" si="3"/>
        <v>0</v>
      </c>
      <c r="G54" s="176"/>
      <c r="H54" s="181"/>
      <c r="I54" s="179"/>
      <c r="J54" s="179"/>
    </row>
    <row r="55" spans="1:11" ht="18.75" hidden="1" x14ac:dyDescent="0.25">
      <c r="A55" s="174">
        <f>Отправочная!AA5</f>
        <v>0</v>
      </c>
      <c r="B55" s="1"/>
      <c r="C55" s="180" t="str">
        <f>Отправочная!AA2</f>
        <v>Болт М16х55</v>
      </c>
      <c r="D55" s="1">
        <v>5.8</v>
      </c>
      <c r="E55" s="1" t="s">
        <v>27</v>
      </c>
      <c r="F55" s="174">
        <f t="shared" si="3"/>
        <v>0</v>
      </c>
      <c r="G55" s="176">
        <v>0.1215</v>
      </c>
      <c r="H55" s="181">
        <f>F55*G55</f>
        <v>0</v>
      </c>
      <c r="I55" s="179"/>
      <c r="J55" s="179"/>
    </row>
    <row r="56" spans="1:11" ht="18.75" hidden="1" x14ac:dyDescent="0.25">
      <c r="A56" s="174">
        <f>Отправочная!AB5</f>
        <v>0</v>
      </c>
      <c r="B56" s="1"/>
      <c r="C56" s="180" t="str">
        <f>Отправочная!AB2</f>
        <v>Болт М16х60</v>
      </c>
      <c r="D56" s="1">
        <v>5.8</v>
      </c>
      <c r="E56" s="1" t="s">
        <v>27</v>
      </c>
      <c r="F56" s="174">
        <f t="shared" si="3"/>
        <v>0</v>
      </c>
      <c r="G56" s="176">
        <v>0.12939999999999999</v>
      </c>
      <c r="H56" s="181">
        <f>F56*G56</f>
        <v>0</v>
      </c>
      <c r="I56" s="179"/>
      <c r="J56" s="179"/>
    </row>
    <row r="57" spans="1:11" ht="18.75" hidden="1" x14ac:dyDescent="0.25">
      <c r="A57" s="174">
        <f>Отправочная!AC5</f>
        <v>0</v>
      </c>
      <c r="B57" s="1"/>
      <c r="C57" s="180" t="str">
        <f>Отправочная!AC2</f>
        <v>Болт М16х70</v>
      </c>
      <c r="D57" s="1">
        <v>5.8</v>
      </c>
      <c r="E57" s="1" t="s">
        <v>27</v>
      </c>
      <c r="F57" s="174">
        <f t="shared" si="3"/>
        <v>0</v>
      </c>
      <c r="G57" s="176">
        <v>0.1452</v>
      </c>
      <c r="H57" s="181">
        <f>F57*G57</f>
        <v>0</v>
      </c>
      <c r="I57" s="179"/>
      <c r="J57" s="179"/>
    </row>
    <row r="58" spans="1:11" ht="18.75" hidden="1" x14ac:dyDescent="0.25">
      <c r="A58" s="174">
        <f>Отправочная!AD5</f>
        <v>0</v>
      </c>
      <c r="B58" s="1"/>
      <c r="C58" s="180" t="str">
        <f>Отправочная!AD2</f>
        <v>Болт М16х75</v>
      </c>
      <c r="D58" s="1">
        <v>5.8</v>
      </c>
      <c r="E58" s="1" t="s">
        <v>27</v>
      </c>
      <c r="F58" s="174">
        <f t="shared" si="3"/>
        <v>0</v>
      </c>
      <c r="G58" s="176">
        <v>0.15310000000000001</v>
      </c>
      <c r="H58" s="181">
        <f>F58*G58</f>
        <v>0</v>
      </c>
      <c r="I58" s="179"/>
      <c r="J58" s="179"/>
    </row>
    <row r="59" spans="1:11" ht="18.75" hidden="1" x14ac:dyDescent="0.25">
      <c r="A59" s="174">
        <f>Отправочная!AE5</f>
        <v>0</v>
      </c>
      <c r="B59" s="1"/>
      <c r="C59" s="180" t="str">
        <f>Отправочная!AE2</f>
        <v>Болт М16х80</v>
      </c>
      <c r="D59" s="1">
        <v>5.8</v>
      </c>
      <c r="E59" s="1" t="s">
        <v>27</v>
      </c>
      <c r="F59" s="174">
        <f t="shared" si="3"/>
        <v>0</v>
      </c>
      <c r="G59" s="176">
        <v>0.161</v>
      </c>
      <c r="H59" s="181">
        <f t="shared" ref="H59:H76" si="4">F59*G59</f>
        <v>0</v>
      </c>
      <c r="I59" s="179"/>
      <c r="J59" s="179"/>
    </row>
    <row r="60" spans="1:11" ht="18.75" hidden="1" x14ac:dyDescent="0.25">
      <c r="A60" s="174">
        <f>Отправочная!AF5</f>
        <v>0</v>
      </c>
      <c r="B60" s="1"/>
      <c r="C60" s="180" t="str">
        <f>Отправочная!AF2</f>
        <v>Болт М16х100</v>
      </c>
      <c r="D60" s="1">
        <v>5.8</v>
      </c>
      <c r="E60" s="1" t="s">
        <v>27</v>
      </c>
      <c r="F60" s="174">
        <f t="shared" si="3"/>
        <v>0</v>
      </c>
      <c r="G60" s="176">
        <v>0.19259999999999999</v>
      </c>
      <c r="H60" s="181">
        <f t="shared" si="4"/>
        <v>0</v>
      </c>
      <c r="I60" s="179"/>
      <c r="J60" s="179"/>
    </row>
    <row r="61" spans="1:11" ht="18.75" hidden="1" x14ac:dyDescent="0.25">
      <c r="A61" s="174">
        <f>Отправочная!AH5</f>
        <v>0</v>
      </c>
      <c r="B61" s="1"/>
      <c r="C61" s="180" t="str">
        <f>Отправочная!AH2</f>
        <v>Болт М16х160</v>
      </c>
      <c r="D61" s="1">
        <v>5.8</v>
      </c>
      <c r="E61" s="162" t="s">
        <v>27</v>
      </c>
      <c r="F61" s="174">
        <f t="shared" si="3"/>
        <v>0</v>
      </c>
      <c r="G61" s="176">
        <v>0.28749999999999998</v>
      </c>
      <c r="H61" s="181">
        <f t="shared" si="4"/>
        <v>0</v>
      </c>
      <c r="I61" s="179"/>
      <c r="J61" s="179"/>
    </row>
    <row r="62" spans="1:11" ht="18.75" hidden="1" x14ac:dyDescent="0.25">
      <c r="A62" s="174">
        <f>Отправочная!AJ5</f>
        <v>0</v>
      </c>
      <c r="B62" s="1"/>
      <c r="C62" s="180" t="str">
        <f>Отправочная!AJ2</f>
        <v>Шпилька М16х1100</v>
      </c>
      <c r="D62" s="1"/>
      <c r="E62" s="1"/>
      <c r="F62" s="174">
        <f t="shared" si="3"/>
        <v>0</v>
      </c>
      <c r="G62" s="176">
        <f>1.54*1.1</f>
        <v>1.6940000000000002</v>
      </c>
      <c r="H62" s="181">
        <f t="shared" si="4"/>
        <v>0</v>
      </c>
      <c r="I62" s="179"/>
      <c r="J62" s="179"/>
      <c r="K62" s="53"/>
    </row>
    <row r="63" spans="1:11" ht="18.75" hidden="1" x14ac:dyDescent="0.25">
      <c r="A63" s="174">
        <f>Отправочная!AK5</f>
        <v>0</v>
      </c>
      <c r="B63" s="1"/>
      <c r="C63" s="180" t="str">
        <f>Отправочная!AK2</f>
        <v>Шпилька М16х900</v>
      </c>
      <c r="D63" s="1"/>
      <c r="E63" s="1"/>
      <c r="F63" s="174">
        <f t="shared" si="3"/>
        <v>0</v>
      </c>
      <c r="G63" s="176">
        <f>1.54*0.9</f>
        <v>1.3860000000000001</v>
      </c>
      <c r="H63" s="181">
        <f t="shared" si="4"/>
        <v>0</v>
      </c>
      <c r="I63" s="179"/>
      <c r="J63" s="179"/>
      <c r="K63" s="53"/>
    </row>
    <row r="64" spans="1:11" ht="18.75" hidden="1" x14ac:dyDescent="0.25">
      <c r="A64" s="174">
        <f>Отправочная!AL5</f>
        <v>0</v>
      </c>
      <c r="B64" s="1"/>
      <c r="C64" s="180" t="str">
        <f>Отправочная!AL2</f>
        <v>Шпилька М16х700</v>
      </c>
      <c r="D64" s="1"/>
      <c r="E64" s="1"/>
      <c r="F64" s="174">
        <f t="shared" si="3"/>
        <v>0</v>
      </c>
      <c r="G64" s="176">
        <f>1.54*0.7</f>
        <v>1.0779999999999998</v>
      </c>
      <c r="H64" s="181">
        <f t="shared" si="4"/>
        <v>0</v>
      </c>
      <c r="I64" s="179"/>
      <c r="J64" s="179"/>
      <c r="K64" s="53"/>
    </row>
    <row r="65" spans="1:11" ht="18.75" hidden="1" x14ac:dyDescent="0.25">
      <c r="A65" s="174">
        <f>Отправочная!AM5</f>
        <v>0</v>
      </c>
      <c r="B65" s="1"/>
      <c r="C65" s="180" t="str">
        <f>Отправочная!AM2</f>
        <v>Шпилька М16х350</v>
      </c>
      <c r="D65" s="1"/>
      <c r="E65" s="1"/>
      <c r="F65" s="174">
        <f t="shared" si="3"/>
        <v>0</v>
      </c>
      <c r="G65" s="176">
        <f>1.54*0.35</f>
        <v>0.53899999999999992</v>
      </c>
      <c r="H65" s="181">
        <f t="shared" si="4"/>
        <v>0</v>
      </c>
      <c r="I65" s="179"/>
      <c r="J65" s="179"/>
      <c r="K65" s="53"/>
    </row>
    <row r="66" spans="1:11" ht="18.75" hidden="1" x14ac:dyDescent="0.25">
      <c r="A66" s="174"/>
      <c r="B66" s="1"/>
      <c r="C66" s="180"/>
      <c r="D66" s="1"/>
      <c r="E66" s="1"/>
      <c r="F66" s="174">
        <f t="shared" si="3"/>
        <v>0</v>
      </c>
      <c r="G66" s="176">
        <f>1.54*0.25</f>
        <v>0.38500000000000001</v>
      </c>
      <c r="H66" s="181">
        <f t="shared" si="4"/>
        <v>0</v>
      </c>
      <c r="I66" s="179"/>
      <c r="J66" s="179"/>
      <c r="K66" s="53"/>
    </row>
    <row r="67" spans="1:11" ht="18.75" hidden="1" x14ac:dyDescent="0.25">
      <c r="A67" s="174"/>
      <c r="B67" s="1"/>
      <c r="C67" s="180"/>
      <c r="D67" s="1"/>
      <c r="E67" s="1"/>
      <c r="F67" s="174">
        <f t="shared" si="3"/>
        <v>0</v>
      </c>
      <c r="G67" s="176">
        <f>1.54*0.25</f>
        <v>0.38500000000000001</v>
      </c>
      <c r="H67" s="181">
        <f t="shared" si="4"/>
        <v>0</v>
      </c>
      <c r="I67" s="179"/>
      <c r="J67" s="179"/>
      <c r="K67" s="53"/>
    </row>
    <row r="68" spans="1:11" ht="18.75" hidden="1" x14ac:dyDescent="0.25">
      <c r="A68" s="174">
        <f>SUM(A55:A61)*1+SUM(A62:A67)*4</f>
        <v>0</v>
      </c>
      <c r="B68" s="1"/>
      <c r="C68" s="180" t="s">
        <v>257</v>
      </c>
      <c r="D68" s="1">
        <v>5.8</v>
      </c>
      <c r="E68" s="1" t="s">
        <v>28</v>
      </c>
      <c r="F68" s="174">
        <f t="shared" si="3"/>
        <v>0</v>
      </c>
      <c r="G68" s="176">
        <v>3.7609999999999998E-2</v>
      </c>
      <c r="H68" s="181">
        <f t="shared" si="4"/>
        <v>0</v>
      </c>
      <c r="I68" s="179"/>
      <c r="J68" s="179"/>
      <c r="K68" s="53"/>
    </row>
    <row r="69" spans="1:11" ht="18.75" hidden="1" x14ac:dyDescent="0.25">
      <c r="A69" s="174">
        <f>A70</f>
        <v>0</v>
      </c>
      <c r="B69" s="1"/>
      <c r="C69" s="180" t="s">
        <v>46</v>
      </c>
      <c r="D69" s="1"/>
      <c r="E69" s="1" t="s">
        <v>47</v>
      </c>
      <c r="F69" s="174">
        <f t="shared" si="3"/>
        <v>0</v>
      </c>
      <c r="G69" s="176">
        <f>0.007507</f>
        <v>7.5069999999999998E-3</v>
      </c>
      <c r="H69" s="181">
        <f t="shared" si="4"/>
        <v>0</v>
      </c>
      <c r="I69" s="179"/>
      <c r="J69" s="179"/>
      <c r="K69" s="53"/>
    </row>
    <row r="70" spans="1:11" ht="18.75" hidden="1" x14ac:dyDescent="0.25">
      <c r="A70" s="174">
        <f>A68</f>
        <v>0</v>
      </c>
      <c r="B70" s="1"/>
      <c r="C70" s="180" t="s">
        <v>44</v>
      </c>
      <c r="D70" s="1">
        <v>5.8</v>
      </c>
      <c r="E70" s="1" t="s">
        <v>29</v>
      </c>
      <c r="F70" s="174">
        <f t="shared" si="3"/>
        <v>0</v>
      </c>
      <c r="G70" s="176">
        <v>1.0976E-2</v>
      </c>
      <c r="H70" s="181">
        <f t="shared" si="4"/>
        <v>0</v>
      </c>
      <c r="I70" s="179"/>
      <c r="J70" s="179"/>
      <c r="K70" s="53"/>
    </row>
    <row r="71" spans="1:11" ht="18.75" hidden="1" x14ac:dyDescent="0.25">
      <c r="A71" s="174"/>
      <c r="B71" s="1"/>
      <c r="C71" s="179"/>
      <c r="D71" s="179"/>
      <c r="E71" s="179"/>
      <c r="F71" s="174">
        <f t="shared" si="3"/>
        <v>0</v>
      </c>
      <c r="G71" s="176"/>
      <c r="H71" s="181">
        <f t="shared" si="4"/>
        <v>0</v>
      </c>
      <c r="I71" s="179"/>
      <c r="J71" s="179"/>
      <c r="K71" s="53"/>
    </row>
    <row r="72" spans="1:11" ht="18.75" hidden="1" x14ac:dyDescent="0.25">
      <c r="A72" s="174"/>
      <c r="B72" s="179"/>
      <c r="C72" s="179"/>
      <c r="D72" s="179"/>
      <c r="E72" s="179"/>
      <c r="F72" s="174">
        <f t="shared" si="3"/>
        <v>0</v>
      </c>
      <c r="G72" s="176"/>
      <c r="H72" s="181">
        <f t="shared" si="4"/>
        <v>0</v>
      </c>
      <c r="I72" s="179"/>
      <c r="J72" s="179"/>
      <c r="K72" s="53"/>
    </row>
    <row r="73" spans="1:11" ht="18.75" hidden="1" x14ac:dyDescent="0.25">
      <c r="A73" s="174">
        <f>Отправочная!AN5</f>
        <v>0</v>
      </c>
      <c r="B73" s="179"/>
      <c r="C73" s="180" t="str">
        <f>Отправочная!AN2</f>
        <v>Шпилька М14х280</v>
      </c>
      <c r="D73" s="184"/>
      <c r="E73" s="185"/>
      <c r="F73" s="174">
        <f t="shared" si="3"/>
        <v>0</v>
      </c>
      <c r="G73" s="176">
        <f>0.99*0.28</f>
        <v>0.2772</v>
      </c>
      <c r="H73" s="181">
        <f t="shared" si="4"/>
        <v>0</v>
      </c>
      <c r="I73" s="179"/>
      <c r="J73" s="179"/>
      <c r="K73" s="53"/>
    </row>
    <row r="74" spans="1:11" ht="18.75" hidden="1" x14ac:dyDescent="0.25">
      <c r="A74" s="174">
        <f>Отправочная!AO5</f>
        <v>0</v>
      </c>
      <c r="B74" s="179"/>
      <c r="C74" s="180" t="str">
        <f>Отправочная!AO2</f>
        <v>Шпилька М14х220</v>
      </c>
      <c r="D74" s="184"/>
      <c r="E74" s="185"/>
      <c r="F74" s="174">
        <f t="shared" si="3"/>
        <v>0</v>
      </c>
      <c r="G74" s="176">
        <f>0.99*0.22</f>
        <v>0.21779999999999999</v>
      </c>
      <c r="H74" s="181">
        <f t="shared" si="4"/>
        <v>0</v>
      </c>
      <c r="I74" s="179"/>
      <c r="J74" s="179"/>
      <c r="K74" s="53"/>
    </row>
    <row r="75" spans="1:11" ht="18.75" hidden="1" x14ac:dyDescent="0.25">
      <c r="A75" s="174"/>
      <c r="B75" s="179"/>
      <c r="C75" s="180"/>
      <c r="D75" s="184"/>
      <c r="E75" s="185"/>
      <c r="F75" s="174">
        <f t="shared" ref="F75:F100" si="5">A75*$D$108</f>
        <v>0</v>
      </c>
      <c r="G75" s="176"/>
      <c r="H75" s="181">
        <f t="shared" si="4"/>
        <v>0</v>
      </c>
      <c r="I75" s="179"/>
      <c r="J75" s="179"/>
      <c r="K75" s="53"/>
    </row>
    <row r="76" spans="1:11" ht="18.75" hidden="1" x14ac:dyDescent="0.25">
      <c r="A76" s="174"/>
      <c r="B76" s="179"/>
      <c r="C76" s="180"/>
      <c r="D76" s="184"/>
      <c r="E76" s="185"/>
      <c r="F76" s="174">
        <f t="shared" si="5"/>
        <v>0</v>
      </c>
      <c r="G76" s="176"/>
      <c r="H76" s="181">
        <f t="shared" si="4"/>
        <v>0</v>
      </c>
      <c r="I76" s="179"/>
      <c r="J76" s="179"/>
      <c r="K76" s="53"/>
    </row>
    <row r="77" spans="1:11" ht="18.75" hidden="1" x14ac:dyDescent="0.25">
      <c r="A77" s="174">
        <f>SUM(A73:A75)*4</f>
        <v>0</v>
      </c>
      <c r="B77" s="1"/>
      <c r="C77" s="180" t="s">
        <v>332</v>
      </c>
      <c r="D77" s="180"/>
      <c r="E77" s="1" t="s">
        <v>28</v>
      </c>
      <c r="F77" s="174">
        <f t="shared" si="5"/>
        <v>0</v>
      </c>
      <c r="G77" s="176">
        <v>2.5999999999999999E-2</v>
      </c>
      <c r="H77" s="181">
        <f>F77*G77</f>
        <v>0</v>
      </c>
      <c r="I77" s="179"/>
      <c r="J77" s="179"/>
      <c r="K77" s="53"/>
    </row>
    <row r="78" spans="1:11" ht="18.75" hidden="1" x14ac:dyDescent="0.25">
      <c r="A78" s="174"/>
      <c r="B78" s="1"/>
      <c r="C78" s="180" t="s">
        <v>333</v>
      </c>
      <c r="D78" s="180"/>
      <c r="E78" s="1" t="s">
        <v>47</v>
      </c>
      <c r="F78" s="174">
        <f t="shared" si="5"/>
        <v>0</v>
      </c>
      <c r="G78" s="176">
        <v>4.7999999999999996E-3</v>
      </c>
      <c r="H78" s="181">
        <f>F78*G78</f>
        <v>0</v>
      </c>
      <c r="I78" s="179"/>
      <c r="J78" s="179"/>
      <c r="K78" s="53"/>
    </row>
    <row r="79" spans="1:11" ht="18.75" hidden="1" x14ac:dyDescent="0.25">
      <c r="A79" s="174">
        <f>A77/2</f>
        <v>0</v>
      </c>
      <c r="B79" s="1"/>
      <c r="C79" s="180" t="s">
        <v>334</v>
      </c>
      <c r="D79" s="180"/>
      <c r="E79" s="1" t="s">
        <v>29</v>
      </c>
      <c r="F79" s="174">
        <f t="shared" si="5"/>
        <v>0</v>
      </c>
      <c r="G79" s="176">
        <v>8.3770000000000008E-3</v>
      </c>
      <c r="H79" s="181">
        <f>F79*G79</f>
        <v>0</v>
      </c>
      <c r="I79" s="179"/>
      <c r="J79" s="179"/>
      <c r="K79" s="53"/>
    </row>
    <row r="80" spans="1:11" ht="18.75" hidden="1" x14ac:dyDescent="0.25">
      <c r="A80" s="174"/>
      <c r="B80" s="179"/>
      <c r="C80" s="179"/>
      <c r="D80" s="185"/>
      <c r="E80" s="185"/>
      <c r="F80" s="174">
        <f t="shared" si="5"/>
        <v>0</v>
      </c>
      <c r="G80" s="179"/>
      <c r="H80" s="186"/>
      <c r="I80" s="179"/>
      <c r="J80" s="179"/>
      <c r="K80" s="53"/>
    </row>
    <row r="81" spans="1:11" ht="18.75" hidden="1" x14ac:dyDescent="0.25">
      <c r="A81" s="174">
        <f>Отправочная!AP5</f>
        <v>0</v>
      </c>
      <c r="B81" s="1"/>
      <c r="C81" s="180" t="str">
        <f>Отправочная!AP2</f>
        <v>Болт М12х50</v>
      </c>
      <c r="D81" s="184"/>
      <c r="E81" s="162" t="s">
        <v>27</v>
      </c>
      <c r="F81" s="174">
        <f t="shared" si="5"/>
        <v>0</v>
      </c>
      <c r="G81" s="176">
        <v>5.8999999999999997E-2</v>
      </c>
      <c r="H81" s="181">
        <f>F81*G81</f>
        <v>0</v>
      </c>
      <c r="I81" s="179"/>
      <c r="J81" s="179"/>
      <c r="K81" s="53"/>
    </row>
    <row r="82" spans="1:11" ht="18.75" hidden="1" x14ac:dyDescent="0.25">
      <c r="A82" s="174">
        <f>Отправочная!AQ5</f>
        <v>0</v>
      </c>
      <c r="B82" s="1"/>
      <c r="C82" s="180" t="str">
        <f>Отправочная!AQ2</f>
        <v>Болт М12х45</v>
      </c>
      <c r="D82" s="184"/>
      <c r="E82" s="162" t="s">
        <v>27</v>
      </c>
      <c r="F82" s="174">
        <f t="shared" si="5"/>
        <v>0</v>
      </c>
      <c r="G82" s="176">
        <v>5.4199999999999998E-2</v>
      </c>
      <c r="H82" s="181">
        <f>A82*G82</f>
        <v>0</v>
      </c>
      <c r="I82" s="179"/>
      <c r="J82" s="179"/>
      <c r="K82" s="53"/>
    </row>
    <row r="83" spans="1:11" ht="18.75" hidden="1" x14ac:dyDescent="0.25">
      <c r="A83" s="174">
        <f>Отправочная!AR5</f>
        <v>0</v>
      </c>
      <c r="B83" s="179"/>
      <c r="C83" s="180" t="str">
        <f>Отправочная!AR2</f>
        <v>Шпилька М12х300</v>
      </c>
      <c r="D83" s="180"/>
      <c r="E83" s="179"/>
      <c r="F83" s="174">
        <f t="shared" si="5"/>
        <v>0</v>
      </c>
      <c r="G83" s="176">
        <f>0.89*0.3</f>
        <v>0.26700000000000002</v>
      </c>
      <c r="H83" s="181">
        <f>F83*G83</f>
        <v>0</v>
      </c>
      <c r="I83" s="179"/>
      <c r="J83" s="179"/>
      <c r="K83" s="53"/>
    </row>
    <row r="84" spans="1:11" ht="18.75" hidden="1" x14ac:dyDescent="0.25">
      <c r="A84" s="174"/>
      <c r="B84" s="179"/>
      <c r="C84" s="179"/>
      <c r="D84" s="179"/>
      <c r="E84" s="179"/>
      <c r="F84" s="174">
        <f t="shared" si="5"/>
        <v>0</v>
      </c>
      <c r="G84" s="179"/>
      <c r="H84" s="186"/>
      <c r="I84" s="179"/>
      <c r="J84" s="179"/>
      <c r="K84" s="53"/>
    </row>
    <row r="85" spans="1:11" ht="18.75" hidden="1" x14ac:dyDescent="0.25">
      <c r="A85" s="174">
        <f>SUM(A81:A82)*1</f>
        <v>0</v>
      </c>
      <c r="B85" s="1"/>
      <c r="C85" s="180" t="s">
        <v>246</v>
      </c>
      <c r="D85" s="180"/>
      <c r="E85" s="1" t="s">
        <v>28</v>
      </c>
      <c r="F85" s="174">
        <f t="shared" si="5"/>
        <v>0</v>
      </c>
      <c r="G85" s="176">
        <v>1.567E-2</v>
      </c>
      <c r="H85" s="181">
        <f>F85*G85</f>
        <v>0</v>
      </c>
      <c r="I85" s="179"/>
      <c r="J85" s="179"/>
      <c r="K85" s="53"/>
    </row>
    <row r="86" spans="1:11" ht="18.75" hidden="1" x14ac:dyDescent="0.25">
      <c r="A86" s="174">
        <f>A85</f>
        <v>0</v>
      </c>
      <c r="B86" s="1"/>
      <c r="C86" s="180" t="s">
        <v>153</v>
      </c>
      <c r="D86" s="180"/>
      <c r="E86" s="1" t="s">
        <v>47</v>
      </c>
      <c r="F86" s="174">
        <f t="shared" si="5"/>
        <v>0</v>
      </c>
      <c r="G86" s="176">
        <v>3.4500000000000004E-3</v>
      </c>
      <c r="H86" s="181">
        <f>F86*G86</f>
        <v>0</v>
      </c>
      <c r="I86" s="179"/>
      <c r="J86" s="179"/>
      <c r="K86" s="53"/>
    </row>
    <row r="87" spans="1:11" ht="18.75" hidden="1" x14ac:dyDescent="0.25">
      <c r="A87" s="174">
        <f>A85</f>
        <v>0</v>
      </c>
      <c r="B87" s="1"/>
      <c r="C87" s="180" t="s">
        <v>154</v>
      </c>
      <c r="D87" s="180"/>
      <c r="E87" s="1" t="s">
        <v>29</v>
      </c>
      <c r="F87" s="174">
        <f t="shared" si="5"/>
        <v>0</v>
      </c>
      <c r="G87" s="176">
        <v>6.0660000000000002E-3</v>
      </c>
      <c r="H87" s="181">
        <f>F87*G87</f>
        <v>0</v>
      </c>
      <c r="I87" s="179"/>
      <c r="J87" s="179"/>
      <c r="K87" s="53"/>
    </row>
    <row r="88" spans="1:11" ht="18.75" hidden="1" x14ac:dyDescent="0.25">
      <c r="A88" s="174"/>
      <c r="B88" s="179"/>
      <c r="C88" s="179"/>
      <c r="D88" s="179"/>
      <c r="E88" s="179"/>
      <c r="F88" s="174">
        <f t="shared" si="5"/>
        <v>0</v>
      </c>
      <c r="G88" s="179"/>
      <c r="H88" s="186"/>
      <c r="I88" s="179"/>
      <c r="J88" s="179"/>
      <c r="K88" s="53"/>
    </row>
    <row r="89" spans="1:11" ht="18.75" hidden="1" x14ac:dyDescent="0.25">
      <c r="A89" s="174"/>
      <c r="B89" s="179"/>
      <c r="C89" s="179"/>
      <c r="D89" s="179"/>
      <c r="E89" s="179"/>
      <c r="F89" s="174">
        <f t="shared" si="5"/>
        <v>0</v>
      </c>
      <c r="G89" s="179"/>
      <c r="H89" s="186"/>
      <c r="I89" s="179"/>
      <c r="J89" s="179"/>
      <c r="K89" s="53"/>
    </row>
    <row r="90" spans="1:11" ht="18.75" hidden="1" x14ac:dyDescent="0.25">
      <c r="A90" s="174"/>
      <c r="B90" s="179"/>
      <c r="C90" s="179"/>
      <c r="D90" s="179"/>
      <c r="E90" s="179"/>
      <c r="F90" s="174">
        <f t="shared" si="5"/>
        <v>0</v>
      </c>
      <c r="G90" s="179"/>
      <c r="H90" s="186"/>
      <c r="I90" s="179"/>
      <c r="J90" s="179"/>
      <c r="K90" s="53"/>
    </row>
    <row r="91" spans="1:11" ht="18.75" hidden="1" x14ac:dyDescent="0.25">
      <c r="A91" s="174"/>
      <c r="B91" s="179"/>
      <c r="C91" s="179"/>
      <c r="D91" s="179"/>
      <c r="E91" s="179"/>
      <c r="F91" s="174">
        <f t="shared" si="5"/>
        <v>0</v>
      </c>
      <c r="G91" s="179"/>
      <c r="H91" s="186"/>
      <c r="I91" s="179"/>
      <c r="J91" s="179"/>
      <c r="K91" s="53"/>
    </row>
    <row r="92" spans="1:11" ht="18.75" hidden="1" x14ac:dyDescent="0.25">
      <c r="A92" s="174">
        <f>Отправочная!AS5</f>
        <v>0</v>
      </c>
      <c r="B92" s="1"/>
      <c r="C92" s="180" t="str">
        <f>Отправочная!AS2</f>
        <v>Шпилька М10х200</v>
      </c>
      <c r="D92" s="180"/>
      <c r="E92" s="179"/>
      <c r="F92" s="174">
        <f t="shared" si="5"/>
        <v>0</v>
      </c>
      <c r="G92" s="176">
        <f>0.617*0.2</f>
        <v>0.12340000000000001</v>
      </c>
      <c r="H92" s="181">
        <f>F92*G92</f>
        <v>0</v>
      </c>
      <c r="I92" s="179"/>
      <c r="J92" s="179"/>
      <c r="K92" s="53"/>
    </row>
    <row r="93" spans="1:11" ht="18.75" hidden="1" x14ac:dyDescent="0.25">
      <c r="A93" s="174">
        <f>A92*4</f>
        <v>0</v>
      </c>
      <c r="B93" s="1"/>
      <c r="C93" s="180" t="s">
        <v>160</v>
      </c>
      <c r="D93" s="180"/>
      <c r="E93" s="1" t="s">
        <v>28</v>
      </c>
      <c r="F93" s="174">
        <f t="shared" si="5"/>
        <v>0</v>
      </c>
      <c r="G93" s="176">
        <f>0.01022</f>
        <v>1.022E-2</v>
      </c>
      <c r="H93" s="181">
        <f>F93*G93</f>
        <v>0</v>
      </c>
      <c r="I93" s="179"/>
      <c r="J93" s="179"/>
      <c r="K93" s="53"/>
    </row>
    <row r="94" spans="1:11" ht="18.75" hidden="1" x14ac:dyDescent="0.25">
      <c r="A94" s="174">
        <f>A93/2</f>
        <v>0</v>
      </c>
      <c r="B94" s="1"/>
      <c r="C94" s="180" t="s">
        <v>161</v>
      </c>
      <c r="D94" s="180"/>
      <c r="E94" s="1" t="s">
        <v>29</v>
      </c>
      <c r="F94" s="174">
        <f t="shared" si="5"/>
        <v>0</v>
      </c>
      <c r="G94" s="176">
        <f>0.001*3.438</f>
        <v>3.4380000000000001E-3</v>
      </c>
      <c r="H94" s="181">
        <f>F94*G94</f>
        <v>0</v>
      </c>
      <c r="I94" s="179"/>
      <c r="J94" s="179"/>
      <c r="K94" s="53"/>
    </row>
    <row r="95" spans="1:11" ht="18.75" hidden="1" x14ac:dyDescent="0.25">
      <c r="A95" s="174"/>
      <c r="B95" s="179"/>
      <c r="C95" s="179"/>
      <c r="D95" s="179"/>
      <c r="E95" s="179"/>
      <c r="F95" s="174">
        <f t="shared" si="5"/>
        <v>0</v>
      </c>
      <c r="G95" s="179"/>
      <c r="H95" s="186"/>
      <c r="I95" s="179"/>
      <c r="J95" s="179"/>
      <c r="K95" s="53"/>
    </row>
    <row r="96" spans="1:11" ht="18.75" hidden="1" x14ac:dyDescent="0.25">
      <c r="A96" s="174"/>
      <c r="B96" s="179"/>
      <c r="C96" s="180" t="s">
        <v>238</v>
      </c>
      <c r="D96" s="180"/>
      <c r="E96" s="179"/>
      <c r="F96" s="174">
        <f t="shared" si="5"/>
        <v>0</v>
      </c>
      <c r="G96" s="179"/>
      <c r="H96" s="186"/>
      <c r="I96" s="179"/>
      <c r="J96" s="179"/>
      <c r="K96" s="53"/>
    </row>
    <row r="97" spans="1:11" ht="18.75" hidden="1" x14ac:dyDescent="0.25">
      <c r="A97" s="174"/>
      <c r="B97" s="179"/>
      <c r="C97" s="179"/>
      <c r="D97" s="179"/>
      <c r="E97" s="179"/>
      <c r="F97" s="174">
        <f t="shared" si="5"/>
        <v>0</v>
      </c>
      <c r="G97" s="179"/>
      <c r="H97" s="186"/>
      <c r="I97" s="179"/>
      <c r="J97" s="179"/>
      <c r="K97" s="53"/>
    </row>
    <row r="98" spans="1:11" ht="18.75" hidden="1" x14ac:dyDescent="0.25">
      <c r="A98" s="174">
        <f>Отправочная!AU5</f>
        <v>0</v>
      </c>
      <c r="B98" s="1"/>
      <c r="C98" s="180" t="str">
        <f>Отправочная!AU2</f>
        <v>Распорный анкер HILTI HSL-3 M16x25 арт.371784</v>
      </c>
      <c r="D98" s="180"/>
      <c r="E98" s="1"/>
      <c r="F98" s="174">
        <f t="shared" si="5"/>
        <v>0</v>
      </c>
      <c r="G98" s="176"/>
      <c r="H98" s="181"/>
      <c r="I98" s="179"/>
      <c r="J98" s="179"/>
      <c r="K98" s="53"/>
    </row>
    <row r="99" spans="1:11" ht="18.75" hidden="1" x14ac:dyDescent="0.25">
      <c r="A99" s="174">
        <f>Отправочная!AT5</f>
        <v>0</v>
      </c>
      <c r="B99" s="1"/>
      <c r="C99" s="187" t="str">
        <f>Отправочная!AT2</f>
        <v xml:space="preserve">Анкерная шпилька М12х150 </v>
      </c>
      <c r="D99" s="187"/>
      <c r="E99" s="1"/>
      <c r="F99" s="174">
        <f t="shared" si="5"/>
        <v>0</v>
      </c>
      <c r="G99" s="176"/>
      <c r="H99" s="181"/>
      <c r="I99" s="179"/>
      <c r="J99" s="179"/>
      <c r="K99" s="53"/>
    </row>
    <row r="100" spans="1:11" ht="18.75" x14ac:dyDescent="0.25">
      <c r="A100" s="174">
        <f>Отправочная!AV5</f>
        <v>75</v>
      </c>
      <c r="B100" s="1"/>
      <c r="C100" s="180" t="str">
        <f>Отправочная!AV2</f>
        <v>Анкерная шпилька HAS-U 8.8 M16x180*</v>
      </c>
      <c r="D100" s="180"/>
      <c r="E100" s="1"/>
      <c r="F100" s="174">
        <f t="shared" si="5"/>
        <v>77.25</v>
      </c>
      <c r="G100" s="176"/>
      <c r="H100" s="181">
        <f>F100*G100</f>
        <v>0</v>
      </c>
      <c r="I100" s="179"/>
      <c r="J100" s="179"/>
      <c r="K100" s="53"/>
    </row>
    <row r="101" spans="1:11" ht="18.75" x14ac:dyDescent="0.25">
      <c r="A101" s="174"/>
      <c r="B101" s="1"/>
      <c r="C101" s="180" t="s">
        <v>400</v>
      </c>
      <c r="D101" s="180"/>
      <c r="E101" s="1"/>
      <c r="F101" s="174" t="s">
        <v>436</v>
      </c>
      <c r="G101" s="176"/>
      <c r="H101" s="181"/>
      <c r="I101" s="179"/>
      <c r="J101" s="179"/>
      <c r="K101" s="53"/>
    </row>
    <row r="102" spans="1:11" ht="18.75" x14ac:dyDescent="0.25">
      <c r="A102" s="174">
        <f>Отправочная!AW5</f>
        <v>308</v>
      </c>
      <c r="B102" s="1"/>
      <c r="C102" s="180" t="str">
        <f>Отправочная!AW2</f>
        <v>Анкер-распорный Hilti HAS M12x115</v>
      </c>
      <c r="D102" s="180"/>
      <c r="E102" s="1"/>
      <c r="F102" s="174">
        <f>A102*$D$108</f>
        <v>317.24</v>
      </c>
      <c r="G102" s="176"/>
      <c r="H102" s="181"/>
      <c r="I102" s="179"/>
      <c r="J102" s="179"/>
      <c r="K102" s="53"/>
    </row>
    <row r="103" spans="1:11" ht="18.75" x14ac:dyDescent="0.25">
      <c r="A103" s="174">
        <f>Отправочная!AX5</f>
        <v>128</v>
      </c>
      <c r="B103" s="1"/>
      <c r="C103" s="180" t="str">
        <f>Отправочная!AX2</f>
        <v>Распорный анкер Hilti HSA M10x83</v>
      </c>
      <c r="D103" s="180"/>
      <c r="E103" s="1"/>
      <c r="F103" s="174">
        <f>A103*$D$108</f>
        <v>131.84</v>
      </c>
      <c r="G103" s="176"/>
      <c r="H103" s="181"/>
      <c r="I103" s="179"/>
      <c r="J103" s="179"/>
      <c r="K103" s="53"/>
    </row>
    <row r="104" spans="1:11" ht="18.75" x14ac:dyDescent="0.25">
      <c r="A104" s="174">
        <f>Отправочная!AY5</f>
        <v>128</v>
      </c>
      <c r="B104" s="1">
        <v>14</v>
      </c>
      <c r="C104" s="180" t="str">
        <f>Отправочная!AY2</f>
        <v>Распорный анкер Hilti HSA M6x50</v>
      </c>
      <c r="D104" s="180"/>
      <c r="E104" s="1"/>
      <c r="F104" s="174">
        <f>A104*$D$108</f>
        <v>131.84</v>
      </c>
      <c r="G104" s="176"/>
      <c r="H104" s="181"/>
      <c r="I104" s="179"/>
      <c r="J104" s="179"/>
      <c r="K104" s="53"/>
    </row>
    <row r="105" spans="1:11" ht="20.25" hidden="1" customHeight="1" x14ac:dyDescent="0.25">
      <c r="A105" s="174">
        <f>Отправочная!AZ5</f>
        <v>0</v>
      </c>
      <c r="B105" s="1"/>
      <c r="C105" s="187" t="str">
        <f>Отправочная!AZ2</f>
        <v>Анкер-шуруп Hilti HUS3-H 10x150</v>
      </c>
      <c r="D105" s="187"/>
      <c r="E105" s="1"/>
      <c r="F105" s="174">
        <f>A105*$D$108</f>
        <v>0</v>
      </c>
      <c r="G105" s="176"/>
      <c r="H105" s="181">
        <f>F105*G105</f>
        <v>0</v>
      </c>
      <c r="I105" s="179"/>
      <c r="J105" s="179"/>
      <c r="K105" s="53"/>
    </row>
    <row r="106" spans="1:11" ht="18.75" hidden="1" x14ac:dyDescent="0.25">
      <c r="A106" s="179"/>
      <c r="B106" s="179"/>
      <c r="C106" s="179"/>
      <c r="D106" s="179"/>
      <c r="E106" s="179"/>
      <c r="F106" s="174">
        <f>A106*1.03</f>
        <v>0</v>
      </c>
      <c r="G106" s="179"/>
      <c r="H106" s="186"/>
      <c r="I106" s="179"/>
      <c r="J106" s="179"/>
      <c r="K106" s="53"/>
    </row>
    <row r="107" spans="1:11" ht="18.75" x14ac:dyDescent="0.25">
      <c r="A107" s="1"/>
      <c r="B107" s="1"/>
      <c r="C107" s="188" t="s">
        <v>30</v>
      </c>
      <c r="D107" s="188"/>
      <c r="E107" s="1"/>
      <c r="F107" s="1"/>
      <c r="G107" s="1"/>
      <c r="H107" s="189">
        <f>SUM(H10:H106)</f>
        <v>0</v>
      </c>
      <c r="I107" s="179"/>
      <c r="J107" s="179"/>
      <c r="K107" s="53"/>
    </row>
    <row r="108" spans="1:11" ht="18.75" x14ac:dyDescent="0.3">
      <c r="C108" s="196" t="s">
        <v>397</v>
      </c>
      <c r="D108" s="197">
        <v>1.03</v>
      </c>
      <c r="K108" s="53"/>
    </row>
  </sheetData>
  <mergeCells count="8">
    <mergeCell ref="C8:C9"/>
    <mergeCell ref="B8:B9"/>
    <mergeCell ref="D8:D9"/>
    <mergeCell ref="F8:F9"/>
    <mergeCell ref="J8:J9"/>
    <mergeCell ref="I8:I9"/>
    <mergeCell ref="G8:H8"/>
    <mergeCell ref="E8:E9"/>
  </mergeCells>
  <conditionalFormatting sqref="A83:A105 A38:A42 A47:A76 A44:A45 A80:A81 A10:A36">
    <cfRule type="cellIs" dxfId="5" priority="12" operator="greaterThan">
      <formula>0</formula>
    </cfRule>
  </conditionalFormatting>
  <conditionalFormatting sqref="A82 F10:F106">
    <cfRule type="cellIs" dxfId="4" priority="9" operator="equal">
      <formula>0</formula>
    </cfRule>
  </conditionalFormatting>
  <conditionalFormatting sqref="A37">
    <cfRule type="cellIs" dxfId="3" priority="8" operator="greaterThan">
      <formula>0</formula>
    </cfRule>
  </conditionalFormatting>
  <conditionalFormatting sqref="A46">
    <cfRule type="cellIs" dxfId="2" priority="6" operator="greaterThan">
      <formula>0</formula>
    </cfRule>
  </conditionalFormatting>
  <conditionalFormatting sqref="A43">
    <cfRule type="cellIs" dxfId="1" priority="4" operator="greaterThan">
      <formula>0</formula>
    </cfRule>
  </conditionalFormatting>
  <conditionalFormatting sqref="A77:A79">
    <cfRule type="cellIs" dxfId="0" priority="2" operator="greaterThan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Отправочная</vt:lpstr>
      <vt:lpstr>Здание</vt:lpstr>
      <vt:lpstr>Детали</vt:lpstr>
      <vt:lpstr>Металл</vt:lpstr>
      <vt:lpstr>Метизы</vt:lpstr>
      <vt:lpstr>Детали!Область_печати</vt:lpstr>
      <vt:lpstr>Здание!Область_печати</vt:lpstr>
      <vt:lpstr>Металл!Область_печати</vt:lpstr>
      <vt:lpstr>Метизы!Область_печати</vt:lpstr>
      <vt:lpstr>Отправочная!Область_печати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Emyl</dc:creator>
  <cp:lastModifiedBy>1</cp:lastModifiedBy>
  <cp:lastPrinted>2023-02-17T07:58:00Z</cp:lastPrinted>
  <dcterms:created xsi:type="dcterms:W3CDTF">2016-12-19T18:05:49Z</dcterms:created>
  <dcterms:modified xsi:type="dcterms:W3CDTF">2024-01-17T13:34:32Z</dcterms:modified>
</cp:coreProperties>
</file>