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"/>
    </mc:Choice>
  </mc:AlternateContent>
  <xr:revisionPtr revIDLastSave="0" documentId="13_ncr:1_{28A2ACA9-E50C-4764-88B6-3D9678F48F99}" xr6:coauthVersionLast="47" xr6:coauthVersionMax="47" xr10:uidLastSave="{00000000-0000-0000-0000-000000000000}"/>
  <bookViews>
    <workbookView xWindow="-120" yWindow="-120" windowWidth="51840" windowHeight="21240" tabRatio="853" activeTab="8" xr2:uid="{00000000-000D-0000-FFFF-FFFF00000000}"/>
  </bookViews>
  <sheets>
    <sheet name="СВОД полы 1 очередь" sheetId="3" r:id="rId1"/>
    <sheet name="СО полы" sheetId="12" r:id="rId2"/>
    <sheet name="демонтаж пола" sheetId="4" r:id="rId3"/>
    <sheet name="демонтаж встроек" sheetId="9" r:id="rId4"/>
    <sheet name="земляные работы" sheetId="5" r:id="rId5"/>
    <sheet name="фундаменты" sheetId="6" r:id="rId6"/>
    <sheet name="лотки" sheetId="7" r:id="rId7"/>
    <sheet name="полы + топпинг" sheetId="8" r:id="rId8"/>
    <sheet name="деф шов" sheetId="10" r:id="rId9"/>
    <sheet name="приямки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7" l="1"/>
  <c r="I21" i="7"/>
  <c r="F21" i="7"/>
  <c r="J19" i="8"/>
  <c r="J20" i="8"/>
  <c r="J21" i="8"/>
  <c r="D5" i="4"/>
  <c r="E5" i="4"/>
  <c r="F5" i="4"/>
  <c r="G5" i="4"/>
  <c r="H5" i="4"/>
  <c r="I5" i="4"/>
  <c r="C5" i="4"/>
  <c r="J54" i="8"/>
  <c r="D54" i="8"/>
  <c r="E54" i="8"/>
  <c r="F54" i="8"/>
  <c r="G54" i="8"/>
  <c r="H54" i="8"/>
  <c r="I54" i="8"/>
  <c r="C54" i="8"/>
  <c r="I50" i="8"/>
  <c r="H50" i="8"/>
  <c r="G50" i="8"/>
  <c r="F50" i="8"/>
  <c r="E50" i="8"/>
  <c r="D50" i="8"/>
  <c r="C50" i="8"/>
  <c r="J17" i="8"/>
  <c r="J18" i="8"/>
  <c r="D18" i="8"/>
  <c r="E18" i="8"/>
  <c r="F18" i="8"/>
  <c r="G18" i="8"/>
  <c r="H18" i="8"/>
  <c r="I18" i="8"/>
  <c r="D17" i="8"/>
  <c r="E17" i="8"/>
  <c r="F17" i="8"/>
  <c r="G17" i="8"/>
  <c r="H17" i="8"/>
  <c r="I17" i="8"/>
  <c r="D13" i="8"/>
  <c r="E13" i="8"/>
  <c r="F13" i="8"/>
  <c r="G13" i="8"/>
  <c r="H13" i="8"/>
  <c r="I13" i="8"/>
  <c r="D12" i="8"/>
  <c r="E12" i="8"/>
  <c r="J12" i="8" s="1"/>
  <c r="F12" i="8"/>
  <c r="G12" i="8"/>
  <c r="H12" i="8"/>
  <c r="I12" i="8"/>
  <c r="D9" i="8"/>
  <c r="E9" i="8"/>
  <c r="F9" i="8"/>
  <c r="G9" i="8"/>
  <c r="H9" i="8"/>
  <c r="I9" i="8"/>
  <c r="D8" i="8"/>
  <c r="E8" i="8"/>
  <c r="F8" i="8"/>
  <c r="G8" i="8"/>
  <c r="H8" i="8"/>
  <c r="I8" i="8"/>
  <c r="J14" i="8"/>
  <c r="D14" i="8"/>
  <c r="E14" i="8"/>
  <c r="F14" i="8"/>
  <c r="G14" i="8"/>
  <c r="H14" i="8"/>
  <c r="I14" i="8"/>
  <c r="J13" i="8"/>
  <c r="D16" i="7"/>
  <c r="E16" i="7"/>
  <c r="F16" i="7"/>
  <c r="G16" i="7"/>
  <c r="H16" i="7"/>
  <c r="C16" i="7"/>
  <c r="D7" i="7"/>
  <c r="E7" i="7"/>
  <c r="F7" i="7"/>
  <c r="G7" i="7"/>
  <c r="H7" i="7"/>
  <c r="I7" i="7"/>
  <c r="I16" i="7" s="1"/>
  <c r="C7" i="7"/>
  <c r="C31" i="7" s="1"/>
  <c r="C12" i="8"/>
  <c r="C8" i="7"/>
  <c r="J8" i="8"/>
  <c r="C8" i="8"/>
  <c r="D5" i="8"/>
  <c r="J5" i="8" s="1"/>
  <c r="E5" i="8"/>
  <c r="F5" i="8"/>
  <c r="G5" i="8"/>
  <c r="H5" i="8"/>
  <c r="I5" i="8"/>
  <c r="J4" i="8"/>
  <c r="J6" i="8"/>
  <c r="J7" i="8"/>
  <c r="J9" i="8"/>
  <c r="D4" i="8"/>
  <c r="E4" i="8"/>
  <c r="F4" i="8"/>
  <c r="G4" i="8"/>
  <c r="H4" i="8"/>
  <c r="I4" i="8"/>
  <c r="D40" i="8"/>
  <c r="C40" i="8"/>
  <c r="W7" i="3" l="1"/>
  <c r="W8" i="3"/>
  <c r="W9" i="3"/>
  <c r="W10" i="3"/>
  <c r="W11" i="3"/>
  <c r="W12" i="3"/>
  <c r="W6" i="3"/>
  <c r="V12" i="3"/>
  <c r="V11" i="3"/>
  <c r="V10" i="3"/>
  <c r="V9" i="3"/>
  <c r="V8" i="3"/>
  <c r="V7" i="3"/>
  <c r="V6" i="3"/>
  <c r="R10" i="3"/>
  <c r="R12" i="3"/>
  <c r="R11" i="3"/>
  <c r="R9" i="3"/>
  <c r="R8" i="3"/>
  <c r="R7" i="3"/>
  <c r="R6" i="3"/>
  <c r="Z7" i="3"/>
  <c r="Z8" i="3"/>
  <c r="Z9" i="3"/>
  <c r="Z10" i="3"/>
  <c r="Z11" i="3"/>
  <c r="Z12" i="3"/>
  <c r="Z6" i="3"/>
  <c r="P7" i="3"/>
  <c r="P8" i="3"/>
  <c r="P10" i="3"/>
  <c r="P11" i="3"/>
  <c r="P6" i="3"/>
  <c r="O11" i="3"/>
  <c r="O12" i="3"/>
  <c r="P12" i="3" s="1"/>
  <c r="O10" i="3"/>
  <c r="O9" i="3"/>
  <c r="P9" i="3" s="1"/>
  <c r="O8" i="3"/>
  <c r="O7" i="3"/>
  <c r="O6" i="3"/>
  <c r="M7" i="3"/>
  <c r="L7" i="3"/>
  <c r="K7" i="3"/>
  <c r="I7" i="3"/>
  <c r="I6" i="3"/>
  <c r="G12" i="3"/>
  <c r="G11" i="3"/>
  <c r="G10" i="3"/>
  <c r="G9" i="3"/>
  <c r="G8" i="3"/>
  <c r="G7" i="3"/>
  <c r="G13" i="3"/>
  <c r="G6" i="3"/>
  <c r="E33" i="8"/>
  <c r="E34" i="8" s="1"/>
  <c r="D33" i="8"/>
  <c r="D34" i="8" s="1"/>
  <c r="C18" i="8"/>
  <c r="I16" i="8"/>
  <c r="H16" i="8"/>
  <c r="G16" i="8"/>
  <c r="F16" i="8"/>
  <c r="E16" i="8"/>
  <c r="D16" i="8"/>
  <c r="C16" i="8"/>
  <c r="J16" i="8" s="1"/>
  <c r="I15" i="8"/>
  <c r="H15" i="8"/>
  <c r="G15" i="8"/>
  <c r="J15" i="8" s="1"/>
  <c r="F15" i="8"/>
  <c r="E15" i="8"/>
  <c r="D15" i="8"/>
  <c r="C15" i="8"/>
  <c r="C9" i="8"/>
  <c r="C17" i="8"/>
  <c r="I7" i="8"/>
  <c r="H7" i="8"/>
  <c r="G7" i="8"/>
  <c r="F7" i="8"/>
  <c r="E7" i="8"/>
  <c r="D7" i="8"/>
  <c r="C7" i="8"/>
  <c r="I6" i="8"/>
  <c r="H6" i="8"/>
  <c r="G6" i="8"/>
  <c r="F6" i="8"/>
  <c r="E6" i="8"/>
  <c r="D6" i="8"/>
  <c r="C6" i="8"/>
  <c r="C14" i="8" s="1"/>
  <c r="C5" i="8"/>
  <c r="C13" i="8" s="1"/>
  <c r="C4" i="8"/>
  <c r="J3" i="8"/>
  <c r="I3" i="10" l="1"/>
  <c r="H3" i="10"/>
  <c r="G3" i="10"/>
  <c r="E3" i="10"/>
  <c r="D3" i="10"/>
  <c r="C3" i="10"/>
  <c r="J3" i="10" s="1"/>
  <c r="J6" i="10" s="1"/>
  <c r="E13" i="10"/>
  <c r="D13" i="10"/>
  <c r="C13" i="10"/>
  <c r="I12" i="10"/>
  <c r="H12" i="10"/>
  <c r="G12" i="10"/>
  <c r="F12" i="10"/>
  <c r="E12" i="10"/>
  <c r="D12" i="10"/>
  <c r="C12" i="10"/>
  <c r="J12" i="10" s="1"/>
  <c r="I11" i="10"/>
  <c r="I13" i="10" s="1"/>
  <c r="H11" i="10"/>
  <c r="H13" i="10" s="1"/>
  <c r="G11" i="10"/>
  <c r="G13" i="10" s="1"/>
  <c r="F11" i="10"/>
  <c r="F13" i="10" s="1"/>
  <c r="E11" i="10"/>
  <c r="D11" i="10"/>
  <c r="C11" i="10"/>
  <c r="J11" i="10" s="1"/>
  <c r="J8" i="10"/>
  <c r="I6" i="10"/>
  <c r="H6" i="10"/>
  <c r="G6" i="10"/>
  <c r="F6" i="10"/>
  <c r="E6" i="10"/>
  <c r="D6" i="10"/>
  <c r="D6" i="7"/>
  <c r="E6" i="7"/>
  <c r="F6" i="7"/>
  <c r="G6" i="7"/>
  <c r="H6" i="7"/>
  <c r="I6" i="7"/>
  <c r="C6" i="7"/>
  <c r="O29" i="7"/>
  <c r="O28" i="7"/>
  <c r="O27" i="7"/>
  <c r="O26" i="7"/>
  <c r="O25" i="7"/>
  <c r="N25" i="7"/>
  <c r="N26" i="7"/>
  <c r="C6" i="10" l="1"/>
  <c r="J13" i="10"/>
  <c r="C27" i="7" l="1"/>
  <c r="J7" i="7"/>
  <c r="D8" i="7"/>
  <c r="E8" i="7"/>
  <c r="F8" i="7"/>
  <c r="G8" i="7"/>
  <c r="H8" i="7"/>
  <c r="I8" i="7"/>
  <c r="J8" i="7" s="1"/>
  <c r="E15" i="7"/>
  <c r="F15" i="7"/>
  <c r="G15" i="7"/>
  <c r="H15" i="7"/>
  <c r="I15" i="7"/>
  <c r="C15" i="7"/>
  <c r="D14" i="7"/>
  <c r="D15" i="7" s="1"/>
  <c r="E14" i="7"/>
  <c r="F14" i="7"/>
  <c r="G14" i="7"/>
  <c r="H14" i="7"/>
  <c r="I14" i="7"/>
  <c r="C14" i="7"/>
  <c r="E13" i="7"/>
  <c r="G13" i="7"/>
  <c r="H13" i="7"/>
  <c r="C13" i="7"/>
  <c r="E12" i="7"/>
  <c r="G12" i="7"/>
  <c r="H12" i="7"/>
  <c r="C12" i="7"/>
  <c r="E5" i="7"/>
  <c r="G5" i="7"/>
  <c r="H5" i="7"/>
  <c r="I5" i="7"/>
  <c r="C5" i="7"/>
  <c r="E4" i="7"/>
  <c r="F4" i="7"/>
  <c r="F12" i="7" s="1"/>
  <c r="G4" i="7"/>
  <c r="H4" i="7"/>
  <c r="I4" i="7"/>
  <c r="I12" i="7" s="1"/>
  <c r="J6" i="7"/>
  <c r="D3" i="7"/>
  <c r="D5" i="7" s="1"/>
  <c r="E3" i="7"/>
  <c r="F3" i="7"/>
  <c r="G3" i="7"/>
  <c r="H3" i="7"/>
  <c r="I3" i="7"/>
  <c r="C4" i="7"/>
  <c r="C3" i="7"/>
  <c r="J15" i="7" l="1"/>
  <c r="D4" i="7"/>
  <c r="J14" i="7"/>
  <c r="I13" i="7"/>
  <c r="J3" i="7"/>
  <c r="F5" i="7"/>
  <c r="J4" i="7"/>
  <c r="F13" i="7"/>
  <c r="J5" i="7"/>
  <c r="J16" i="7"/>
  <c r="D12" i="7" l="1"/>
  <c r="J12" i="7" s="1"/>
  <c r="D13" i="7"/>
  <c r="J13" i="7" s="1"/>
  <c r="D27" i="6"/>
  <c r="D28" i="6"/>
  <c r="J27" i="6"/>
  <c r="J28" i="6"/>
  <c r="J29" i="6"/>
  <c r="D26" i="6"/>
  <c r="D22" i="6"/>
  <c r="D25" i="6"/>
  <c r="D24" i="6"/>
  <c r="D21" i="6"/>
  <c r="D23" i="6"/>
  <c r="J21" i="6"/>
  <c r="J22" i="6"/>
  <c r="J23" i="6"/>
  <c r="J24" i="6"/>
  <c r="J25" i="6"/>
  <c r="J26" i="6"/>
  <c r="D20" i="6"/>
  <c r="J20" i="6" s="1"/>
  <c r="J13" i="6"/>
  <c r="J14" i="6"/>
  <c r="J15" i="6"/>
  <c r="J16" i="6"/>
  <c r="J17" i="6"/>
  <c r="J12" i="6"/>
  <c r="J5" i="5"/>
  <c r="J4" i="5"/>
  <c r="D5" i="5"/>
  <c r="C5" i="5"/>
  <c r="D4" i="5" l="1"/>
  <c r="C4" i="5"/>
  <c r="C20" i="4"/>
  <c r="D20" i="4"/>
  <c r="E8" i="4"/>
  <c r="F8" i="4"/>
  <c r="G8" i="4"/>
  <c r="H8" i="4"/>
  <c r="I8" i="4"/>
  <c r="E7" i="4"/>
  <c r="F7" i="4"/>
  <c r="G7" i="4"/>
  <c r="H7" i="4"/>
  <c r="I7" i="4"/>
  <c r="J5" i="4" l="1"/>
  <c r="I23" i="4"/>
  <c r="D23" i="4"/>
  <c r="E23" i="4"/>
  <c r="F23" i="4"/>
  <c r="G23" i="4"/>
  <c r="H23" i="4"/>
  <c r="C23" i="4"/>
  <c r="D6" i="4"/>
  <c r="E6" i="4"/>
  <c r="F6" i="4"/>
  <c r="G6" i="4"/>
  <c r="H6" i="4"/>
  <c r="I6" i="4"/>
  <c r="C6" i="4"/>
  <c r="J44" i="4"/>
  <c r="D4" i="4"/>
  <c r="E4" i="4"/>
  <c r="F4" i="4"/>
  <c r="G4" i="4"/>
  <c r="H4" i="4"/>
  <c r="I4" i="4"/>
  <c r="C4" i="4"/>
  <c r="C7" i="4" s="1"/>
  <c r="C8" i="4" s="1"/>
  <c r="F3" i="4"/>
  <c r="I3" i="4"/>
  <c r="C3" i="4"/>
  <c r="J3" i="4" s="1"/>
  <c r="U8" i="3"/>
  <c r="U9" i="3"/>
  <c r="U10" i="3"/>
  <c r="U11" i="3"/>
  <c r="U12" i="3"/>
  <c r="U7" i="3"/>
  <c r="U6" i="3"/>
  <c r="Q12" i="3"/>
  <c r="S12" i="3"/>
  <c r="Q11" i="3"/>
  <c r="S11" i="3"/>
  <c r="Q10" i="3"/>
  <c r="S10" i="3"/>
  <c r="S9" i="3"/>
  <c r="Q9" i="3"/>
  <c r="S7" i="3"/>
  <c r="Q7" i="3"/>
  <c r="T8" i="3"/>
  <c r="S8" i="3" s="1"/>
  <c r="T6" i="3"/>
  <c r="S6" i="3" s="1"/>
  <c r="J6" i="4" l="1"/>
  <c r="J4" i="4"/>
  <c r="D7" i="4"/>
  <c r="K44" i="4"/>
  <c r="Q8" i="3"/>
  <c r="Q6" i="3"/>
  <c r="D7" i="3"/>
  <c r="D8" i="3"/>
  <c r="D9" i="3"/>
  <c r="D10" i="3"/>
  <c r="D11" i="3"/>
  <c r="D12" i="3"/>
  <c r="D13" i="3"/>
  <c r="D6" i="3"/>
  <c r="D8" i="4" l="1"/>
  <c r="J8" i="4" s="1"/>
  <c r="J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7" authorId="0" shapeId="0" xr:uid="{B70E185B-EF60-489A-B29D-A0FA857F194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м3 чего? Бетона или всех материалов фнд? Взят только бетон в25</t>
        </r>
      </text>
    </comment>
  </commentList>
</comments>
</file>

<file path=xl/sharedStrings.xml><?xml version="1.0" encoding="utf-8"?>
<sst xmlns="http://schemas.openxmlformats.org/spreadsheetml/2006/main" count="567" uniqueCount="222">
  <si>
    <t>Комментарий</t>
  </si>
  <si>
    <t>S пола, м2</t>
  </si>
  <si>
    <t>Оси</t>
  </si>
  <si>
    <t>Н-С/3-4*</t>
  </si>
  <si>
    <t>3,6+2,2</t>
  </si>
  <si>
    <t>Н-Р/11-24</t>
  </si>
  <si>
    <t>7,5х4</t>
  </si>
  <si>
    <t>смежник делает 3фнд, завод вывезет станок и можно приступать</t>
  </si>
  <si>
    <t>В-Д/11-15</t>
  </si>
  <si>
    <t>V бетона спецфундаментов, м3</t>
  </si>
  <si>
    <t>сейчас там участок контовки</t>
  </si>
  <si>
    <t>Д-Ж/16-24</t>
  </si>
  <si>
    <t>Ж-К/6-10</t>
  </si>
  <si>
    <t>доп-нужен еще такой же фундамент под еще одну печь и подвод коммуникаций</t>
  </si>
  <si>
    <t>доп дополнительно учесть вывод воды на улицу и установить отдельную емкость, а так же подвод воды(по верху)</t>
  </si>
  <si>
    <t>доп-так же просят сделать 3фнд под краны, объем 3х(1,3х1,3х1,5)м</t>
  </si>
  <si>
    <t>Участок</t>
  </si>
  <si>
    <t>Л-У/5*-6*</t>
  </si>
  <si>
    <t>У-Ч/5*-9*</t>
  </si>
  <si>
    <t>Ж-К/11-24</t>
  </si>
  <si>
    <t>на данный момент стоят станки и прочее оборудование, участок "плавающий", нет четкой планировки куда это уедет</t>
  </si>
  <si>
    <t>зону производства работ покинут в июне</t>
  </si>
  <si>
    <t>зону производства работ покинут до июня</t>
  </si>
  <si>
    <t>монтаж фундаментов</t>
  </si>
  <si>
    <t>монтаж лотка</t>
  </si>
  <si>
    <t>монтаж пола</t>
  </si>
  <si>
    <t>топпинг</t>
  </si>
  <si>
    <t>деф.шов вдоль стен и колонн</t>
  </si>
  <si>
    <t>СМР</t>
  </si>
  <si>
    <t>МТР</t>
  </si>
  <si>
    <t>объемы работ</t>
  </si>
  <si>
    <t>м3</t>
  </si>
  <si>
    <t>м.п.</t>
  </si>
  <si>
    <t>м2</t>
  </si>
  <si>
    <t>демонтаж пола</t>
  </si>
  <si>
    <t>земляные работы</t>
  </si>
  <si>
    <t>погрузка, перевозка, утилизация</t>
  </si>
  <si>
    <t>плюс коэфф разрыхл?</t>
  </si>
  <si>
    <t>арматура</t>
  </si>
  <si>
    <t>бетон</t>
  </si>
  <si>
    <t>т</t>
  </si>
  <si>
    <t>вспененый полиэтилен</t>
  </si>
  <si>
    <t>толщ. 8-10мм, h=550мм</t>
  </si>
  <si>
    <t>песок или щебень</t>
  </si>
  <si>
    <t>погрузка, вывоз и утилизация грунта и бетона</t>
  </si>
  <si>
    <t>Рельс Р65 по ГОСТ 51685-2013</t>
  </si>
  <si>
    <t>кг</t>
  </si>
  <si>
    <t>Вид работ</t>
  </si>
  <si>
    <t xml:space="preserve">ед изм </t>
  </si>
  <si>
    <t>количество</t>
  </si>
  <si>
    <t>Участок 1</t>
  </si>
  <si>
    <t>Участок 2</t>
  </si>
  <si>
    <t>Участок 3</t>
  </si>
  <si>
    <t>Участок 4</t>
  </si>
  <si>
    <t>Участок 5</t>
  </si>
  <si>
    <t>Участок 6</t>
  </si>
  <si>
    <t>Участок 7</t>
  </si>
  <si>
    <t>куб.м.</t>
  </si>
  <si>
    <t>Демонтаж бетонной плиты пола из бетона кл. В25 толщиной 300мм</t>
  </si>
  <si>
    <t>ИТОГО</t>
  </si>
  <si>
    <t>Разработка грунта (песка) глубиной 150мм с погрузкой на самосвалы</t>
  </si>
  <si>
    <t>Демонтаж арматуры (Пруток 1Ф-НД-16- А500С по ГОСТ 34028-2016)</t>
  </si>
  <si>
    <t>Вывоз строительного мусора на расстояние 75 км (по адресу: МО, Раменский г.о., сельское поселение Чулковское)</t>
  </si>
  <si>
    <t>Утилизация строительного мусора (грунта)</t>
  </si>
  <si>
    <t>Монтаж фундамента под электропечь ПШО6.20/8И1-К</t>
  </si>
  <si>
    <t>Устройство подбетонки из бетона кл. В7,5 толщиной 100мм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</si>
  <si>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</si>
  <si>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Уплотнение основания грунта
 вибротрамбовками послойно в 1 слой с коэффициентом уплотнения 0,98</t>
  </si>
  <si>
    <t>Укладка щебня М400 (ГОСТ 8267-93) с уплотнением послойно, общая толщина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</si>
  <si>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</si>
  <si>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Устройство железобетонных фундаментов из бетона кл. В25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</si>
  <si>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</si>
  <si>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</si>
  <si>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</si>
  <si>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</si>
  <si>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Вывоз и утилизация строительного мусора (грунта) на
 расстояние 47 км</t>
  </si>
  <si>
    <t>Монтаж 4-х фундаментов под станок
 ОЦ Рита SMX3100ST</t>
  </si>
  <si>
    <t>Укладка щебня М400 (ГОСТ 8267-93) с уплотнением послойно каждые 100мм, общая толщина 200мм</t>
  </si>
  <si>
    <t>Устройство подбетонки из бетона кл. В7,5 толщиной 50мм</t>
  </si>
  <si>
    <t>Монтаж противовибрационного слоя- ВИБРОФАМ SD10(12,5)-
 полиуретановый эластомер</t>
  </si>
  <si>
    <t>монтаж приямков</t>
  </si>
  <si>
    <t>V</t>
  </si>
  <si>
    <t>Уплотнение основания грунта вибротрамбовками послойно в 1 слой с коэффициентом уплотнения 0,98</t>
  </si>
  <si>
    <t>Укладка и уплотнение песка с
 коэффициентом уплотнения 0,98 (ГОСТ 8736-93)</t>
  </si>
  <si>
    <t>Укладка и уплотнение щебня М400 с
 коэффициентом уплотнения 0,98 (ГОСТ 8267-93)</t>
  </si>
  <si>
    <t>Монтаж коммуникационного лотка бетонного ЛКБ Optima 300H350</t>
  </si>
  <si>
    <t>Обмазочная гидроизоляция лотка бетонного ЛКБ Optima 300H350 мастикой Технониколь № 24 МГТН в 3
 слоя, расход 1,0кг/м2 на каждый слой</t>
  </si>
  <si>
    <t>Укладка крышки стальной Aguastok КС
 Optima 300 С250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</si>
  <si>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</si>
  <si>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</si>
  <si>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Армирование подстилающих слоев бетонных</t>
  </si>
  <si>
    <t>Устройство подстилающих слоев: бетонных кл. В25 толщиной 300мм с устройством деформационных швов</t>
  </si>
  <si>
    <t>Укладка топпинга серого цвета, расход=4,0кг/м2</t>
  </si>
  <si>
    <t>демонтаж встроек 1-5</t>
  </si>
  <si>
    <t>м3 ?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</si>
  <si>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</si>
  <si>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</si>
  <si>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</si>
  <si>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Демонтаж плит покрытия ПК 58-12-8</t>
  </si>
  <si>
    <t>шт.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</si>
  <si>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</si>
  <si>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</si>
  <si>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</si>
  <si>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</si>
  <si>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</si>
  <si>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</si>
  <si>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</si>
  <si>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</si>
  <si>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</si>
  <si>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</si>
  <si>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</si>
  <si>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</si>
  <si>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</si>
  <si>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</si>
  <si>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</si>
  <si>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</si>
  <si>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</si>
  <si>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Демонтаж откатных ворот металлических 1400х2200мм (ШхВ) из уголка 40х40х3мм и стального листа
 1,5мм (1 шт)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</si>
  <si>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</si>
  <si>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</si>
  <si>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</si>
  <si>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</si>
  <si>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</si>
  <si>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</si>
  <si>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Демонтаж деревянных дверей с размером проема 900х2100мм (ШхВ) в
 осях Ф-Х</t>
  </si>
  <si>
    <t>Демонтаж монолитного
 железобетонного покрытия толщиной 120мм в осях Ц-Ч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</si>
  <si>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</si>
  <si>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</si>
  <si>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Демонтаж откатных ворот металлических 2740х2800мм (ШхВ) из уголка 40х40х3мм и стального листа
 1,5мм (1 шт)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</si>
  <si>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</si>
  <si>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</si>
  <si>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</si>
  <si>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</si>
  <si>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</si>
  <si>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</si>
  <si>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</si>
  <si>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</si>
  <si>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Демонтаж витража 3380х2800мм (ШхВ)
 с заполнением из однослойного стекла и металла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</si>
  <si>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</si>
  <si>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</si>
  <si>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</si>
  <si>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</si>
  <si>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</si>
  <si>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</si>
  <si>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</si>
  <si>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</si>
  <si>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</si>
  <si>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</si>
  <si>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</si>
  <si>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</si>
  <si>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Устройство изоляционного шва вокруг фундамента из вспененного полиэтилена толщ. 8-10мм, h=1000мм</t>
  </si>
  <si>
    <t>материалы</t>
  </si>
  <si>
    <t>ед изм</t>
  </si>
  <si>
    <t>м3, Б7,5</t>
  </si>
  <si>
    <t>м3, Б25</t>
  </si>
  <si>
    <t>Куп=1</t>
  </si>
  <si>
    <t>Не предусмотрены</t>
  </si>
  <si>
    <r>
      <t xml:space="preserve"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</t>
    </r>
    <r>
      <rPr>
        <sz val="8"/>
        <color rgb="FF00B050"/>
        <rFont val="Arial"/>
        <family val="2"/>
        <charset val="204"/>
      </rPr>
      <t>- Под Фундаменты под многофункциональный станок ОЦ Puma SMX3100ST – 400мм,</t>
    </r>
    <r>
      <rPr>
        <sz val="8"/>
        <color rgb="FF000000"/>
        <rFont val="Arial"/>
        <family val="2"/>
        <charset val="204"/>
      </rPr>
      <t xml:space="preserve">
</t>
    </r>
    <r>
      <rPr>
        <sz val="8"/>
        <color rgb="FF00B050"/>
        <rFont val="Arial"/>
        <family val="2"/>
        <charset val="204"/>
      </rPr>
      <t xml:space="preserve"> - Под Фундамент для фрезерного с ЧПУ UMBG VMC120/604А – 200мм,</t>
    </r>
    <r>
      <rPr>
        <sz val="8"/>
        <color rgb="FF000000"/>
        <rFont val="Arial"/>
        <family val="2"/>
        <charset val="204"/>
      </rPr>
      <t xml:space="preserve">
</t>
    </r>
    <r>
      <rPr>
        <sz val="8"/>
        <color rgb="FF00B050"/>
        <rFont val="Arial"/>
        <family val="2"/>
        <charset val="204"/>
      </rPr>
      <t xml:space="preserve"> - Под Фундамент для токарного с ЧПУ
 SPL330MS – 400мм,
</t>
    </r>
    <r>
      <rPr>
        <sz val="8"/>
        <color rgb="FF000000"/>
        <rFont val="Arial"/>
        <family val="2"/>
        <charset val="204"/>
      </rPr>
      <t xml:space="preserve"> - Приямки для слива воды – 550мм.</t>
    </r>
  </si>
  <si>
    <t>№ п/п</t>
  </si>
  <si>
    <t>Наименование материала</t>
  </si>
  <si>
    <t>Ед. изм.</t>
  </si>
  <si>
    <t>Объем / количество</t>
  </si>
  <si>
    <t>Примечание</t>
  </si>
  <si>
    <t>Песок по ГОСТ 8736-93</t>
  </si>
  <si>
    <t>Щебень М400 по ГОСТ 8267-93</t>
  </si>
  <si>
    <t>Бетон кл. В7,5</t>
  </si>
  <si>
    <t>Бетон кл. В25</t>
  </si>
  <si>
    <t>Мастика гидроизоляционная Технониколь №24 МГТН</t>
  </si>
  <si>
    <t>Пруток 1Ф-НД-10-А500С по ГОСТ 34028-2016</t>
  </si>
  <si>
    <t>Пруток 1Ф-НД-8-А500С по ГОСТ 34028-2016</t>
  </si>
  <si>
    <t>Пруток 1Ф-НД-12-А500С по ГОСТ 34028-2016</t>
  </si>
  <si>
    <t>Пруток 1Ф-НД-16-А500С по ГОСТ 34028-2016</t>
  </si>
  <si>
    <t>Пруток 1Ф-НД-8-А240С по ГОСТ 34028-2016</t>
  </si>
  <si>
    <t>Пруток 1Ф-НД-6-А240С по ГОСТ 34028-2016</t>
  </si>
  <si>
    <t>Уголок равнополочный 50х50х5 по ГОСТ 8509-93</t>
  </si>
  <si>
    <t>Гильза Ф159х4,5 по ГОСТ 10704-91</t>
  </si>
  <si>
    <t>Сталь рифленая толщ. 5 мм по ГОСТ 8568-57*</t>
  </si>
  <si>
    <t>Лоток бетонный ЛКБ Optima 300H350</t>
  </si>
  <si>
    <t>кг / п.м.</t>
  </si>
  <si>
    <t>236 331 / 1 750,6</t>
  </si>
  <si>
    <t>Крышка стальная Aguastok КС Optima 300 C250</t>
  </si>
  <si>
    <t>Топпинг серого цвета, расход 4,0 кг/м²</t>
  </si>
  <si>
    <t>кв.м. / кг</t>
  </si>
  <si>
    <t>18 301 / 73 204</t>
  </si>
  <si>
    <t>Вспененный полиэтилен толщ. 8–10 мм для изоляционных швов</t>
  </si>
  <si>
    <t>п.м. / кв.м.</t>
  </si>
  <si>
    <t>4 346,1 / 1 350,5</t>
  </si>
  <si>
    <t>Жгут Вилатерм Ф6 мм из вспененного полиэтилена</t>
  </si>
  <si>
    <t>ВИБРОФАМ SD10(12,5), полиуретановый эластомер</t>
  </si>
  <si>
    <t>кв.м.</t>
  </si>
  <si>
    <t>Шпаклевка композитная на основе портландцемента М400</t>
  </si>
  <si>
    <t>Герметик, расход 30 мл/м</t>
  </si>
  <si>
    <t>л</t>
  </si>
  <si>
    <t>Экструдированный полистирол</t>
  </si>
  <si>
    <t>Грунтовка MasterSeal P117</t>
  </si>
  <si>
    <t>Герметик MasterSeal CR171</t>
  </si>
  <si>
    <t>Фундаментный болт М16х650</t>
  </si>
  <si>
    <t>шт</t>
  </si>
  <si>
    <t>отсутствует в СО РД</t>
  </si>
  <si>
    <t>у них ошибка в весе, взял правильно</t>
  </si>
  <si>
    <t>взял с кф-1,26</t>
  </si>
  <si>
    <t>Гофрированная труба ф300мм</t>
  </si>
  <si>
    <t>м</t>
  </si>
  <si>
    <t>взял с кф-1,1</t>
  </si>
  <si>
    <t>кф разрыхл пробъем? В данном расчете без него</t>
  </si>
  <si>
    <t>Вспененый полиэтилен толщ 8-10, Н=0,3 м</t>
  </si>
  <si>
    <t>Устройство деформационного шва</t>
  </si>
  <si>
    <t>ед.изм</t>
  </si>
  <si>
    <t>Герметик Master Seal CR171 (360 мл/м), л</t>
  </si>
  <si>
    <t>Герметик Master Seal CR117 (15 мл/м), л</t>
  </si>
  <si>
    <t>Песок</t>
  </si>
  <si>
    <t>Бетон В7,5</t>
  </si>
  <si>
    <t>Технониколь №24 МГТН</t>
  </si>
  <si>
    <t>Арматура ф 10</t>
  </si>
  <si>
    <t>Арматура ф 8</t>
  </si>
  <si>
    <t>Бетон В25</t>
  </si>
  <si>
    <t>Топинг MONOPOL TOP200</t>
  </si>
  <si>
    <t>кг общ</t>
  </si>
  <si>
    <t>согласуют??? Взято без</t>
  </si>
  <si>
    <t>не учтено в СО РД</t>
  </si>
  <si>
    <t>3 слоя 1кг/1мп</t>
  </si>
  <si>
    <t>кф-1,1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</si>
</sst>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Calibri"/>
      <scheme val="minor"/>
    </font>
    <font>
      <sz val="14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4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4"/>
      <color rgb="FFFF0000"/>
      <name val="Arial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theme="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8" tint="0.59999389629810485"/>
      <name val="Calibri"/>
      <family val="2"/>
      <charset val="204"/>
      <scheme val="minor"/>
    </font>
    <font>
      <sz val="8"/>
      <color rgb="FF00B05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0"/>
      <color theme="8" tint="0.59999389629810485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0" tint="-0.1499984740745262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color theme="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theme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7" fillId="0" borderId="0"/>
  </cellStyleXfs>
  <cellXfs count="1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7" fillId="4" borderId="6" xfId="1" applyFont="1" applyFill="1" applyBorder="1" applyAlignment="1">
      <alignment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left" vertical="center" wrapText="1"/>
    </xf>
    <xf numFmtId="0" fontId="8" fillId="6" borderId="6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7" borderId="10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3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11" fillId="3" borderId="1" xfId="1" applyFont="1" applyFill="1" applyBorder="1" applyAlignment="1">
      <alignment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2" borderId="0" xfId="0" applyFill="1"/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Fill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4" fillId="0" borderId="0" xfId="0" applyFont="1" applyFill="1" applyAlignment="1">
      <alignment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9" fillId="0" borderId="0" xfId="2" applyFont="1" applyAlignment="1">
      <alignment vertical="center" wrapText="1"/>
    </xf>
    <xf numFmtId="0" fontId="19" fillId="0" borderId="1" xfId="2" applyFont="1" applyBorder="1" applyAlignment="1">
      <alignment horizontal="center" vertical="center"/>
    </xf>
    <xf numFmtId="0" fontId="19" fillId="0" borderId="1" xfId="2" applyFont="1" applyBorder="1" applyAlignment="1">
      <alignment vertical="center"/>
    </xf>
    <xf numFmtId="4" fontId="19" fillId="0" borderId="1" xfId="2" applyNumberFormat="1" applyFont="1" applyBorder="1" applyAlignment="1">
      <alignment horizontal="center" vertical="center"/>
    </xf>
    <xf numFmtId="0" fontId="19" fillId="0" borderId="0" xfId="2" applyFont="1" applyAlignment="1">
      <alignment vertical="center"/>
    </xf>
    <xf numFmtId="3" fontId="19" fillId="0" borderId="1" xfId="2" applyNumberFormat="1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1" fillId="0" borderId="0" xfId="0" applyFont="1"/>
    <xf numFmtId="0" fontId="0" fillId="0" borderId="1" xfId="0" applyBorder="1" applyAlignment="1">
      <alignment vertical="center"/>
    </xf>
    <xf numFmtId="0" fontId="2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14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3" fillId="0" borderId="0" xfId="0" applyFont="1" applyFill="1"/>
    <xf numFmtId="0" fontId="4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1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2" fontId="4" fillId="0" borderId="8" xfId="0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/>
    </xf>
    <xf numFmtId="0" fontId="27" fillId="0" borderId="17" xfId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0" xfId="0" applyFont="1"/>
    <xf numFmtId="0" fontId="12" fillId="0" borderId="1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3" xfId="0" applyFont="1" applyBorder="1"/>
    <xf numFmtId="0" fontId="12" fillId="0" borderId="14" xfId="0" applyFont="1" applyBorder="1" applyAlignment="1">
      <alignment horizontal="center"/>
    </xf>
    <xf numFmtId="0" fontId="12" fillId="0" borderId="14" xfId="0" applyFont="1" applyBorder="1"/>
    <xf numFmtId="0" fontId="12" fillId="0" borderId="15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3" fillId="0" borderId="13" xfId="0" applyFont="1" applyBorder="1"/>
    <xf numFmtId="0" fontId="13" fillId="0" borderId="14" xfId="0" applyFont="1" applyBorder="1" applyAlignment="1">
      <alignment horizontal="center"/>
    </xf>
    <xf numFmtId="0" fontId="13" fillId="0" borderId="14" xfId="0" applyFont="1" applyBorder="1"/>
  </cellXfs>
  <cellStyles count="3">
    <cellStyle name="Обычный" xfId="0" builtinId="0"/>
    <cellStyle name="Обычный 13" xfId="1" xr:uid="{00000000-0005-0000-0000-000001000000}"/>
    <cellStyle name="Обычный 2" xfId="2" xr:uid="{3CD4C986-B1E5-4E37-9F36-35A67AD8B6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A15"/>
  <sheetViews>
    <sheetView zoomScale="85" zoomScaleNormal="85" workbookViewId="0">
      <pane ySplit="2" topLeftCell="A3" activePane="bottomLeft" state="frozen"/>
      <selection pane="bottomLeft" activeCell="A2" sqref="A2:A5"/>
    </sheetView>
  </sheetViews>
  <sheetFormatPr defaultColWidth="9.140625" defaultRowHeight="18" x14ac:dyDescent="0.2"/>
  <cols>
    <col min="1" max="1" width="9" style="1" customWidth="1"/>
    <col min="2" max="2" width="13.7109375" style="1" bestFit="1" customWidth="1"/>
    <col min="3" max="3" width="15" style="1" bestFit="1" customWidth="1"/>
    <col min="4" max="4" width="20.140625" style="1" customWidth="1"/>
    <col min="5" max="5" width="23.42578125" style="1" customWidth="1"/>
    <col min="6" max="6" width="54.42578125" style="1" customWidth="1"/>
    <col min="7" max="7" width="13.28515625" style="1" bestFit="1" customWidth="1"/>
    <col min="8" max="10" width="13.28515625" style="1" customWidth="1"/>
    <col min="11" max="25" width="11.7109375" style="1" customWidth="1"/>
    <col min="26" max="26" width="20.28515625" style="1" customWidth="1"/>
    <col min="27" max="27" width="44.42578125" style="1" customWidth="1"/>
    <col min="28" max="16384" width="9.140625" style="1"/>
  </cols>
  <sheetData>
    <row r="1" spans="1:27" ht="17.25" customHeight="1" x14ac:dyDescent="0.2">
      <c r="G1" s="81" t="s">
        <v>30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7" ht="90" x14ac:dyDescent="0.2">
      <c r="A2" s="85" t="s">
        <v>16</v>
      </c>
      <c r="B2" s="85" t="s">
        <v>2</v>
      </c>
      <c r="C2" s="85" t="s">
        <v>1</v>
      </c>
      <c r="D2" s="85" t="s">
        <v>81</v>
      </c>
      <c r="E2" s="85" t="s">
        <v>9</v>
      </c>
      <c r="F2" s="85" t="s">
        <v>0</v>
      </c>
      <c r="G2" s="2" t="s">
        <v>34</v>
      </c>
      <c r="H2" s="27" t="s">
        <v>93</v>
      </c>
      <c r="I2" s="82" t="s">
        <v>35</v>
      </c>
      <c r="J2" s="84"/>
      <c r="K2" s="82" t="s">
        <v>23</v>
      </c>
      <c r="L2" s="83"/>
      <c r="M2" s="83"/>
      <c r="N2" s="84"/>
      <c r="O2" s="88" t="s">
        <v>24</v>
      </c>
      <c r="P2" s="88"/>
      <c r="Q2" s="82" t="s">
        <v>25</v>
      </c>
      <c r="R2" s="83"/>
      <c r="S2" s="84"/>
      <c r="T2" s="88" t="s">
        <v>26</v>
      </c>
      <c r="U2" s="88"/>
      <c r="V2" s="88" t="s">
        <v>27</v>
      </c>
      <c r="W2" s="88"/>
      <c r="X2" s="82" t="s">
        <v>80</v>
      </c>
      <c r="Y2" s="84"/>
      <c r="Z2" s="2" t="s">
        <v>44</v>
      </c>
    </row>
    <row r="3" spans="1:27" ht="72" x14ac:dyDescent="0.2">
      <c r="A3" s="86"/>
      <c r="B3" s="86"/>
      <c r="C3" s="86"/>
      <c r="D3" s="86"/>
      <c r="E3" s="86"/>
      <c r="F3" s="86"/>
      <c r="G3" s="2" t="s">
        <v>28</v>
      </c>
      <c r="H3" s="2" t="s">
        <v>28</v>
      </c>
      <c r="I3" s="2" t="s">
        <v>28</v>
      </c>
      <c r="J3" s="2" t="s">
        <v>29</v>
      </c>
      <c r="K3" s="2" t="s">
        <v>28</v>
      </c>
      <c r="L3" s="2" t="s">
        <v>38</v>
      </c>
      <c r="M3" s="2" t="s">
        <v>39</v>
      </c>
      <c r="N3" s="2" t="s">
        <v>41</v>
      </c>
      <c r="O3" s="2" t="s">
        <v>28</v>
      </c>
      <c r="P3" s="2" t="s">
        <v>29</v>
      </c>
      <c r="Q3" s="2" t="s">
        <v>28</v>
      </c>
      <c r="R3" s="2" t="s">
        <v>38</v>
      </c>
      <c r="S3" s="2" t="s">
        <v>39</v>
      </c>
      <c r="T3" s="2" t="s">
        <v>28</v>
      </c>
      <c r="U3" s="2" t="s">
        <v>29</v>
      </c>
      <c r="V3" s="2" t="s">
        <v>28</v>
      </c>
      <c r="W3" s="2" t="s">
        <v>29</v>
      </c>
      <c r="X3" s="2" t="s">
        <v>28</v>
      </c>
      <c r="Y3" s="2" t="s">
        <v>29</v>
      </c>
      <c r="Z3" s="2" t="s">
        <v>36</v>
      </c>
    </row>
    <row r="4" spans="1:27" ht="72" x14ac:dyDescent="0.2">
      <c r="A4" s="86"/>
      <c r="B4" s="86"/>
      <c r="C4" s="86"/>
      <c r="D4" s="86"/>
      <c r="E4" s="86"/>
      <c r="F4" s="86"/>
      <c r="G4" s="2" t="s">
        <v>31</v>
      </c>
      <c r="H4" s="2" t="s">
        <v>94</v>
      </c>
      <c r="I4" s="2" t="s">
        <v>31</v>
      </c>
      <c r="J4" s="2" t="s">
        <v>31</v>
      </c>
      <c r="K4" s="2" t="s">
        <v>31</v>
      </c>
      <c r="L4" s="2" t="s">
        <v>40</v>
      </c>
      <c r="M4" s="2" t="s">
        <v>31</v>
      </c>
      <c r="N4" s="2" t="s">
        <v>42</v>
      </c>
      <c r="O4" s="2" t="s">
        <v>32</v>
      </c>
      <c r="P4" s="2" t="s">
        <v>32</v>
      </c>
      <c r="Q4" s="2" t="s">
        <v>154</v>
      </c>
      <c r="R4" s="2" t="s">
        <v>40</v>
      </c>
      <c r="S4" s="2" t="s">
        <v>153</v>
      </c>
      <c r="T4" s="2" t="s">
        <v>33</v>
      </c>
      <c r="U4" s="2" t="s">
        <v>46</v>
      </c>
      <c r="V4" s="2" t="s">
        <v>32</v>
      </c>
      <c r="W4" s="2" t="s">
        <v>32</v>
      </c>
      <c r="X4" s="2" t="s">
        <v>31</v>
      </c>
      <c r="Y4" s="2" t="s">
        <v>31</v>
      </c>
      <c r="Z4" s="2" t="s">
        <v>31</v>
      </c>
    </row>
    <row r="5" spans="1:27" ht="54" x14ac:dyDescent="0.2">
      <c r="A5" s="87"/>
      <c r="B5" s="87"/>
      <c r="C5" s="87"/>
      <c r="D5" s="87"/>
      <c r="E5" s="87"/>
      <c r="F5" s="87"/>
      <c r="G5" s="2"/>
      <c r="H5" s="2"/>
      <c r="I5" s="2" t="s">
        <v>155</v>
      </c>
      <c r="J5" s="2" t="s">
        <v>43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3" t="s">
        <v>37</v>
      </c>
      <c r="AA5" s="80" t="s">
        <v>218</v>
      </c>
    </row>
    <row r="6" spans="1:27" ht="66.75" customHeight="1" x14ac:dyDescent="0.2">
      <c r="A6" s="2">
        <v>1</v>
      </c>
      <c r="B6" s="2" t="s">
        <v>3</v>
      </c>
      <c r="C6" s="2">
        <v>570</v>
      </c>
      <c r="D6" s="2">
        <f>C6*0.3</f>
        <v>171</v>
      </c>
      <c r="E6" s="2" t="s">
        <v>4</v>
      </c>
      <c r="F6" s="2" t="s">
        <v>15</v>
      </c>
      <c r="G6" s="2">
        <f>'демонтаж пола'!C4+'демонтаж пола'!C6</f>
        <v>263.25</v>
      </c>
      <c r="H6" s="2">
        <v>0</v>
      </c>
      <c r="I6" s="1">
        <f>'земляные работы'!C4</f>
        <v>3.2307199999999998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f>лотки!C21</f>
        <v>33</v>
      </c>
      <c r="P6" s="2">
        <f>O6</f>
        <v>33</v>
      </c>
      <c r="Q6" s="2">
        <f>T6*0.3</f>
        <v>167.15399999999997</v>
      </c>
      <c r="R6" s="2">
        <f>('полы + топпинг'!C15+'полы + топпинг'!C16)/1000</f>
        <v>7.4385000000000003</v>
      </c>
      <c r="S6" s="2">
        <f t="shared" ref="S6:S12" si="0">T6*0.05</f>
        <v>27.858999999999998</v>
      </c>
      <c r="T6" s="2">
        <f>570-9.12-3.7</f>
        <v>557.17999999999995</v>
      </c>
      <c r="U6" s="2">
        <f>T6*3</f>
        <v>1671.54</v>
      </c>
      <c r="V6" s="2">
        <f>'деф шов'!C3</f>
        <v>107.92</v>
      </c>
      <c r="W6" s="2">
        <f>V6</f>
        <v>107.92</v>
      </c>
      <c r="X6" s="2">
        <v>0</v>
      </c>
      <c r="Y6" s="65">
        <v>0</v>
      </c>
      <c r="Z6" s="2">
        <f>G6+I6</f>
        <v>266.48072000000002</v>
      </c>
    </row>
    <row r="7" spans="1:27" ht="66.75" customHeight="1" x14ac:dyDescent="0.2">
      <c r="A7" s="2">
        <v>2</v>
      </c>
      <c r="B7" s="2" t="s">
        <v>5</v>
      </c>
      <c r="C7" s="2">
        <v>677</v>
      </c>
      <c r="D7" s="2">
        <f t="shared" ref="D7:D13" si="1">C7*0.3</f>
        <v>203.1</v>
      </c>
      <c r="E7" s="2" t="s">
        <v>6</v>
      </c>
      <c r="F7" s="2" t="s">
        <v>7</v>
      </c>
      <c r="G7" s="65">
        <f>'демонтаж пола'!D4+'демонтаж пола'!D6</f>
        <v>337.5</v>
      </c>
      <c r="H7" s="65">
        <v>0</v>
      </c>
      <c r="I7" s="2">
        <f>'земляные работы'!D4</f>
        <v>19.847999999999999</v>
      </c>
      <c r="J7" s="2">
        <v>0</v>
      </c>
      <c r="K7" s="65">
        <f>фундаменты!D24</f>
        <v>29.783999999999999</v>
      </c>
      <c r="L7" s="2">
        <f>(фундаменты!D20+фундаменты!D28)/1000</f>
        <v>3.7567824000000005</v>
      </c>
      <c r="M7" s="2">
        <f>K7</f>
        <v>29.783999999999999</v>
      </c>
      <c r="N7" s="2">
        <v>0</v>
      </c>
      <c r="O7" s="2">
        <f>лотки!D21</f>
        <v>89</v>
      </c>
      <c r="P7" s="65">
        <f t="shared" ref="P7:P12" si="2">O7</f>
        <v>89</v>
      </c>
      <c r="Q7" s="2">
        <f>627.38*0.3</f>
        <v>188.214</v>
      </c>
      <c r="R7" s="65">
        <f>('полы + топпинг'!D15+'полы + топпинг'!D16)/1000</f>
        <v>8.8348500000000012</v>
      </c>
      <c r="S7" s="2">
        <f t="shared" si="0"/>
        <v>31.369</v>
      </c>
      <c r="T7" s="2">
        <v>627.38</v>
      </c>
      <c r="U7" s="41">
        <f>T7*3</f>
        <v>1882.1399999999999</v>
      </c>
      <c r="V7" s="2">
        <f>'деф шов'!D3</f>
        <v>165.2</v>
      </c>
      <c r="W7" s="65">
        <f t="shared" ref="W7:W12" si="3">V7</f>
        <v>165.2</v>
      </c>
      <c r="X7" s="2">
        <v>0</v>
      </c>
      <c r="Y7" s="65">
        <v>0</v>
      </c>
      <c r="Z7" s="65">
        <f t="shared" ref="Z7:Z12" si="4">G7+I7</f>
        <v>357.34800000000001</v>
      </c>
    </row>
    <row r="8" spans="1:27" ht="66.75" customHeight="1" x14ac:dyDescent="0.2">
      <c r="A8" s="2">
        <v>3</v>
      </c>
      <c r="B8" s="2" t="s">
        <v>8</v>
      </c>
      <c r="C8" s="2">
        <v>374</v>
      </c>
      <c r="D8" s="2">
        <f t="shared" si="1"/>
        <v>112.2</v>
      </c>
      <c r="E8" s="2">
        <v>0</v>
      </c>
      <c r="F8" s="2" t="s">
        <v>14</v>
      </c>
      <c r="G8" s="65">
        <f>'демонтаж пола'!E4+'демонтаж пола'!E6</f>
        <v>168.3</v>
      </c>
      <c r="H8" s="65">
        <v>0</v>
      </c>
      <c r="I8" s="2">
        <v>0</v>
      </c>
      <c r="J8" s="65">
        <v>0</v>
      </c>
      <c r="K8" s="65">
        <v>0</v>
      </c>
      <c r="L8" s="2">
        <v>0</v>
      </c>
      <c r="M8" s="2">
        <v>0</v>
      </c>
      <c r="N8" s="2">
        <v>0</v>
      </c>
      <c r="O8" s="2">
        <f>лотки!E21</f>
        <v>33</v>
      </c>
      <c r="P8" s="65">
        <f t="shared" si="2"/>
        <v>33</v>
      </c>
      <c r="Q8" s="2">
        <f t="shared" ref="Q8:Q12" si="5">T8*0.3</f>
        <v>79.259999999999991</v>
      </c>
      <c r="R8" s="65">
        <f>('полы + топпинг'!E15+'полы + топпинг'!E16)/1000</f>
        <v>4.8807000000000009</v>
      </c>
      <c r="S8" s="2">
        <f t="shared" si="0"/>
        <v>13.21</v>
      </c>
      <c r="T8" s="2">
        <f>374-109.8</f>
        <v>264.2</v>
      </c>
      <c r="U8" s="41">
        <f t="shared" ref="U8:U12" si="6">T8*3</f>
        <v>792.59999999999991</v>
      </c>
      <c r="V8" s="2">
        <f>'деф шов'!E3</f>
        <v>121.3</v>
      </c>
      <c r="W8" s="65">
        <f t="shared" si="3"/>
        <v>121.3</v>
      </c>
      <c r="X8" s="65">
        <v>0</v>
      </c>
      <c r="Y8" s="65">
        <v>0</v>
      </c>
      <c r="Z8" s="65">
        <f t="shared" si="4"/>
        <v>168.3</v>
      </c>
    </row>
    <row r="9" spans="1:27" ht="66.75" customHeight="1" x14ac:dyDescent="0.2">
      <c r="A9" s="2">
        <v>4</v>
      </c>
      <c r="B9" s="2" t="s">
        <v>11</v>
      </c>
      <c r="C9" s="2">
        <v>550</v>
      </c>
      <c r="D9" s="2">
        <f t="shared" si="1"/>
        <v>165</v>
      </c>
      <c r="E9" s="2">
        <v>0</v>
      </c>
      <c r="F9" s="2" t="s">
        <v>10</v>
      </c>
      <c r="G9" s="65">
        <f>'демонтаж пола'!F4+'демонтаж пола'!F6</f>
        <v>247.5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2">
        <v>0</v>
      </c>
      <c r="O9" s="2">
        <f>лотки!F21</f>
        <v>59</v>
      </c>
      <c r="P9" s="65">
        <f t="shared" si="2"/>
        <v>59</v>
      </c>
      <c r="Q9" s="2">
        <f t="shared" si="5"/>
        <v>165</v>
      </c>
      <c r="R9" s="65">
        <f>('полы + топпинг'!F15+'полы + топпинг'!F16)/1000</f>
        <v>7.1775000000000002</v>
      </c>
      <c r="S9" s="2">
        <f t="shared" si="0"/>
        <v>27.5</v>
      </c>
      <c r="T9" s="2">
        <v>550</v>
      </c>
      <c r="U9" s="41">
        <f t="shared" si="6"/>
        <v>1650</v>
      </c>
      <c r="V9" s="2">
        <f>'деф шов'!F3</f>
        <v>106</v>
      </c>
      <c r="W9" s="65">
        <f t="shared" si="3"/>
        <v>106</v>
      </c>
      <c r="X9" s="65">
        <v>0</v>
      </c>
      <c r="Y9" s="65">
        <v>0</v>
      </c>
      <c r="Z9" s="65">
        <f t="shared" si="4"/>
        <v>247.5</v>
      </c>
    </row>
    <row r="10" spans="1:27" ht="66.75" customHeight="1" x14ac:dyDescent="0.2">
      <c r="A10" s="2">
        <v>5</v>
      </c>
      <c r="B10" s="2" t="s">
        <v>12</v>
      </c>
      <c r="C10" s="2">
        <v>250</v>
      </c>
      <c r="D10" s="2">
        <f t="shared" si="1"/>
        <v>75</v>
      </c>
      <c r="E10" s="2">
        <v>10.3</v>
      </c>
      <c r="F10" s="2" t="s">
        <v>13</v>
      </c>
      <c r="G10" s="65">
        <f>'демонтаж пола'!G4+'демонтаж пола'!G6</f>
        <v>112.5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2">
        <v>0</v>
      </c>
      <c r="O10" s="2">
        <f>лотки!G21</f>
        <v>22</v>
      </c>
      <c r="P10" s="65">
        <f t="shared" si="2"/>
        <v>22</v>
      </c>
      <c r="Q10" s="2">
        <f t="shared" si="5"/>
        <v>75</v>
      </c>
      <c r="R10" s="65">
        <f>('полы + топпинг'!G15+'полы + топпинг'!G16)/1000</f>
        <v>3.2625000000000002</v>
      </c>
      <c r="S10" s="2">
        <f t="shared" si="0"/>
        <v>12.5</v>
      </c>
      <c r="T10" s="2">
        <v>250</v>
      </c>
      <c r="U10" s="41">
        <f t="shared" si="6"/>
        <v>750</v>
      </c>
      <c r="V10" s="2">
        <f>'деф шов'!G3</f>
        <v>50</v>
      </c>
      <c r="W10" s="65">
        <f t="shared" si="3"/>
        <v>50</v>
      </c>
      <c r="X10" s="65">
        <v>0</v>
      </c>
      <c r="Y10" s="65">
        <v>0</v>
      </c>
      <c r="Z10" s="65">
        <f t="shared" si="4"/>
        <v>112.5</v>
      </c>
    </row>
    <row r="11" spans="1:27" ht="66.75" customHeight="1" x14ac:dyDescent="0.2">
      <c r="A11" s="2">
        <v>6</v>
      </c>
      <c r="B11" s="2" t="s">
        <v>17</v>
      </c>
      <c r="C11" s="2">
        <v>140</v>
      </c>
      <c r="D11" s="2">
        <f t="shared" si="1"/>
        <v>42</v>
      </c>
      <c r="E11" s="2">
        <v>0</v>
      </c>
      <c r="F11" s="2" t="s">
        <v>22</v>
      </c>
      <c r="G11" s="65">
        <f>'демонтаж пола'!H4+'демонтаж пола'!H6</f>
        <v>63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2">
        <v>0</v>
      </c>
      <c r="O11" s="2">
        <f>лотки!H21</f>
        <v>24</v>
      </c>
      <c r="P11" s="65">
        <f t="shared" si="2"/>
        <v>24</v>
      </c>
      <c r="Q11" s="2">
        <f t="shared" si="5"/>
        <v>42</v>
      </c>
      <c r="R11" s="65">
        <f>('полы + топпинг'!H15+'полы + топпинг'!H16)/1000</f>
        <v>1.827</v>
      </c>
      <c r="S11" s="2">
        <f t="shared" si="0"/>
        <v>7</v>
      </c>
      <c r="T11" s="2">
        <v>140</v>
      </c>
      <c r="U11" s="41">
        <f t="shared" si="6"/>
        <v>420</v>
      </c>
      <c r="V11" s="2">
        <f>'деф шов'!H3</f>
        <v>44</v>
      </c>
      <c r="W11" s="65">
        <f t="shared" si="3"/>
        <v>44</v>
      </c>
      <c r="X11" s="65">
        <v>0</v>
      </c>
      <c r="Y11" s="65">
        <v>0</v>
      </c>
      <c r="Z11" s="65">
        <f t="shared" si="4"/>
        <v>63</v>
      </c>
    </row>
    <row r="12" spans="1:27" ht="66.75" customHeight="1" x14ac:dyDescent="0.2">
      <c r="A12" s="2">
        <v>7</v>
      </c>
      <c r="B12" s="2" t="s">
        <v>19</v>
      </c>
      <c r="C12" s="2">
        <v>933</v>
      </c>
      <c r="D12" s="2">
        <f t="shared" si="1"/>
        <v>279.89999999999998</v>
      </c>
      <c r="E12" s="2">
        <v>0</v>
      </c>
      <c r="F12" s="2" t="s">
        <v>20</v>
      </c>
      <c r="G12" s="65">
        <f>'демонтаж пола'!I4+'демонтаж пола'!I6</f>
        <v>419.84999999999997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2">
        <v>0</v>
      </c>
      <c r="O12" s="2">
        <f>лотки!I21</f>
        <v>91</v>
      </c>
      <c r="P12" s="65">
        <f t="shared" si="2"/>
        <v>91</v>
      </c>
      <c r="Q12" s="2">
        <f t="shared" si="5"/>
        <v>279.89999999999998</v>
      </c>
      <c r="R12" s="65">
        <f>('полы + топпинг'!I15+'полы + топпинг'!I16)/1000</f>
        <v>12.175650000000001</v>
      </c>
      <c r="S12" s="2">
        <f t="shared" si="0"/>
        <v>46.650000000000006</v>
      </c>
      <c r="T12" s="2">
        <v>933</v>
      </c>
      <c r="U12" s="41">
        <f t="shared" si="6"/>
        <v>2799</v>
      </c>
      <c r="V12" s="2">
        <f>'деф шов'!I3</f>
        <v>104.6</v>
      </c>
      <c r="W12" s="65">
        <f t="shared" si="3"/>
        <v>104.6</v>
      </c>
      <c r="X12" s="65">
        <v>0</v>
      </c>
      <c r="Y12" s="65">
        <v>0</v>
      </c>
      <c r="Z12" s="65">
        <f t="shared" si="4"/>
        <v>419.84999999999997</v>
      </c>
    </row>
    <row r="13" spans="1:27" s="79" customFormat="1" ht="66.75" customHeight="1" x14ac:dyDescent="0.2">
      <c r="A13" s="78">
        <v>8</v>
      </c>
      <c r="B13" s="78" t="s">
        <v>18</v>
      </c>
      <c r="C13" s="78">
        <v>450</v>
      </c>
      <c r="D13" s="78">
        <f t="shared" si="1"/>
        <v>135</v>
      </c>
      <c r="E13" s="78">
        <v>0</v>
      </c>
      <c r="F13" s="78" t="s">
        <v>21</v>
      </c>
      <c r="G13" s="78">
        <f>'демонтаж пола'!C11+'демонтаж пола'!C13</f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</row>
    <row r="14" spans="1:27" ht="66.75" customHeight="1" x14ac:dyDescent="0.2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7" ht="66.75" customHeight="1" x14ac:dyDescent="0.2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</sheetData>
  <mergeCells count="14">
    <mergeCell ref="G1:Z1"/>
    <mergeCell ref="K2:N2"/>
    <mergeCell ref="Q2:S2"/>
    <mergeCell ref="X2:Y2"/>
    <mergeCell ref="A2:A5"/>
    <mergeCell ref="B2:B5"/>
    <mergeCell ref="C2:C5"/>
    <mergeCell ref="D2:D5"/>
    <mergeCell ref="E2:E5"/>
    <mergeCell ref="F2:F5"/>
    <mergeCell ref="O2:P2"/>
    <mergeCell ref="V2:W2"/>
    <mergeCell ref="T2:U2"/>
    <mergeCell ref="I2:J2"/>
  </mergeCells>
  <phoneticPr fontId="2" type="noConversion"/>
  <pageMargins left="0.7" right="0.7" top="0.75" bottom="0.75" header="0.3" footer="0.3"/>
  <pageSetup orientation="portrait" horizontalDpi="1200" verticalDpi="12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17"/>
  <sheetViews>
    <sheetView zoomScale="145" zoomScaleNormal="145" workbookViewId="0">
      <selection activeCell="H33" sqref="H33"/>
    </sheetView>
  </sheetViews>
  <sheetFormatPr defaultRowHeight="12.75" x14ac:dyDescent="0.2"/>
  <cols>
    <col min="1" max="1" width="58.5703125" customWidth="1"/>
    <col min="2" max="2" width="6.7109375" bestFit="1" customWidth="1"/>
    <col min="3" max="10" width="10" bestFit="1" customWidth="1"/>
  </cols>
  <sheetData>
    <row r="1" spans="1:10" x14ac:dyDescent="0.2">
      <c r="A1" s="89" t="s">
        <v>47</v>
      </c>
      <c r="B1" s="89" t="s">
        <v>48</v>
      </c>
      <c r="C1" s="11" t="s">
        <v>50</v>
      </c>
      <c r="D1" s="11" t="s">
        <v>51</v>
      </c>
      <c r="E1" s="11" t="s">
        <v>52</v>
      </c>
      <c r="F1" s="11" t="s">
        <v>53</v>
      </c>
      <c r="G1" s="11" t="s">
        <v>54</v>
      </c>
      <c r="H1" s="11" t="s">
        <v>55</v>
      </c>
      <c r="I1" s="11" t="s">
        <v>56</v>
      </c>
      <c r="J1" s="11" t="s">
        <v>59</v>
      </c>
    </row>
    <row r="2" spans="1:10" x14ac:dyDescent="0.2">
      <c r="A2" s="89"/>
      <c r="B2" s="89"/>
      <c r="C2" s="6" t="s">
        <v>49</v>
      </c>
      <c r="D2" s="6" t="s">
        <v>49</v>
      </c>
      <c r="E2" s="6" t="s">
        <v>49</v>
      </c>
      <c r="F2" s="6" t="s">
        <v>49</v>
      </c>
      <c r="G2" s="6" t="s">
        <v>49</v>
      </c>
      <c r="H2" s="6" t="s">
        <v>49</v>
      </c>
      <c r="I2" s="6" t="s">
        <v>49</v>
      </c>
      <c r="J2" s="6" t="s">
        <v>49</v>
      </c>
    </row>
    <row r="3" spans="1:10" ht="22.5" x14ac:dyDescent="0.2">
      <c r="A3" s="21" t="s">
        <v>67</v>
      </c>
      <c r="B3" s="22" t="s">
        <v>33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</row>
    <row r="4" spans="1:10" x14ac:dyDescent="0.2">
      <c r="A4" s="23" t="s">
        <v>70</v>
      </c>
      <c r="B4" s="22" t="s">
        <v>31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</row>
    <row r="5" spans="1:10" ht="22.5" x14ac:dyDescent="0.2">
      <c r="A5" s="21" t="s">
        <v>150</v>
      </c>
      <c r="B5" s="22" t="s">
        <v>97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</row>
    <row r="7" spans="1:10" x14ac:dyDescent="0.2">
      <c r="A7" s="9" t="s">
        <v>151</v>
      </c>
      <c r="B7" s="9" t="s">
        <v>152</v>
      </c>
      <c r="C7" s="11" t="s">
        <v>50</v>
      </c>
      <c r="D7" s="11" t="s">
        <v>51</v>
      </c>
      <c r="E7" s="11" t="s">
        <v>52</v>
      </c>
      <c r="F7" s="11" t="s">
        <v>53</v>
      </c>
      <c r="G7" s="11" t="s">
        <v>54</v>
      </c>
      <c r="H7" s="11" t="s">
        <v>55</v>
      </c>
      <c r="I7" s="11" t="s">
        <v>56</v>
      </c>
      <c r="J7" s="11" t="s">
        <v>59</v>
      </c>
    </row>
    <row r="8" spans="1:10" x14ac:dyDescent="0.2">
      <c r="A8" s="6" t="s">
        <v>156</v>
      </c>
      <c r="B8" s="10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x14ac:dyDescent="0.2">
      <c r="A9" s="7"/>
      <c r="B9" s="10"/>
      <c r="C9" s="7"/>
      <c r="D9" s="7"/>
      <c r="E9" s="7"/>
      <c r="F9" s="7"/>
      <c r="G9" s="7"/>
      <c r="H9" s="7"/>
      <c r="I9" s="7"/>
      <c r="J9" s="7"/>
    </row>
    <row r="10" spans="1:10" x14ac:dyDescent="0.2">
      <c r="A10" s="7"/>
      <c r="B10" s="10"/>
      <c r="C10" s="7"/>
      <c r="D10" s="7"/>
      <c r="E10" s="7"/>
      <c r="F10" s="7"/>
      <c r="G10" s="7"/>
      <c r="H10" s="7"/>
      <c r="I10" s="7"/>
      <c r="J10" s="7"/>
    </row>
    <row r="11" spans="1:10" x14ac:dyDescent="0.2">
      <c r="A11" s="7"/>
      <c r="B11" s="10"/>
      <c r="C11" s="7"/>
      <c r="D11" s="7"/>
      <c r="E11" s="7"/>
      <c r="F11" s="7"/>
      <c r="G11" s="7"/>
      <c r="H11" s="7"/>
      <c r="I11" s="7"/>
      <c r="J11" s="7"/>
    </row>
    <row r="12" spans="1:10" x14ac:dyDescent="0.2">
      <c r="A12" s="7"/>
      <c r="B12" s="10"/>
      <c r="C12" s="7"/>
      <c r="D12" s="7"/>
      <c r="E12" s="7"/>
      <c r="F12" s="7"/>
      <c r="G12" s="7"/>
      <c r="H12" s="7"/>
      <c r="I12" s="7"/>
      <c r="J12" s="7"/>
    </row>
    <row r="13" spans="1:10" x14ac:dyDescent="0.2">
      <c r="A13" s="7"/>
      <c r="B13" s="10"/>
      <c r="C13" s="7"/>
      <c r="D13" s="7"/>
      <c r="E13" s="7"/>
      <c r="F13" s="7"/>
      <c r="G13" s="7"/>
      <c r="H13" s="7"/>
      <c r="I13" s="7"/>
      <c r="J13" s="7"/>
    </row>
    <row r="14" spans="1:10" x14ac:dyDescent="0.2">
      <c r="A14" s="7"/>
      <c r="B14" s="10"/>
      <c r="C14" s="7"/>
      <c r="D14" s="7"/>
      <c r="E14" s="7"/>
      <c r="F14" s="7"/>
      <c r="G14" s="7"/>
      <c r="H14" s="7"/>
      <c r="I14" s="7"/>
      <c r="J14" s="7"/>
    </row>
    <row r="15" spans="1:10" x14ac:dyDescent="0.2">
      <c r="A15" s="7"/>
      <c r="B15" s="10"/>
      <c r="C15" s="7"/>
      <c r="D15" s="7"/>
      <c r="E15" s="7"/>
      <c r="F15" s="7"/>
      <c r="G15" s="7"/>
      <c r="H15" s="7"/>
      <c r="I15" s="7"/>
      <c r="J15" s="7"/>
    </row>
    <row r="17" spans="1:1" x14ac:dyDescent="0.2">
      <c r="A17" s="5"/>
    </row>
  </sheetData>
  <mergeCells count="2"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2C41-33CA-4164-B8C2-8442E9FCB0F4}">
  <sheetPr>
    <tabColor rgb="FF7030A0"/>
  </sheetPr>
  <dimension ref="A1:E28"/>
  <sheetViews>
    <sheetView zoomScale="160" zoomScaleNormal="160" workbookViewId="0">
      <pane ySplit="1" topLeftCell="A2" activePane="bottomLeft" state="frozen"/>
      <selection pane="bottomLeft" activeCell="B8" sqref="B8"/>
    </sheetView>
  </sheetViews>
  <sheetFormatPr defaultRowHeight="15.75" x14ac:dyDescent="0.2"/>
  <cols>
    <col min="1" max="1" width="9.140625" style="56"/>
    <col min="2" max="2" width="70" style="56" customWidth="1"/>
    <col min="3" max="3" width="16.5703125" style="59" customWidth="1"/>
    <col min="4" max="4" width="19.5703125" style="59" customWidth="1"/>
    <col min="5" max="5" width="36.5703125" style="59" customWidth="1"/>
    <col min="6" max="16384" width="9.140625" style="56"/>
  </cols>
  <sheetData>
    <row r="1" spans="1:5" s="52" customFormat="1" ht="31.5" x14ac:dyDescent="0.2">
      <c r="A1" s="51" t="s">
        <v>158</v>
      </c>
      <c r="B1" s="51" t="s">
        <v>159</v>
      </c>
      <c r="C1" s="51" t="s">
        <v>160</v>
      </c>
      <c r="D1" s="51" t="s">
        <v>161</v>
      </c>
      <c r="E1" s="51" t="s">
        <v>162</v>
      </c>
    </row>
    <row r="2" spans="1:5" x14ac:dyDescent="0.2">
      <c r="A2" s="53">
        <v>1</v>
      </c>
      <c r="B2" s="54" t="s">
        <v>163</v>
      </c>
      <c r="C2" s="53" t="s">
        <v>57</v>
      </c>
      <c r="D2" s="55">
        <v>1882.6</v>
      </c>
      <c r="E2" s="55"/>
    </row>
    <row r="3" spans="1:5" x14ac:dyDescent="0.2">
      <c r="A3" s="53">
        <v>2</v>
      </c>
      <c r="B3" s="54" t="s">
        <v>164</v>
      </c>
      <c r="C3" s="53" t="s">
        <v>57</v>
      </c>
      <c r="D3" s="53">
        <v>129.71</v>
      </c>
      <c r="E3" s="53"/>
    </row>
    <row r="4" spans="1:5" x14ac:dyDescent="0.2">
      <c r="A4" s="53">
        <v>3</v>
      </c>
      <c r="B4" s="54" t="s">
        <v>165</v>
      </c>
      <c r="C4" s="53" t="s">
        <v>57</v>
      </c>
      <c r="D4" s="53">
        <v>921.14</v>
      </c>
      <c r="E4" s="53"/>
    </row>
    <row r="5" spans="1:5" x14ac:dyDescent="0.2">
      <c r="A5" s="53">
        <v>4</v>
      </c>
      <c r="B5" s="54" t="s">
        <v>166</v>
      </c>
      <c r="C5" s="53" t="s">
        <v>57</v>
      </c>
      <c r="D5" s="55">
        <v>5560.1</v>
      </c>
      <c r="E5" s="55"/>
    </row>
    <row r="6" spans="1:5" x14ac:dyDescent="0.2">
      <c r="A6" s="53">
        <v>5</v>
      </c>
      <c r="B6" s="54" t="s">
        <v>167</v>
      </c>
      <c r="C6" s="53" t="s">
        <v>46</v>
      </c>
      <c r="D6" s="55">
        <v>57388.4</v>
      </c>
      <c r="E6" s="55"/>
    </row>
    <row r="7" spans="1:5" x14ac:dyDescent="0.2">
      <c r="A7" s="53">
        <v>6</v>
      </c>
      <c r="B7" s="54" t="s">
        <v>168</v>
      </c>
      <c r="C7" s="53" t="s">
        <v>46</v>
      </c>
      <c r="D7" s="57">
        <v>226193</v>
      </c>
      <c r="E7" s="57"/>
    </row>
    <row r="8" spans="1:5" x14ac:dyDescent="0.2">
      <c r="A8" s="53">
        <v>7</v>
      </c>
      <c r="B8" s="54" t="s">
        <v>169</v>
      </c>
      <c r="C8" s="53" t="s">
        <v>46</v>
      </c>
      <c r="D8" s="55">
        <v>3299.4</v>
      </c>
      <c r="E8" s="55"/>
    </row>
    <row r="9" spans="1:5" x14ac:dyDescent="0.2">
      <c r="A9" s="53">
        <v>8</v>
      </c>
      <c r="B9" s="54" t="s">
        <v>170</v>
      </c>
      <c r="C9" s="53" t="s">
        <v>46</v>
      </c>
      <c r="D9" s="55">
        <v>1582.92</v>
      </c>
      <c r="E9" s="55"/>
    </row>
    <row r="10" spans="1:5" x14ac:dyDescent="0.2">
      <c r="A10" s="53">
        <v>9</v>
      </c>
      <c r="B10" s="54" t="s">
        <v>171</v>
      </c>
      <c r="C10" s="53" t="s">
        <v>46</v>
      </c>
      <c r="D10" s="55">
        <v>3394.68</v>
      </c>
      <c r="E10" s="55"/>
    </row>
    <row r="11" spans="1:5" x14ac:dyDescent="0.2">
      <c r="A11" s="53">
        <v>10</v>
      </c>
      <c r="B11" s="54" t="s">
        <v>172</v>
      </c>
      <c r="C11" s="53" t="s">
        <v>46</v>
      </c>
      <c r="D11" s="53">
        <v>91.8</v>
      </c>
      <c r="E11" s="53"/>
    </row>
    <row r="12" spans="1:5" x14ac:dyDescent="0.2">
      <c r="A12" s="53">
        <v>11</v>
      </c>
      <c r="B12" s="54" t="s">
        <v>173</v>
      </c>
      <c r="C12" s="53" t="s">
        <v>46</v>
      </c>
      <c r="D12" s="53">
        <v>5.4</v>
      </c>
      <c r="E12" s="53"/>
    </row>
    <row r="13" spans="1:5" x14ac:dyDescent="0.2">
      <c r="A13" s="53">
        <v>12</v>
      </c>
      <c r="B13" s="54" t="s">
        <v>174</v>
      </c>
      <c r="C13" s="53" t="s">
        <v>46</v>
      </c>
      <c r="D13" s="53">
        <v>95.31</v>
      </c>
      <c r="E13" s="53"/>
    </row>
    <row r="14" spans="1:5" x14ac:dyDescent="0.2">
      <c r="A14" s="53">
        <v>13</v>
      </c>
      <c r="B14" s="54" t="s">
        <v>175</v>
      </c>
      <c r="C14" s="53" t="s">
        <v>46</v>
      </c>
      <c r="D14" s="53">
        <v>17.149999999999999</v>
      </c>
      <c r="E14" s="53"/>
    </row>
    <row r="15" spans="1:5" x14ac:dyDescent="0.2">
      <c r="A15" s="53">
        <v>14</v>
      </c>
      <c r="B15" s="54" t="s">
        <v>176</v>
      </c>
      <c r="C15" s="53" t="s">
        <v>46</v>
      </c>
      <c r="D15" s="53">
        <v>8.75</v>
      </c>
      <c r="E15" s="53"/>
    </row>
    <row r="16" spans="1:5" x14ac:dyDescent="0.2">
      <c r="A16" s="53">
        <v>15</v>
      </c>
      <c r="B16" s="54" t="s">
        <v>177</v>
      </c>
      <c r="C16" s="53" t="s">
        <v>178</v>
      </c>
      <c r="D16" s="53" t="s">
        <v>179</v>
      </c>
      <c r="E16" s="53"/>
    </row>
    <row r="17" spans="1:5" x14ac:dyDescent="0.2">
      <c r="A17" s="53">
        <v>16</v>
      </c>
      <c r="B17" s="54" t="s">
        <v>180</v>
      </c>
      <c r="C17" s="53" t="s">
        <v>46</v>
      </c>
      <c r="D17" s="57">
        <v>52518</v>
      </c>
      <c r="E17" s="57"/>
    </row>
    <row r="18" spans="1:5" x14ac:dyDescent="0.2">
      <c r="A18" s="53">
        <v>17</v>
      </c>
      <c r="B18" s="54" t="s">
        <v>181</v>
      </c>
      <c r="C18" s="53" t="s">
        <v>182</v>
      </c>
      <c r="D18" s="53" t="s">
        <v>183</v>
      </c>
      <c r="E18" s="53"/>
    </row>
    <row r="19" spans="1:5" x14ac:dyDescent="0.2">
      <c r="A19" s="53">
        <v>18</v>
      </c>
      <c r="B19" s="54" t="s">
        <v>184</v>
      </c>
      <c r="C19" s="53" t="s">
        <v>185</v>
      </c>
      <c r="D19" s="53" t="s">
        <v>186</v>
      </c>
      <c r="E19" s="53"/>
    </row>
    <row r="20" spans="1:5" x14ac:dyDescent="0.2">
      <c r="A20" s="53">
        <v>19</v>
      </c>
      <c r="B20" s="54" t="s">
        <v>187</v>
      </c>
      <c r="C20" s="53" t="s">
        <v>73</v>
      </c>
      <c r="D20" s="55">
        <v>4826.8</v>
      </c>
      <c r="E20" s="55"/>
    </row>
    <row r="21" spans="1:5" x14ac:dyDescent="0.2">
      <c r="A21" s="53">
        <v>20</v>
      </c>
      <c r="B21" s="54" t="s">
        <v>188</v>
      </c>
      <c r="C21" s="53" t="s">
        <v>189</v>
      </c>
      <c r="D21" s="53">
        <v>54</v>
      </c>
      <c r="E21" s="53"/>
    </row>
    <row r="22" spans="1:5" x14ac:dyDescent="0.2">
      <c r="A22" s="53">
        <v>21</v>
      </c>
      <c r="B22" s="54" t="s">
        <v>190</v>
      </c>
      <c r="C22" s="53" t="s">
        <v>57</v>
      </c>
      <c r="D22" s="53">
        <v>21.7</v>
      </c>
      <c r="E22" s="53"/>
    </row>
    <row r="23" spans="1:5" x14ac:dyDescent="0.2">
      <c r="A23" s="53">
        <v>22</v>
      </c>
      <c r="B23" s="54" t="s">
        <v>191</v>
      </c>
      <c r="C23" s="53" t="s">
        <v>192</v>
      </c>
      <c r="D23" s="53">
        <v>144.80000000000001</v>
      </c>
      <c r="E23" s="53"/>
    </row>
    <row r="24" spans="1:5" x14ac:dyDescent="0.2">
      <c r="A24" s="53">
        <v>23</v>
      </c>
      <c r="B24" s="54" t="s">
        <v>193</v>
      </c>
      <c r="C24" s="53" t="s">
        <v>57</v>
      </c>
      <c r="D24" s="53">
        <v>1.52</v>
      </c>
      <c r="E24" s="53"/>
    </row>
    <row r="25" spans="1:5" x14ac:dyDescent="0.2">
      <c r="A25" s="53">
        <v>24</v>
      </c>
      <c r="B25" s="54" t="s">
        <v>194</v>
      </c>
      <c r="C25" s="53" t="s">
        <v>192</v>
      </c>
      <c r="D25" s="53">
        <v>4.4000000000000004</v>
      </c>
      <c r="E25" s="53"/>
    </row>
    <row r="26" spans="1:5" x14ac:dyDescent="0.2">
      <c r="A26" s="53">
        <v>25</v>
      </c>
      <c r="B26" s="54" t="s">
        <v>195</v>
      </c>
      <c r="C26" s="53" t="s">
        <v>192</v>
      </c>
      <c r="D26" s="53">
        <v>105.05</v>
      </c>
      <c r="E26" s="53"/>
    </row>
    <row r="27" spans="1:5" x14ac:dyDescent="0.2">
      <c r="A27" s="53">
        <v>26</v>
      </c>
      <c r="B27" s="54" t="s">
        <v>196</v>
      </c>
      <c r="C27" s="53" t="s">
        <v>197</v>
      </c>
      <c r="D27" s="53">
        <v>0</v>
      </c>
      <c r="E27" s="58" t="s">
        <v>198</v>
      </c>
    </row>
    <row r="28" spans="1:5" x14ac:dyDescent="0.2">
      <c r="A28" s="53">
        <v>27</v>
      </c>
      <c r="B28" s="54" t="s">
        <v>201</v>
      </c>
      <c r="C28" s="53" t="s">
        <v>202</v>
      </c>
      <c r="D28" s="53">
        <v>0</v>
      </c>
      <c r="E28" s="58" t="s">
        <v>198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44"/>
  <sheetViews>
    <sheetView zoomScale="145" zoomScaleNormal="145" workbookViewId="0">
      <selection activeCell="C23" sqref="C23"/>
    </sheetView>
  </sheetViews>
  <sheetFormatPr defaultRowHeight="12.75" x14ac:dyDescent="0.2"/>
  <cols>
    <col min="1" max="1" width="41.140625" customWidth="1"/>
    <col min="2" max="2" width="6.7109375" style="4" bestFit="1" customWidth="1"/>
    <col min="3" max="10" width="10" bestFit="1" customWidth="1"/>
    <col min="11" max="11" width="9.140625" style="43"/>
    <col min="12" max="12" width="9.140625" style="48"/>
  </cols>
  <sheetData>
    <row r="1" spans="1:12" x14ac:dyDescent="0.2">
      <c r="A1" s="89" t="s">
        <v>47</v>
      </c>
      <c r="B1" s="89" t="s">
        <v>48</v>
      </c>
      <c r="C1" s="11" t="s">
        <v>50</v>
      </c>
      <c r="D1" s="11" t="s">
        <v>51</v>
      </c>
      <c r="E1" s="11" t="s">
        <v>52</v>
      </c>
      <c r="F1" s="11" t="s">
        <v>53</v>
      </c>
      <c r="G1" s="11" t="s">
        <v>54</v>
      </c>
      <c r="H1" s="11" t="s">
        <v>55</v>
      </c>
      <c r="I1" s="11" t="s">
        <v>56</v>
      </c>
      <c r="J1" s="11" t="s">
        <v>59</v>
      </c>
    </row>
    <row r="2" spans="1:12" x14ac:dyDescent="0.2">
      <c r="A2" s="89"/>
      <c r="B2" s="89"/>
      <c r="C2" s="6" t="s">
        <v>49</v>
      </c>
      <c r="D2" s="6" t="s">
        <v>49</v>
      </c>
      <c r="E2" s="6" t="s">
        <v>49</v>
      </c>
      <c r="F2" s="6" t="s">
        <v>49</v>
      </c>
      <c r="G2" s="6" t="s">
        <v>49</v>
      </c>
      <c r="H2" s="6" t="s">
        <v>49</v>
      </c>
      <c r="I2" s="6" t="s">
        <v>49</v>
      </c>
      <c r="J2" s="6" t="s">
        <v>49</v>
      </c>
      <c r="K2" s="45"/>
      <c r="L2" s="49"/>
    </row>
    <row r="3" spans="1:12" x14ac:dyDescent="0.2">
      <c r="A3" s="7" t="s">
        <v>45</v>
      </c>
      <c r="B3" s="9" t="s">
        <v>46</v>
      </c>
      <c r="C3" s="7">
        <f>12*64.88</f>
        <v>778.56</v>
      </c>
      <c r="D3" s="7">
        <v>0</v>
      </c>
      <c r="E3" s="7">
        <v>0</v>
      </c>
      <c r="F3" s="7">
        <f>15*64.88</f>
        <v>973.19999999999993</v>
      </c>
      <c r="G3" s="7">
        <v>0</v>
      </c>
      <c r="H3" s="7">
        <v>0</v>
      </c>
      <c r="I3" s="7">
        <f>14*64.88</f>
        <v>908.31999999999994</v>
      </c>
      <c r="J3" s="7">
        <f>SUM(C3:I3)</f>
        <v>2660.08</v>
      </c>
      <c r="K3" s="45"/>
      <c r="L3" s="49"/>
    </row>
    <row r="4" spans="1:12" ht="25.5" x14ac:dyDescent="0.2">
      <c r="A4" s="8" t="s">
        <v>58</v>
      </c>
      <c r="B4" s="10" t="s">
        <v>57</v>
      </c>
      <c r="C4" s="7">
        <f>$L$4*C20</f>
        <v>175.5</v>
      </c>
      <c r="D4" s="7">
        <f t="shared" ref="D4:I4" si="0">$L$4*D20</f>
        <v>225</v>
      </c>
      <c r="E4" s="7">
        <f t="shared" si="0"/>
        <v>112.2</v>
      </c>
      <c r="F4" s="7">
        <f t="shared" si="0"/>
        <v>165</v>
      </c>
      <c r="G4" s="7">
        <f t="shared" si="0"/>
        <v>75</v>
      </c>
      <c r="H4" s="7">
        <f t="shared" si="0"/>
        <v>42</v>
      </c>
      <c r="I4" s="7">
        <f t="shared" si="0"/>
        <v>279.89999999999998</v>
      </c>
      <c r="J4" s="7">
        <f t="shared" ref="J4:J8" si="1">SUM(C4:I4)</f>
        <v>1074.5999999999999</v>
      </c>
      <c r="K4" s="45"/>
      <c r="L4" s="49">
        <v>0.3</v>
      </c>
    </row>
    <row r="5" spans="1:12" ht="25.5" x14ac:dyDescent="0.2">
      <c r="A5" s="8" t="s">
        <v>61</v>
      </c>
      <c r="B5" s="9" t="s">
        <v>46</v>
      </c>
      <c r="C5" s="7">
        <f>C23*$L$5*2</f>
        <v>18656.361920000003</v>
      </c>
      <c r="D5" s="7">
        <f t="shared" ref="D5:I5" si="2">D23*$L$5*2</f>
        <v>23917.449080000002</v>
      </c>
      <c r="E5" s="7">
        <f t="shared" si="2"/>
        <v>11953.964</v>
      </c>
      <c r="F5" s="7">
        <f t="shared" si="2"/>
        <v>17579.452880000001</v>
      </c>
      <c r="G5" s="7">
        <f t="shared" si="2"/>
        <v>8012.18</v>
      </c>
      <c r="H5" s="7">
        <f t="shared" si="2"/>
        <v>4512.1956</v>
      </c>
      <c r="I5" s="7">
        <f t="shared" si="2"/>
        <v>29871.70436</v>
      </c>
      <c r="J5" s="7">
        <f t="shared" si="1"/>
        <v>114503.30784000002</v>
      </c>
      <c r="K5" s="45"/>
      <c r="L5" s="49">
        <v>1.58</v>
      </c>
    </row>
    <row r="6" spans="1:12" ht="25.5" x14ac:dyDescent="0.2">
      <c r="A6" s="8" t="s">
        <v>60</v>
      </c>
      <c r="B6" s="9" t="s">
        <v>57</v>
      </c>
      <c r="C6" s="7">
        <f>C20*$L$6</f>
        <v>87.75</v>
      </c>
      <c r="D6" s="7">
        <f t="shared" ref="D6:I6" si="3">D20*$L$6</f>
        <v>112.5</v>
      </c>
      <c r="E6" s="7">
        <f t="shared" si="3"/>
        <v>56.1</v>
      </c>
      <c r="F6" s="7">
        <f t="shared" si="3"/>
        <v>82.5</v>
      </c>
      <c r="G6" s="7">
        <f t="shared" si="3"/>
        <v>37.5</v>
      </c>
      <c r="H6" s="7">
        <f t="shared" si="3"/>
        <v>21</v>
      </c>
      <c r="I6" s="7">
        <f t="shared" si="3"/>
        <v>139.94999999999999</v>
      </c>
      <c r="J6" s="7">
        <f t="shared" si="1"/>
        <v>537.29999999999995</v>
      </c>
      <c r="K6" s="45"/>
      <c r="L6" s="49">
        <v>0.15</v>
      </c>
    </row>
    <row r="7" spans="1:12" ht="76.5" x14ac:dyDescent="0.2">
      <c r="A7" s="8" t="s">
        <v>62</v>
      </c>
      <c r="B7" s="9" t="s">
        <v>57</v>
      </c>
      <c r="C7" s="7">
        <f>C4+C6</f>
        <v>263.25</v>
      </c>
      <c r="D7" s="7">
        <f t="shared" ref="D7:I7" si="4">D4+D6</f>
        <v>337.5</v>
      </c>
      <c r="E7" s="7">
        <f t="shared" si="4"/>
        <v>168.3</v>
      </c>
      <c r="F7" s="7">
        <f t="shared" si="4"/>
        <v>247.5</v>
      </c>
      <c r="G7" s="7">
        <f t="shared" si="4"/>
        <v>112.5</v>
      </c>
      <c r="H7" s="7">
        <f t="shared" si="4"/>
        <v>63</v>
      </c>
      <c r="I7" s="7">
        <f t="shared" si="4"/>
        <v>419.84999999999997</v>
      </c>
      <c r="J7" s="7">
        <f t="shared" si="1"/>
        <v>1611.8999999999999</v>
      </c>
      <c r="K7" s="50" t="s">
        <v>204</v>
      </c>
      <c r="L7" s="49"/>
    </row>
    <row r="8" spans="1:12" x14ac:dyDescent="0.2">
      <c r="A8" s="8" t="s">
        <v>63</v>
      </c>
      <c r="B8" s="9" t="s">
        <v>57</v>
      </c>
      <c r="C8" s="7">
        <f>C7</f>
        <v>263.25</v>
      </c>
      <c r="D8" s="7">
        <f t="shared" ref="D8:I8" si="5">D7</f>
        <v>337.5</v>
      </c>
      <c r="E8" s="7">
        <f t="shared" si="5"/>
        <v>168.3</v>
      </c>
      <c r="F8" s="7">
        <f t="shared" si="5"/>
        <v>247.5</v>
      </c>
      <c r="G8" s="7">
        <f t="shared" si="5"/>
        <v>112.5</v>
      </c>
      <c r="H8" s="7">
        <f t="shared" si="5"/>
        <v>63</v>
      </c>
      <c r="I8" s="7">
        <f t="shared" si="5"/>
        <v>419.84999999999997</v>
      </c>
      <c r="J8" s="7">
        <f t="shared" si="1"/>
        <v>1611.8999999999999</v>
      </c>
      <c r="K8" s="45"/>
      <c r="L8" s="49"/>
    </row>
    <row r="9" spans="1:12" x14ac:dyDescent="0.2">
      <c r="K9" s="45"/>
      <c r="L9" s="49"/>
    </row>
    <row r="10" spans="1:12" x14ac:dyDescent="0.2">
      <c r="A10" s="11" t="s">
        <v>151</v>
      </c>
      <c r="B10" s="9" t="s">
        <v>152</v>
      </c>
      <c r="C10" s="7"/>
      <c r="D10" s="7"/>
      <c r="E10" s="7"/>
      <c r="F10" s="7"/>
      <c r="G10" s="7"/>
      <c r="H10" s="7"/>
      <c r="I10" s="7"/>
      <c r="J10" s="7"/>
    </row>
    <row r="11" spans="1:12" x14ac:dyDescent="0.2">
      <c r="A11" s="6" t="s">
        <v>156</v>
      </c>
      <c r="B11" s="10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</row>
    <row r="12" spans="1:12" x14ac:dyDescent="0.2">
      <c r="A12" s="7"/>
      <c r="B12" s="10"/>
      <c r="C12" s="7"/>
      <c r="D12" s="7"/>
      <c r="E12" s="7"/>
      <c r="F12" s="7"/>
      <c r="G12" s="7"/>
      <c r="H12" s="7"/>
      <c r="I12" s="7"/>
      <c r="J12" s="7"/>
    </row>
    <row r="13" spans="1:12" x14ac:dyDescent="0.2">
      <c r="A13" s="7"/>
      <c r="B13" s="10"/>
      <c r="C13" s="7"/>
      <c r="D13" s="7"/>
      <c r="E13" s="7"/>
      <c r="F13" s="7"/>
      <c r="G13" s="7"/>
      <c r="H13" s="7"/>
      <c r="I13" s="7"/>
      <c r="J13" s="7"/>
    </row>
    <row r="14" spans="1:12" x14ac:dyDescent="0.2">
      <c r="A14" s="7"/>
      <c r="B14" s="10"/>
      <c r="C14" s="7"/>
      <c r="D14" s="7"/>
      <c r="E14" s="7"/>
      <c r="F14" s="7"/>
      <c r="G14" s="7"/>
      <c r="H14" s="7"/>
      <c r="I14" s="7"/>
      <c r="J14" s="7"/>
    </row>
    <row r="15" spans="1:12" x14ac:dyDescent="0.2">
      <c r="A15" s="7"/>
      <c r="B15" s="10"/>
      <c r="C15" s="7"/>
      <c r="D15" s="7"/>
      <c r="E15" s="7"/>
      <c r="F15" s="7"/>
      <c r="G15" s="7"/>
      <c r="H15" s="7"/>
      <c r="I15" s="7"/>
      <c r="J15" s="7"/>
    </row>
    <row r="16" spans="1:12" x14ac:dyDescent="0.2">
      <c r="A16" s="7"/>
      <c r="B16" s="10"/>
      <c r="C16" s="7"/>
      <c r="D16" s="7"/>
      <c r="E16" s="7"/>
      <c r="F16" s="7"/>
      <c r="G16" s="7"/>
      <c r="H16" s="7"/>
      <c r="I16" s="7"/>
      <c r="J16" s="7"/>
    </row>
    <row r="17" spans="1:12" x14ac:dyDescent="0.2">
      <c r="A17" s="7"/>
      <c r="B17" s="10"/>
      <c r="C17" s="7"/>
      <c r="D17" s="7"/>
      <c r="E17" s="7"/>
      <c r="F17" s="7"/>
      <c r="G17" s="7"/>
      <c r="H17" s="7"/>
      <c r="I17" s="7"/>
      <c r="J17" s="7"/>
    </row>
    <row r="18" spans="1:12" x14ac:dyDescent="0.2">
      <c r="A18" s="7"/>
      <c r="B18" s="10"/>
      <c r="C18" s="7"/>
      <c r="D18" s="7"/>
      <c r="E18" s="7"/>
      <c r="F18" s="7"/>
      <c r="G18" s="7"/>
      <c r="H18" s="7"/>
      <c r="I18" s="7"/>
      <c r="J18" s="7"/>
    </row>
    <row r="20" spans="1:12" s="46" customFormat="1" x14ac:dyDescent="0.2">
      <c r="B20" s="47"/>
      <c r="C20" s="60">
        <f>15+570</f>
        <v>585</v>
      </c>
      <c r="D20" s="60">
        <f>677+73</f>
        <v>750</v>
      </c>
      <c r="E20" s="46">
        <v>374</v>
      </c>
      <c r="F20" s="46">
        <v>550</v>
      </c>
      <c r="G20" s="46">
        <v>250</v>
      </c>
      <c r="H20" s="46">
        <v>140</v>
      </c>
      <c r="I20" s="46">
        <v>933</v>
      </c>
      <c r="K20" s="48"/>
      <c r="L20" s="48"/>
    </row>
    <row r="21" spans="1:12" s="46" customFormat="1" x14ac:dyDescent="0.2">
      <c r="B21" s="47"/>
      <c r="C21" s="46">
        <v>32.18</v>
      </c>
      <c r="D21" s="46">
        <v>78.989999999999995</v>
      </c>
      <c r="E21" s="46">
        <v>32.4</v>
      </c>
      <c r="F21" s="46">
        <v>45.24</v>
      </c>
      <c r="G21" s="46">
        <v>21.03</v>
      </c>
      <c r="H21" s="46">
        <v>6</v>
      </c>
      <c r="I21" s="46">
        <v>78.09</v>
      </c>
      <c r="K21" s="48"/>
      <c r="L21" s="48"/>
    </row>
    <row r="22" spans="1:12" s="46" customFormat="1" x14ac:dyDescent="0.2">
      <c r="B22" s="47"/>
      <c r="C22" s="46">
        <v>18.190000000000001</v>
      </c>
      <c r="D22" s="46">
        <v>9.4700000000000006</v>
      </c>
      <c r="E22" s="46">
        <v>11.54</v>
      </c>
      <c r="F22" s="46">
        <v>12.17</v>
      </c>
      <c r="G22" s="46">
        <v>11.9</v>
      </c>
      <c r="H22" s="46">
        <v>23.31</v>
      </c>
      <c r="I22" s="46">
        <v>11.99</v>
      </c>
      <c r="K22" s="48"/>
      <c r="L22" s="48"/>
    </row>
    <row r="23" spans="1:12" s="46" customFormat="1" x14ac:dyDescent="0.2">
      <c r="B23" s="47"/>
      <c r="C23" s="46">
        <f t="shared" ref="C23:I23" si="6">C21*(C22/0.2+1)+C22*(C21/0.2+1)</f>
        <v>5903.9120000000003</v>
      </c>
      <c r="D23" s="46">
        <f t="shared" si="6"/>
        <v>7568.8130000000001</v>
      </c>
      <c r="E23" s="46">
        <f t="shared" si="6"/>
        <v>3782.8999999999996</v>
      </c>
      <c r="F23" s="46">
        <f t="shared" si="6"/>
        <v>5563.1180000000004</v>
      </c>
      <c r="G23" s="46">
        <f t="shared" si="6"/>
        <v>2535.5</v>
      </c>
      <c r="H23" s="46">
        <f t="shared" si="6"/>
        <v>1427.9099999999999</v>
      </c>
      <c r="I23" s="46">
        <f t="shared" si="6"/>
        <v>9453.0709999999999</v>
      </c>
      <c r="K23" s="48"/>
      <c r="L23" s="48"/>
    </row>
    <row r="24" spans="1:12" s="46" customFormat="1" x14ac:dyDescent="0.2">
      <c r="B24" s="47"/>
      <c r="K24" s="48"/>
      <c r="L24" s="48"/>
    </row>
    <row r="25" spans="1:12" x14ac:dyDescent="0.2">
      <c r="A25" s="44"/>
    </row>
    <row r="44" spans="10:11" x14ac:dyDescent="0.2">
      <c r="J44" t="e">
        <f>J40/J39</f>
        <v>#DIV/0!</v>
      </c>
      <c r="K44" s="43">
        <f>SUM(C23:I23)</f>
        <v>36235.224000000002</v>
      </c>
    </row>
  </sheetData>
  <mergeCells count="2">
    <mergeCell ref="A1:A2"/>
    <mergeCell ref="B1:B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64"/>
  <sheetViews>
    <sheetView topLeftCell="A19" zoomScale="145" zoomScaleNormal="145" workbookViewId="0">
      <selection activeCell="A57" sqref="A57"/>
    </sheetView>
  </sheetViews>
  <sheetFormatPr defaultRowHeight="12.75" x14ac:dyDescent="0.2"/>
  <cols>
    <col min="1" max="1" width="41.140625" customWidth="1"/>
    <col min="2" max="2" width="6.7109375" bestFit="1" customWidth="1"/>
    <col min="3" max="10" width="10" bestFit="1" customWidth="1"/>
  </cols>
  <sheetData>
    <row r="1" spans="1:10" x14ac:dyDescent="0.2">
      <c r="A1" s="89" t="s">
        <v>47</v>
      </c>
      <c r="B1" s="89" t="s">
        <v>48</v>
      </c>
      <c r="C1" s="11" t="s">
        <v>50</v>
      </c>
      <c r="D1" s="11" t="s">
        <v>51</v>
      </c>
      <c r="E1" s="11" t="s">
        <v>52</v>
      </c>
      <c r="F1" s="11" t="s">
        <v>53</v>
      </c>
      <c r="G1" s="11" t="s">
        <v>54</v>
      </c>
      <c r="H1" s="11" t="s">
        <v>55</v>
      </c>
      <c r="I1" s="11" t="s">
        <v>56</v>
      </c>
      <c r="J1" s="11" t="s">
        <v>59</v>
      </c>
    </row>
    <row r="2" spans="1:10" x14ac:dyDescent="0.2">
      <c r="A2" s="89"/>
      <c r="B2" s="89"/>
      <c r="C2" s="6" t="s">
        <v>49</v>
      </c>
      <c r="D2" s="6" t="s">
        <v>49</v>
      </c>
      <c r="E2" s="6" t="s">
        <v>49</v>
      </c>
      <c r="F2" s="6" t="s">
        <v>49</v>
      </c>
      <c r="G2" s="6" t="s">
        <v>49</v>
      </c>
      <c r="H2" s="6" t="s">
        <v>49</v>
      </c>
      <c r="I2" s="6" t="s">
        <v>49</v>
      </c>
      <c r="J2" s="6" t="s">
        <v>49</v>
      </c>
    </row>
    <row r="3" spans="1:10" ht="22.5" x14ac:dyDescent="0.2">
      <c r="A3" s="28" t="s">
        <v>95</v>
      </c>
      <c r="B3" s="29"/>
      <c r="C3" s="7"/>
      <c r="D3" s="7"/>
      <c r="E3" s="7"/>
      <c r="F3" s="7"/>
      <c r="G3" s="7"/>
      <c r="H3" s="7"/>
      <c r="I3" s="7"/>
      <c r="J3" s="7"/>
    </row>
    <row r="4" spans="1:10" ht="22.5" x14ac:dyDescent="0.2">
      <c r="A4" s="30" t="s">
        <v>96</v>
      </c>
      <c r="B4" s="31" t="s">
        <v>97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</row>
    <row r="5" spans="1:10" x14ac:dyDescent="0.2">
      <c r="A5" s="30" t="s">
        <v>98</v>
      </c>
      <c r="B5" s="31" t="s">
        <v>99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</row>
    <row r="6" spans="1:10" x14ac:dyDescent="0.2">
      <c r="A6" s="32" t="s">
        <v>100</v>
      </c>
      <c r="B6" s="31" t="s">
        <v>46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</row>
    <row r="7" spans="1:10" ht="22.5" x14ac:dyDescent="0.2">
      <c r="A7" s="30" t="s">
        <v>101</v>
      </c>
      <c r="B7" s="31" t="s">
        <v>31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</row>
    <row r="8" spans="1:10" ht="22.5" x14ac:dyDescent="0.2">
      <c r="A8" s="30" t="s">
        <v>102</v>
      </c>
      <c r="B8" s="31" t="s">
        <v>46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ht="22.5" x14ac:dyDescent="0.2">
      <c r="A9" s="30" t="s">
        <v>103</v>
      </c>
      <c r="B9" s="31" t="s">
        <v>33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</row>
    <row r="10" spans="1:10" ht="33.75" x14ac:dyDescent="0.2">
      <c r="A10" s="32" t="s">
        <v>104</v>
      </c>
      <c r="B10" s="31" t="s">
        <v>46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</row>
    <row r="11" spans="1:10" ht="33.75" x14ac:dyDescent="0.2">
      <c r="A11" s="30" t="s">
        <v>105</v>
      </c>
      <c r="B11" s="31" t="s">
        <v>46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</row>
    <row r="12" spans="1:10" ht="33.75" x14ac:dyDescent="0.2">
      <c r="A12" s="30" t="s">
        <v>106</v>
      </c>
      <c r="B12" s="31" t="s">
        <v>46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</row>
    <row r="13" spans="1:10" ht="22.5" x14ac:dyDescent="0.2">
      <c r="A13" s="32" t="s">
        <v>107</v>
      </c>
      <c r="B13" s="31" t="s">
        <v>46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</row>
    <row r="14" spans="1:10" ht="22.5" x14ac:dyDescent="0.2">
      <c r="A14" s="30" t="s">
        <v>108</v>
      </c>
      <c r="B14" s="31" t="s">
        <v>46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</row>
    <row r="15" spans="1:10" ht="33.75" x14ac:dyDescent="0.2">
      <c r="A15" s="30" t="s">
        <v>109</v>
      </c>
      <c r="B15" s="31" t="s">
        <v>46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0" ht="24" x14ac:dyDescent="0.2">
      <c r="A16" s="33" t="s">
        <v>110</v>
      </c>
      <c r="B16" s="34" t="s">
        <v>46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</row>
    <row r="17" spans="1:10" ht="33.75" x14ac:dyDescent="0.2">
      <c r="A17" s="30" t="s">
        <v>111</v>
      </c>
      <c r="B17" s="31" t="s">
        <v>46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</row>
    <row r="18" spans="1:10" ht="22.5" x14ac:dyDescent="0.2">
      <c r="A18" s="35" t="s">
        <v>112</v>
      </c>
      <c r="B18" s="29"/>
      <c r="C18" s="7"/>
      <c r="D18" s="7"/>
      <c r="E18" s="7"/>
      <c r="F18" s="7"/>
      <c r="G18" s="7"/>
      <c r="H18" s="7"/>
      <c r="I18" s="7"/>
      <c r="J18" s="7"/>
    </row>
    <row r="19" spans="1:10" ht="22.5" x14ac:dyDescent="0.2">
      <c r="A19" s="30" t="s">
        <v>113</v>
      </c>
      <c r="B19" s="31" t="s">
        <v>46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0" ht="22.5" x14ac:dyDescent="0.2">
      <c r="A20" s="30" t="s">
        <v>114</v>
      </c>
      <c r="B20" s="31" t="s">
        <v>46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</row>
    <row r="21" spans="1:10" x14ac:dyDescent="0.2">
      <c r="A21" s="33" t="s">
        <v>115</v>
      </c>
      <c r="B21" s="34" t="s">
        <v>46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0" ht="22.5" x14ac:dyDescent="0.2">
      <c r="A22" s="32" t="s">
        <v>116</v>
      </c>
      <c r="B22" s="31" t="s">
        <v>31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</row>
    <row r="23" spans="1:10" ht="45" x14ac:dyDescent="0.2">
      <c r="A23" s="30" t="s">
        <v>117</v>
      </c>
      <c r="B23" s="31" t="s">
        <v>46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0" ht="22.5" x14ac:dyDescent="0.2">
      <c r="A24" s="30" t="s">
        <v>118</v>
      </c>
      <c r="B24" s="31" t="s">
        <v>46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</row>
    <row r="25" spans="1:10" ht="33.75" x14ac:dyDescent="0.2">
      <c r="A25" s="30" t="s">
        <v>119</v>
      </c>
      <c r="B25" s="31" t="s">
        <v>46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0" ht="22.5" x14ac:dyDescent="0.2">
      <c r="A26" s="35" t="s">
        <v>120</v>
      </c>
      <c r="B26" s="29"/>
      <c r="C26" s="7"/>
      <c r="D26" s="7"/>
      <c r="E26" s="7"/>
      <c r="F26" s="7"/>
      <c r="G26" s="7"/>
      <c r="H26" s="7"/>
      <c r="I26" s="7"/>
      <c r="J26" s="7"/>
    </row>
    <row r="27" spans="1:10" ht="22.5" x14ac:dyDescent="0.2">
      <c r="A27" s="30" t="s">
        <v>121</v>
      </c>
      <c r="B27" s="31" t="s">
        <v>31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0" ht="22.5" x14ac:dyDescent="0.2">
      <c r="A28" s="32" t="s">
        <v>122</v>
      </c>
      <c r="B28" s="31" t="s">
        <v>46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</row>
    <row r="29" spans="1:10" ht="22.5" x14ac:dyDescent="0.2">
      <c r="A29" s="30" t="s">
        <v>123</v>
      </c>
      <c r="B29" s="31" t="s">
        <v>31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</row>
    <row r="30" spans="1:10" ht="33.75" x14ac:dyDescent="0.2">
      <c r="A30" s="32" t="s">
        <v>124</v>
      </c>
      <c r="B30" s="31" t="s">
        <v>33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</row>
    <row r="31" spans="1:10" ht="33.75" x14ac:dyDescent="0.2">
      <c r="A31" s="30" t="s">
        <v>125</v>
      </c>
      <c r="B31" s="31" t="s">
        <v>31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</row>
    <row r="32" spans="1:10" ht="22.5" x14ac:dyDescent="0.2">
      <c r="A32" s="30" t="s">
        <v>126</v>
      </c>
      <c r="B32" s="31" t="s">
        <v>46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</row>
    <row r="33" spans="1:10" ht="33.75" x14ac:dyDescent="0.2">
      <c r="A33" s="30" t="s">
        <v>127</v>
      </c>
      <c r="B33" s="31" t="s">
        <v>31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</row>
    <row r="34" spans="1:10" ht="45" x14ac:dyDescent="0.2">
      <c r="A34" s="32" t="s">
        <v>128</v>
      </c>
      <c r="B34" s="31" t="s">
        <v>46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</row>
    <row r="35" spans="1:10" ht="33.75" x14ac:dyDescent="0.2">
      <c r="A35" s="30" t="s">
        <v>129</v>
      </c>
      <c r="B35" s="31" t="s">
        <v>46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</row>
    <row r="36" spans="1:10" ht="24" x14ac:dyDescent="0.2">
      <c r="A36" s="36" t="s">
        <v>130</v>
      </c>
      <c r="B36" s="37"/>
      <c r="C36" s="7"/>
      <c r="D36" s="7"/>
      <c r="E36" s="7"/>
      <c r="F36" s="7"/>
      <c r="G36" s="7"/>
      <c r="H36" s="7"/>
      <c r="I36" s="7"/>
      <c r="J36" s="7"/>
    </row>
    <row r="37" spans="1:10" x14ac:dyDescent="0.2">
      <c r="A37" s="32" t="s">
        <v>131</v>
      </c>
      <c r="B37" s="31" t="s">
        <v>99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</row>
    <row r="38" spans="1:10" ht="33.75" x14ac:dyDescent="0.2">
      <c r="A38" s="30" t="s">
        <v>132</v>
      </c>
      <c r="B38" s="31" t="s">
        <v>46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</row>
    <row r="39" spans="1:10" ht="22.5" x14ac:dyDescent="0.2">
      <c r="A39" s="32" t="s">
        <v>133</v>
      </c>
      <c r="B39" s="31" t="s">
        <v>46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</row>
    <row r="40" spans="1:10" ht="45" x14ac:dyDescent="0.2">
      <c r="A40" s="30" t="s">
        <v>134</v>
      </c>
      <c r="B40" s="31" t="s">
        <v>46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</row>
    <row r="41" spans="1:10" ht="22.5" x14ac:dyDescent="0.2">
      <c r="A41" s="30" t="s">
        <v>135</v>
      </c>
      <c r="B41" s="31" t="s">
        <v>31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</row>
    <row r="42" spans="1:10" ht="45" x14ac:dyDescent="0.2">
      <c r="A42" s="30" t="s">
        <v>136</v>
      </c>
      <c r="B42" s="31" t="s">
        <v>46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</row>
    <row r="43" spans="1:10" ht="22.5" x14ac:dyDescent="0.2">
      <c r="A43" s="30" t="s">
        <v>137</v>
      </c>
      <c r="B43" s="31" t="s">
        <v>46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</row>
    <row r="44" spans="1:10" ht="33.75" x14ac:dyDescent="0.2">
      <c r="A44" s="30" t="s">
        <v>138</v>
      </c>
      <c r="B44" s="31" t="s">
        <v>46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</row>
    <row r="45" spans="1:10" ht="33.75" x14ac:dyDescent="0.2">
      <c r="A45" s="32" t="s">
        <v>139</v>
      </c>
      <c r="B45" s="31" t="s">
        <v>46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</row>
    <row r="46" spans="1:10" ht="22.5" x14ac:dyDescent="0.2">
      <c r="A46" s="30" t="s">
        <v>140</v>
      </c>
      <c r="B46" s="31" t="s">
        <v>46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</row>
    <row r="47" spans="1:10" ht="22.5" x14ac:dyDescent="0.2">
      <c r="A47" s="30" t="s">
        <v>141</v>
      </c>
      <c r="B47" s="31" t="s">
        <v>46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</row>
    <row r="48" spans="1:10" ht="22.5" x14ac:dyDescent="0.2">
      <c r="A48" s="35" t="s">
        <v>142</v>
      </c>
      <c r="B48" s="29"/>
      <c r="C48" s="7"/>
      <c r="D48" s="7"/>
      <c r="E48" s="7"/>
      <c r="F48" s="7"/>
      <c r="G48" s="7"/>
      <c r="H48" s="7"/>
      <c r="I48" s="7"/>
      <c r="J48" s="7"/>
    </row>
    <row r="49" spans="1:10" x14ac:dyDescent="0.2">
      <c r="A49" s="30" t="s">
        <v>143</v>
      </c>
      <c r="B49" s="31" t="s">
        <v>99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</row>
    <row r="50" spans="1:10" ht="22.5" x14ac:dyDescent="0.2">
      <c r="A50" s="32" t="s">
        <v>144</v>
      </c>
      <c r="B50" s="31" t="s">
        <v>46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</row>
    <row r="51" spans="1:10" x14ac:dyDescent="0.2">
      <c r="A51" s="30" t="s">
        <v>145</v>
      </c>
      <c r="B51" s="31" t="s">
        <v>46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</row>
    <row r="52" spans="1:10" x14ac:dyDescent="0.2">
      <c r="A52" s="32" t="s">
        <v>146</v>
      </c>
      <c r="B52" s="31" t="s">
        <v>46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</row>
    <row r="53" spans="1:10" ht="22.5" x14ac:dyDescent="0.2">
      <c r="A53" s="30" t="s">
        <v>147</v>
      </c>
      <c r="B53" s="31" t="s">
        <v>31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</row>
    <row r="54" spans="1:10" ht="22.5" x14ac:dyDescent="0.2">
      <c r="A54" s="32" t="s">
        <v>148</v>
      </c>
      <c r="B54" s="31" t="s">
        <v>33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</row>
    <row r="56" spans="1:10" x14ac:dyDescent="0.2">
      <c r="A56" s="11" t="s">
        <v>151</v>
      </c>
      <c r="B56" s="9" t="s">
        <v>152</v>
      </c>
      <c r="C56" s="7"/>
      <c r="D56" s="7"/>
      <c r="E56" s="7"/>
      <c r="F56" s="7"/>
      <c r="G56" s="7"/>
      <c r="H56" s="7"/>
      <c r="I56" s="7"/>
      <c r="J56" s="7"/>
    </row>
    <row r="57" spans="1:10" x14ac:dyDescent="0.2">
      <c r="A57" s="6" t="s">
        <v>156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</row>
    <row r="58" spans="1:10" x14ac:dyDescent="0.2">
      <c r="A58" s="7"/>
      <c r="B58" s="10"/>
      <c r="C58" s="7"/>
      <c r="D58" s="7"/>
      <c r="E58" s="7"/>
      <c r="F58" s="7"/>
      <c r="G58" s="7"/>
      <c r="H58" s="7"/>
      <c r="I58" s="7"/>
      <c r="J58" s="7"/>
    </row>
    <row r="59" spans="1:10" x14ac:dyDescent="0.2">
      <c r="A59" s="7"/>
      <c r="B59" s="10"/>
      <c r="C59" s="7"/>
      <c r="D59" s="7"/>
      <c r="E59" s="7"/>
      <c r="F59" s="7"/>
      <c r="G59" s="7"/>
      <c r="H59" s="7"/>
      <c r="I59" s="7"/>
      <c r="J59" s="7"/>
    </row>
    <row r="60" spans="1:10" x14ac:dyDescent="0.2">
      <c r="A60" s="7"/>
      <c r="B60" s="10"/>
      <c r="C60" s="7"/>
      <c r="D60" s="7"/>
      <c r="E60" s="7"/>
      <c r="F60" s="7"/>
      <c r="G60" s="7"/>
      <c r="H60" s="7"/>
      <c r="I60" s="7"/>
      <c r="J60" s="7"/>
    </row>
    <row r="61" spans="1:10" x14ac:dyDescent="0.2">
      <c r="A61" s="7"/>
      <c r="B61" s="10"/>
      <c r="C61" s="7"/>
      <c r="D61" s="7"/>
      <c r="E61" s="7"/>
      <c r="F61" s="7"/>
      <c r="G61" s="7"/>
      <c r="H61" s="7"/>
      <c r="I61" s="7"/>
      <c r="J61" s="7"/>
    </row>
    <row r="62" spans="1:10" x14ac:dyDescent="0.2">
      <c r="A62" s="7"/>
      <c r="B62" s="10"/>
      <c r="C62" s="7"/>
      <c r="D62" s="7"/>
      <c r="E62" s="7"/>
      <c r="F62" s="7"/>
      <c r="G62" s="7"/>
      <c r="H62" s="7"/>
      <c r="I62" s="7"/>
      <c r="J62" s="7"/>
    </row>
    <row r="63" spans="1:10" x14ac:dyDescent="0.2">
      <c r="A63" s="7"/>
      <c r="B63" s="10"/>
      <c r="C63" s="7"/>
      <c r="D63" s="7"/>
      <c r="E63" s="7"/>
      <c r="F63" s="7"/>
      <c r="G63" s="7"/>
      <c r="H63" s="7"/>
      <c r="I63" s="7"/>
      <c r="J63" s="7"/>
    </row>
    <row r="64" spans="1:10" x14ac:dyDescent="0.2">
      <c r="A64" s="7"/>
      <c r="B64" s="10"/>
      <c r="C64" s="7"/>
      <c r="D64" s="7"/>
      <c r="E64" s="7"/>
      <c r="F64" s="7"/>
      <c r="G64" s="7"/>
      <c r="H64" s="7"/>
      <c r="I64" s="7"/>
      <c r="J64" s="7"/>
    </row>
  </sheetData>
  <mergeCells count="2">
    <mergeCell ref="A1:A2"/>
    <mergeCell ref="B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16"/>
  <sheetViews>
    <sheetView zoomScale="160" zoomScaleNormal="160" workbookViewId="0">
      <selection activeCell="C4" sqref="C4"/>
    </sheetView>
  </sheetViews>
  <sheetFormatPr defaultRowHeight="12.75" x14ac:dyDescent="0.2"/>
  <cols>
    <col min="1" max="1" width="58.5703125" customWidth="1"/>
    <col min="2" max="2" width="6.7109375" bestFit="1" customWidth="1"/>
    <col min="3" max="10" width="10" bestFit="1" customWidth="1"/>
  </cols>
  <sheetData>
    <row r="1" spans="1:10" x14ac:dyDescent="0.2">
      <c r="A1" s="89" t="s">
        <v>47</v>
      </c>
      <c r="B1" s="89" t="s">
        <v>48</v>
      </c>
      <c r="C1" s="11" t="s">
        <v>50</v>
      </c>
      <c r="D1" s="11" t="s">
        <v>51</v>
      </c>
      <c r="E1" s="11" t="s">
        <v>52</v>
      </c>
      <c r="F1" s="11" t="s">
        <v>53</v>
      </c>
      <c r="G1" s="11" t="s">
        <v>54</v>
      </c>
      <c r="H1" s="11" t="s">
        <v>55</v>
      </c>
      <c r="I1" s="11" t="s">
        <v>56</v>
      </c>
      <c r="J1" s="11" t="s">
        <v>59</v>
      </c>
    </row>
    <row r="2" spans="1:10" x14ac:dyDescent="0.2">
      <c r="A2" s="89"/>
      <c r="B2" s="89"/>
      <c r="C2" s="6" t="s">
        <v>49</v>
      </c>
      <c r="D2" s="6" t="s">
        <v>49</v>
      </c>
      <c r="E2" s="6" t="s">
        <v>49</v>
      </c>
      <c r="F2" s="6" t="s">
        <v>49</v>
      </c>
      <c r="G2" s="6" t="s">
        <v>49</v>
      </c>
      <c r="H2" s="6" t="s">
        <v>49</v>
      </c>
      <c r="I2" s="6" t="s">
        <v>49</v>
      </c>
      <c r="J2" s="6" t="s">
        <v>49</v>
      </c>
    </row>
    <row r="3" spans="1:10" ht="33.75" x14ac:dyDescent="0.2">
      <c r="A3" s="19" t="s">
        <v>74</v>
      </c>
      <c r="B3" s="20"/>
      <c r="C3" s="7"/>
      <c r="D3" s="7"/>
      <c r="E3" s="7"/>
      <c r="F3" s="7"/>
      <c r="G3" s="7"/>
      <c r="H3" s="7"/>
      <c r="I3" s="7"/>
      <c r="J3" s="7"/>
    </row>
    <row r="4" spans="1:10" ht="160.5" customHeight="1" x14ac:dyDescent="0.2">
      <c r="A4" s="15" t="s">
        <v>157</v>
      </c>
      <c r="B4" s="16" t="s">
        <v>31</v>
      </c>
      <c r="C4" s="61">
        <f>1.405*2.56*0.4+2.8*3.2*0.2</f>
        <v>3.2307199999999998</v>
      </c>
      <c r="D4" s="61">
        <f>2.5*4.962*0.4*4</f>
        <v>19.847999999999999</v>
      </c>
      <c r="E4" s="61">
        <v>0</v>
      </c>
      <c r="F4" s="61">
        <v>0</v>
      </c>
      <c r="G4" s="61">
        <v>0</v>
      </c>
      <c r="H4" s="61">
        <v>0</v>
      </c>
      <c r="I4" s="61">
        <v>0</v>
      </c>
      <c r="J4" s="61">
        <f>SUM(C4:I4)</f>
        <v>23.078719999999997</v>
      </c>
    </row>
    <row r="5" spans="1:10" ht="22.5" x14ac:dyDescent="0.2">
      <c r="A5" s="17" t="s">
        <v>75</v>
      </c>
      <c r="B5" s="18" t="s">
        <v>40</v>
      </c>
      <c r="C5" s="7">
        <f>1.4*C4</f>
        <v>4.523007999999999</v>
      </c>
      <c r="D5" s="7">
        <f>1.4*D4</f>
        <v>27.787199999999999</v>
      </c>
      <c r="E5" s="61">
        <v>0</v>
      </c>
      <c r="F5" s="61">
        <v>0</v>
      </c>
      <c r="G5" s="61">
        <v>0</v>
      </c>
      <c r="H5" s="61">
        <v>0</v>
      </c>
      <c r="I5" s="61">
        <v>0</v>
      </c>
      <c r="J5" s="61">
        <f>SUM(C5:I5)</f>
        <v>32.310207999999996</v>
      </c>
    </row>
    <row r="6" spans="1:10" x14ac:dyDescent="0.2">
      <c r="A6" s="8" t="s">
        <v>63</v>
      </c>
      <c r="B6" s="9" t="s">
        <v>57</v>
      </c>
      <c r="C6" s="7"/>
      <c r="D6" s="7"/>
      <c r="E6" s="7"/>
      <c r="F6" s="7"/>
      <c r="G6" s="7"/>
      <c r="H6" s="7"/>
      <c r="I6" s="7"/>
      <c r="J6" s="7"/>
    </row>
    <row r="8" spans="1:10" x14ac:dyDescent="0.2">
      <c r="A8" s="11" t="s">
        <v>151</v>
      </c>
      <c r="B8" s="9" t="s">
        <v>152</v>
      </c>
      <c r="C8" s="7"/>
      <c r="D8" s="7"/>
      <c r="E8" s="7"/>
      <c r="F8" s="7"/>
      <c r="G8" s="7"/>
      <c r="H8" s="7"/>
      <c r="I8" s="7"/>
      <c r="J8" s="7"/>
    </row>
    <row r="9" spans="1:10" x14ac:dyDescent="0.2">
      <c r="A9" s="6" t="s">
        <v>156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 x14ac:dyDescent="0.2">
      <c r="A10" s="7"/>
      <c r="B10" s="10"/>
      <c r="C10" s="7"/>
      <c r="D10" s="7"/>
      <c r="E10" s="7"/>
      <c r="F10" s="7"/>
      <c r="G10" s="7"/>
      <c r="H10" s="7"/>
      <c r="I10" s="7"/>
      <c r="J10" s="7"/>
    </row>
    <row r="11" spans="1:10" x14ac:dyDescent="0.2">
      <c r="A11" s="7"/>
      <c r="B11" s="10"/>
      <c r="C11" s="7"/>
      <c r="D11" s="7"/>
      <c r="E11" s="7"/>
      <c r="F11" s="7"/>
      <c r="G11" s="7"/>
      <c r="H11" s="7"/>
      <c r="I11" s="7"/>
      <c r="J11" s="7"/>
    </row>
    <row r="12" spans="1:10" x14ac:dyDescent="0.2">
      <c r="A12" s="7"/>
      <c r="B12" s="10"/>
      <c r="C12" s="7"/>
      <c r="D12" s="7"/>
      <c r="E12" s="7"/>
      <c r="F12" s="7"/>
      <c r="G12" s="7"/>
      <c r="H12" s="7"/>
      <c r="I12" s="7"/>
      <c r="J12" s="7"/>
    </row>
    <row r="13" spans="1:10" x14ac:dyDescent="0.2">
      <c r="A13" s="7"/>
      <c r="B13" s="10"/>
      <c r="C13" s="7"/>
      <c r="D13" s="7"/>
      <c r="E13" s="7"/>
      <c r="F13" s="7"/>
      <c r="G13" s="7"/>
      <c r="H13" s="7"/>
      <c r="I13" s="7"/>
      <c r="J13" s="7"/>
    </row>
    <row r="14" spans="1:10" x14ac:dyDescent="0.2">
      <c r="A14" s="7"/>
      <c r="B14" s="10"/>
      <c r="C14" s="7"/>
      <c r="D14" s="7"/>
      <c r="E14" s="7"/>
      <c r="F14" s="7"/>
      <c r="G14" s="7"/>
      <c r="H14" s="7"/>
      <c r="I14" s="7"/>
      <c r="J14" s="7"/>
    </row>
    <row r="15" spans="1:10" x14ac:dyDescent="0.2">
      <c r="A15" s="7"/>
      <c r="B15" s="10"/>
      <c r="C15" s="7"/>
      <c r="D15" s="7"/>
      <c r="E15" s="7"/>
      <c r="F15" s="7"/>
      <c r="G15" s="7"/>
      <c r="H15" s="7"/>
      <c r="I15" s="7"/>
      <c r="J15" s="7"/>
    </row>
    <row r="16" spans="1:10" x14ac:dyDescent="0.2">
      <c r="A16" s="7"/>
      <c r="B16" s="10"/>
      <c r="C16" s="7"/>
      <c r="D16" s="7"/>
      <c r="E16" s="7"/>
      <c r="F16" s="7"/>
      <c r="G16" s="7"/>
      <c r="H16" s="7"/>
      <c r="I16" s="7"/>
      <c r="J16" s="7"/>
    </row>
  </sheetData>
  <mergeCells count="2">
    <mergeCell ref="A1:A2"/>
    <mergeCell ref="B1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K29"/>
  <sheetViews>
    <sheetView zoomScale="145" zoomScaleNormal="145" workbookViewId="0">
      <selection activeCell="K26" sqref="K26:K28"/>
    </sheetView>
  </sheetViews>
  <sheetFormatPr defaultRowHeight="12.75" x14ac:dyDescent="0.2"/>
  <cols>
    <col min="1" max="1" width="58.5703125" customWidth="1"/>
    <col min="2" max="2" width="6.7109375" bestFit="1" customWidth="1"/>
    <col min="3" max="10" width="10" bestFit="1" customWidth="1"/>
  </cols>
  <sheetData>
    <row r="1" spans="1:10" x14ac:dyDescent="0.2">
      <c r="A1" s="89" t="s">
        <v>47</v>
      </c>
      <c r="B1" s="89" t="s">
        <v>48</v>
      </c>
      <c r="C1" s="11" t="s">
        <v>50</v>
      </c>
      <c r="D1" s="11" t="s">
        <v>51</v>
      </c>
      <c r="E1" s="11" t="s">
        <v>52</v>
      </c>
      <c r="F1" s="11" t="s">
        <v>53</v>
      </c>
      <c r="G1" s="11" t="s">
        <v>54</v>
      </c>
      <c r="H1" s="11" t="s">
        <v>55</v>
      </c>
      <c r="I1" s="11" t="s">
        <v>56</v>
      </c>
      <c r="J1" s="11" t="s">
        <v>59</v>
      </c>
    </row>
    <row r="2" spans="1:10" x14ac:dyDescent="0.2">
      <c r="A2" s="89"/>
      <c r="B2" s="89"/>
      <c r="C2" s="6" t="s">
        <v>49</v>
      </c>
      <c r="D2" s="6" t="s">
        <v>49</v>
      </c>
      <c r="E2" s="6" t="s">
        <v>49</v>
      </c>
      <c r="F2" s="6" t="s">
        <v>49</v>
      </c>
      <c r="G2" s="6" t="s">
        <v>49</v>
      </c>
      <c r="H2" s="6" t="s">
        <v>49</v>
      </c>
      <c r="I2" s="6" t="s">
        <v>49</v>
      </c>
      <c r="J2" s="6" t="s">
        <v>49</v>
      </c>
    </row>
    <row r="3" spans="1:10" x14ac:dyDescent="0.2">
      <c r="A3" s="14" t="s">
        <v>64</v>
      </c>
      <c r="B3" s="7"/>
      <c r="C3" s="7"/>
      <c r="D3" s="7"/>
      <c r="E3" s="7"/>
      <c r="F3" s="7"/>
      <c r="G3" s="7"/>
      <c r="H3" s="7"/>
      <c r="I3" s="7"/>
      <c r="J3" s="7"/>
    </row>
    <row r="4" spans="1:10" ht="25.9" customHeight="1" x14ac:dyDescent="0.2">
      <c r="A4" s="21" t="s">
        <v>67</v>
      </c>
      <c r="B4" s="22" t="s">
        <v>33</v>
      </c>
      <c r="C4" s="61">
        <v>0</v>
      </c>
      <c r="D4" s="61">
        <v>0</v>
      </c>
      <c r="E4" s="61">
        <v>0</v>
      </c>
      <c r="F4" s="61">
        <v>0</v>
      </c>
      <c r="G4" s="61">
        <v>0</v>
      </c>
      <c r="H4" s="61">
        <v>0</v>
      </c>
      <c r="I4" s="61">
        <v>0</v>
      </c>
      <c r="J4" s="61">
        <v>0</v>
      </c>
    </row>
    <row r="5" spans="1:10" ht="22.5" x14ac:dyDescent="0.2">
      <c r="A5" s="21" t="s">
        <v>68</v>
      </c>
      <c r="B5" s="22" t="s">
        <v>31</v>
      </c>
      <c r="C5" s="61">
        <v>0</v>
      </c>
      <c r="D5" s="61">
        <v>0</v>
      </c>
      <c r="E5" s="61">
        <v>0</v>
      </c>
      <c r="F5" s="61">
        <v>0</v>
      </c>
      <c r="G5" s="61">
        <v>0</v>
      </c>
      <c r="H5" s="61">
        <v>0</v>
      </c>
      <c r="I5" s="61">
        <v>0</v>
      </c>
      <c r="J5" s="61">
        <v>0</v>
      </c>
    </row>
    <row r="6" spans="1:10" x14ac:dyDescent="0.2">
      <c r="A6" s="21" t="s">
        <v>65</v>
      </c>
      <c r="B6" s="22" t="s">
        <v>31</v>
      </c>
      <c r="C6" s="61">
        <v>0</v>
      </c>
      <c r="D6" s="61">
        <v>0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0</v>
      </c>
    </row>
    <row r="7" spans="1:10" ht="22.5" x14ac:dyDescent="0.2">
      <c r="A7" s="21" t="s">
        <v>69</v>
      </c>
      <c r="B7" s="22" t="s">
        <v>33</v>
      </c>
      <c r="C7" s="61">
        <v>0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</row>
    <row r="8" spans="1:10" x14ac:dyDescent="0.2">
      <c r="A8" s="21" t="s">
        <v>70</v>
      </c>
      <c r="B8" s="22" t="s">
        <v>31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</row>
    <row r="9" spans="1:10" ht="22.5" x14ac:dyDescent="0.2">
      <c r="A9" s="23" t="s">
        <v>71</v>
      </c>
      <c r="B9" s="22" t="s">
        <v>46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</row>
    <row r="10" spans="1:10" ht="22.5" x14ac:dyDescent="0.2">
      <c r="A10" s="21" t="s">
        <v>72</v>
      </c>
      <c r="B10" s="22" t="s">
        <v>73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</row>
    <row r="11" spans="1:10" ht="25.5" x14ac:dyDescent="0.2">
      <c r="A11" s="14" t="s">
        <v>76</v>
      </c>
      <c r="B11" s="14"/>
      <c r="C11" s="7"/>
      <c r="D11" s="7"/>
      <c r="E11" s="7"/>
      <c r="F11" s="7"/>
      <c r="G11" s="7"/>
      <c r="H11" s="7"/>
      <c r="I11" s="7"/>
      <c r="J11" s="7"/>
    </row>
    <row r="12" spans="1:10" ht="22.5" x14ac:dyDescent="0.2">
      <c r="A12" s="23" t="s">
        <v>67</v>
      </c>
      <c r="B12" s="22" t="s">
        <v>33</v>
      </c>
      <c r="C12" s="62">
        <v>0</v>
      </c>
      <c r="D12" s="62">
        <v>49.64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1">
        <f>SUM(C12:I12)</f>
        <v>49.64</v>
      </c>
    </row>
    <row r="13" spans="1:10" ht="22.5" x14ac:dyDescent="0.2">
      <c r="A13" s="21" t="s">
        <v>77</v>
      </c>
      <c r="B13" s="22" t="s">
        <v>31</v>
      </c>
      <c r="C13" s="62">
        <v>0</v>
      </c>
      <c r="D13" s="62">
        <v>10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1">
        <f t="shared" ref="J13:J17" si="0">SUM(C13:I13)</f>
        <v>10</v>
      </c>
    </row>
    <row r="14" spans="1:10" x14ac:dyDescent="0.2">
      <c r="A14" s="23" t="s">
        <v>78</v>
      </c>
      <c r="B14" s="22" t="s">
        <v>31</v>
      </c>
      <c r="C14" s="62">
        <v>0</v>
      </c>
      <c r="D14" s="62">
        <v>2.48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1">
        <f t="shared" si="0"/>
        <v>2.48</v>
      </c>
    </row>
    <row r="15" spans="1:10" ht="22.5" x14ac:dyDescent="0.2">
      <c r="A15" s="21" t="s">
        <v>69</v>
      </c>
      <c r="B15" s="22" t="s">
        <v>33</v>
      </c>
      <c r="C15" s="62">
        <v>0</v>
      </c>
      <c r="D15" s="62">
        <v>49.64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1">
        <f t="shared" si="0"/>
        <v>49.64</v>
      </c>
    </row>
    <row r="16" spans="1:10" x14ac:dyDescent="0.2">
      <c r="A16" s="23" t="s">
        <v>70</v>
      </c>
      <c r="B16" s="22" t="s">
        <v>31</v>
      </c>
      <c r="C16" s="62">
        <v>0</v>
      </c>
      <c r="D16" s="62">
        <v>30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1">
        <f t="shared" si="0"/>
        <v>30</v>
      </c>
    </row>
    <row r="17" spans="1:11" ht="22.5" x14ac:dyDescent="0.2">
      <c r="A17" s="21" t="s">
        <v>79</v>
      </c>
      <c r="B17" s="22" t="s">
        <v>33</v>
      </c>
      <c r="C17" s="62">
        <v>0</v>
      </c>
      <c r="D17" s="62">
        <v>36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1">
        <f t="shared" si="0"/>
        <v>36</v>
      </c>
    </row>
    <row r="19" spans="1:11" x14ac:dyDescent="0.2">
      <c r="A19" s="9" t="s">
        <v>151</v>
      </c>
      <c r="B19" s="9" t="s">
        <v>152</v>
      </c>
      <c r="C19" s="10"/>
      <c r="D19" s="10"/>
      <c r="E19" s="10"/>
      <c r="F19" s="10"/>
      <c r="G19" s="10"/>
      <c r="H19" s="10"/>
      <c r="I19" s="10"/>
      <c r="J19" s="10"/>
    </row>
    <row r="20" spans="1:11" ht="15.75" x14ac:dyDescent="0.2">
      <c r="A20" s="54" t="s">
        <v>171</v>
      </c>
      <c r="B20" s="9" t="s">
        <v>46</v>
      </c>
      <c r="C20" s="63">
        <v>0</v>
      </c>
      <c r="D20" s="63">
        <f>(0.6*325+1.3*204+2.46*25+4.92*13)*4*1.58</f>
        <v>3701.3712000000005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f>SUM(C20:I20)</f>
        <v>3701.3712000000005</v>
      </c>
      <c r="K20" s="64" t="s">
        <v>199</v>
      </c>
    </row>
    <row r="21" spans="1:11" ht="15.75" x14ac:dyDescent="0.2">
      <c r="A21" s="54" t="s">
        <v>188</v>
      </c>
      <c r="B21" s="9" t="s">
        <v>33</v>
      </c>
      <c r="C21" s="63">
        <v>0</v>
      </c>
      <c r="D21" s="63">
        <f>9*4</f>
        <v>36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f t="shared" ref="J21:J26" si="1">SUM(C21:I21)</f>
        <v>36</v>
      </c>
    </row>
    <row r="22" spans="1:11" ht="15.75" x14ac:dyDescent="0.2">
      <c r="A22" s="54" t="s">
        <v>164</v>
      </c>
      <c r="B22" s="9" t="s">
        <v>31</v>
      </c>
      <c r="C22" s="63">
        <v>0</v>
      </c>
      <c r="D22" s="63">
        <f>D12*0.2*1.26</f>
        <v>12.50928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f t="shared" si="1"/>
        <v>12.50928</v>
      </c>
      <c r="K22" s="64" t="s">
        <v>200</v>
      </c>
    </row>
    <row r="23" spans="1:11" ht="15.75" x14ac:dyDescent="0.2">
      <c r="A23" s="54" t="s">
        <v>165</v>
      </c>
      <c r="B23" s="9" t="s">
        <v>31</v>
      </c>
      <c r="C23" s="63">
        <v>0</v>
      </c>
      <c r="D23" s="63">
        <f>D12*0.05</f>
        <v>2.4820000000000002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f t="shared" si="1"/>
        <v>2.4820000000000002</v>
      </c>
    </row>
    <row r="24" spans="1:11" ht="15.75" x14ac:dyDescent="0.2">
      <c r="A24" s="54" t="s">
        <v>166</v>
      </c>
      <c r="B24" s="9" t="s">
        <v>31</v>
      </c>
      <c r="C24" s="63">
        <v>0</v>
      </c>
      <c r="D24" s="63">
        <f>D12*0.6</f>
        <v>29.783999999999999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f t="shared" si="1"/>
        <v>29.783999999999999</v>
      </c>
    </row>
    <row r="25" spans="1:11" ht="15.75" x14ac:dyDescent="0.2">
      <c r="A25" s="54" t="s">
        <v>167</v>
      </c>
      <c r="B25" s="9" t="s">
        <v>33</v>
      </c>
      <c r="C25" s="63">
        <v>0</v>
      </c>
      <c r="D25" s="63">
        <f>37.2*4</f>
        <v>148.80000000000001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f t="shared" si="1"/>
        <v>148.80000000000001</v>
      </c>
    </row>
    <row r="26" spans="1:11" ht="15.75" x14ac:dyDescent="0.2">
      <c r="A26" s="54" t="s">
        <v>196</v>
      </c>
      <c r="B26" s="9" t="s">
        <v>197</v>
      </c>
      <c r="C26" s="63">
        <v>0</v>
      </c>
      <c r="D26" s="63">
        <f>17*4</f>
        <v>68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f t="shared" si="1"/>
        <v>68</v>
      </c>
      <c r="K26" s="64" t="s">
        <v>219</v>
      </c>
    </row>
    <row r="27" spans="1:11" ht="15.75" x14ac:dyDescent="0.2">
      <c r="A27" s="54" t="s">
        <v>201</v>
      </c>
      <c r="B27" s="9" t="s">
        <v>202</v>
      </c>
      <c r="C27" s="63">
        <v>0</v>
      </c>
      <c r="D27" s="63">
        <f>0.29*D26</f>
        <v>19.72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f t="shared" ref="J27:J29" si="2">SUM(C27:I27)</f>
        <v>19.72</v>
      </c>
      <c r="K27" s="64" t="s">
        <v>219</v>
      </c>
    </row>
    <row r="28" spans="1:11" ht="15.75" x14ac:dyDescent="0.2">
      <c r="A28" s="54" t="s">
        <v>170</v>
      </c>
      <c r="B28" s="9" t="s">
        <v>46</v>
      </c>
      <c r="C28" s="63">
        <v>0</v>
      </c>
      <c r="D28" s="63">
        <f>0.888*(12*1.3)*4</f>
        <v>55.411200000000008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f t="shared" si="2"/>
        <v>55.411200000000008</v>
      </c>
      <c r="K28" s="64" t="s">
        <v>219</v>
      </c>
    </row>
    <row r="29" spans="1:11" ht="15.75" x14ac:dyDescent="0.2">
      <c r="A29" s="54"/>
      <c r="B29" s="9"/>
      <c r="C29" s="63"/>
      <c r="D29" s="63"/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f t="shared" si="2"/>
        <v>0</v>
      </c>
    </row>
  </sheetData>
  <mergeCells count="2">
    <mergeCell ref="A1:A2"/>
    <mergeCell ref="B1:B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O31"/>
  <sheetViews>
    <sheetView zoomScale="130" zoomScaleNormal="130" workbookViewId="0">
      <selection activeCell="D22" sqref="D22"/>
    </sheetView>
  </sheetViews>
  <sheetFormatPr defaultRowHeight="12.75" x14ac:dyDescent="0.2"/>
  <cols>
    <col min="1" max="1" width="58.5703125" customWidth="1"/>
    <col min="2" max="2" width="6.7109375" bestFit="1" customWidth="1"/>
    <col min="3" max="10" width="10" bestFit="1" customWidth="1"/>
  </cols>
  <sheetData>
    <row r="1" spans="1:12" x14ac:dyDescent="0.2">
      <c r="A1" s="89" t="s">
        <v>47</v>
      </c>
      <c r="B1" s="89" t="s">
        <v>48</v>
      </c>
      <c r="C1" s="11" t="s">
        <v>50</v>
      </c>
      <c r="D1" s="11" t="s">
        <v>51</v>
      </c>
      <c r="E1" s="11" t="s">
        <v>52</v>
      </c>
      <c r="F1" s="11" t="s">
        <v>53</v>
      </c>
      <c r="G1" s="11" t="s">
        <v>54</v>
      </c>
      <c r="H1" s="11" t="s">
        <v>55</v>
      </c>
      <c r="I1" s="11" t="s">
        <v>56</v>
      </c>
      <c r="J1" s="11" t="s">
        <v>59</v>
      </c>
    </row>
    <row r="2" spans="1:12" x14ac:dyDescent="0.2">
      <c r="A2" s="89"/>
      <c r="B2" s="89"/>
      <c r="C2" s="6" t="s">
        <v>49</v>
      </c>
      <c r="D2" s="6" t="s">
        <v>49</v>
      </c>
      <c r="E2" s="6" t="s">
        <v>49</v>
      </c>
      <c r="F2" s="6" t="s">
        <v>49</v>
      </c>
      <c r="G2" s="6" t="s">
        <v>49</v>
      </c>
      <c r="H2" s="6" t="s">
        <v>49</v>
      </c>
      <c r="I2" s="6" t="s">
        <v>49</v>
      </c>
      <c r="J2" s="6" t="s">
        <v>49</v>
      </c>
    </row>
    <row r="3" spans="1:12" ht="22.5" x14ac:dyDescent="0.2">
      <c r="A3" s="13" t="s">
        <v>82</v>
      </c>
      <c r="B3" s="25" t="s">
        <v>33</v>
      </c>
      <c r="C3" s="7">
        <f>0.6*C21</f>
        <v>19.8</v>
      </c>
      <c r="D3" s="7">
        <f t="shared" ref="D3:I3" si="0">0.6*D21</f>
        <v>53.4</v>
      </c>
      <c r="E3" s="7">
        <f t="shared" si="0"/>
        <v>19.8</v>
      </c>
      <c r="F3" s="7">
        <f t="shared" si="0"/>
        <v>35.4</v>
      </c>
      <c r="G3" s="7">
        <f t="shared" si="0"/>
        <v>13.2</v>
      </c>
      <c r="H3" s="7">
        <f t="shared" si="0"/>
        <v>14.399999999999999</v>
      </c>
      <c r="I3" s="7">
        <f t="shared" si="0"/>
        <v>54.6</v>
      </c>
      <c r="J3" s="7">
        <f>SUM(C3:I3)</f>
        <v>210.6</v>
      </c>
    </row>
    <row r="4" spans="1:12" ht="22.5" x14ac:dyDescent="0.2">
      <c r="A4" s="12" t="s">
        <v>83</v>
      </c>
      <c r="B4" s="25" t="s">
        <v>31</v>
      </c>
      <c r="C4" s="7">
        <f>C3*0.05</f>
        <v>0.9900000000000001</v>
      </c>
      <c r="D4" s="7">
        <f t="shared" ref="D4:I4" si="1">D3*0.05</f>
        <v>2.67</v>
      </c>
      <c r="E4" s="7">
        <f t="shared" si="1"/>
        <v>0.9900000000000001</v>
      </c>
      <c r="F4" s="7">
        <f t="shared" si="1"/>
        <v>1.77</v>
      </c>
      <c r="G4" s="7">
        <f t="shared" si="1"/>
        <v>0.66</v>
      </c>
      <c r="H4" s="7">
        <f t="shared" si="1"/>
        <v>0.72</v>
      </c>
      <c r="I4" s="7">
        <f t="shared" si="1"/>
        <v>2.7300000000000004</v>
      </c>
      <c r="J4" s="7">
        <f t="shared" ref="J4:J8" si="2">SUM(C4:I4)</f>
        <v>10.530000000000001</v>
      </c>
    </row>
    <row r="5" spans="1:12" ht="22.5" x14ac:dyDescent="0.2">
      <c r="A5" s="13" t="s">
        <v>84</v>
      </c>
      <c r="B5" s="25" t="s">
        <v>31</v>
      </c>
      <c r="C5" s="7">
        <f>C3*0.1</f>
        <v>1.9800000000000002</v>
      </c>
      <c r="D5" s="7">
        <f t="shared" ref="D5:I5" si="3">D3*0.1</f>
        <v>5.34</v>
      </c>
      <c r="E5" s="7">
        <f t="shared" si="3"/>
        <v>1.9800000000000002</v>
      </c>
      <c r="F5" s="7">
        <f t="shared" si="3"/>
        <v>3.54</v>
      </c>
      <c r="G5" s="7">
        <f t="shared" si="3"/>
        <v>1.32</v>
      </c>
      <c r="H5" s="7">
        <f t="shared" si="3"/>
        <v>1.44</v>
      </c>
      <c r="I5" s="7">
        <f t="shared" si="3"/>
        <v>5.4600000000000009</v>
      </c>
      <c r="J5" s="7">
        <f t="shared" si="2"/>
        <v>21.060000000000002</v>
      </c>
    </row>
    <row r="6" spans="1:12" ht="18.75" x14ac:dyDescent="0.3">
      <c r="A6" s="12" t="s">
        <v>85</v>
      </c>
      <c r="B6" s="25" t="s">
        <v>31</v>
      </c>
      <c r="C6" s="68">
        <f>0.055*C21</f>
        <v>1.8149999999999999</v>
      </c>
      <c r="D6" s="68">
        <f t="shared" ref="D6:I6" si="4">0.055*D21</f>
        <v>4.8950000000000005</v>
      </c>
      <c r="E6" s="68">
        <f t="shared" si="4"/>
        <v>1.8149999999999999</v>
      </c>
      <c r="F6" s="68">
        <f t="shared" si="4"/>
        <v>3.2450000000000001</v>
      </c>
      <c r="G6" s="68">
        <f t="shared" si="4"/>
        <v>1.21</v>
      </c>
      <c r="H6" s="68">
        <f t="shared" si="4"/>
        <v>1.32</v>
      </c>
      <c r="I6" s="68">
        <f t="shared" si="4"/>
        <v>5.0049999999999999</v>
      </c>
      <c r="J6" s="68">
        <f t="shared" si="2"/>
        <v>19.305</v>
      </c>
      <c r="K6" s="69"/>
    </row>
    <row r="7" spans="1:12" ht="33.75" x14ac:dyDescent="0.2">
      <c r="A7" s="12" t="s">
        <v>86</v>
      </c>
      <c r="B7" s="25" t="s">
        <v>33</v>
      </c>
      <c r="C7" s="7">
        <f>(414+350+350)/1000*1*C21</f>
        <v>36.762</v>
      </c>
      <c r="D7" s="7">
        <f t="shared" ref="D7:I7" si="5">(414+350+350)/1000*1*D21</f>
        <v>99.146000000000015</v>
      </c>
      <c r="E7" s="7">
        <f t="shared" si="5"/>
        <v>36.762</v>
      </c>
      <c r="F7" s="7">
        <f t="shared" si="5"/>
        <v>65.725999999999999</v>
      </c>
      <c r="G7" s="7">
        <f t="shared" si="5"/>
        <v>24.508000000000003</v>
      </c>
      <c r="H7" s="7">
        <f t="shared" si="5"/>
        <v>26.736000000000004</v>
      </c>
      <c r="I7" s="7">
        <f t="shared" si="5"/>
        <v>101.37400000000001</v>
      </c>
      <c r="J7" s="7">
        <f t="shared" si="2"/>
        <v>391.01400000000001</v>
      </c>
      <c r="K7" s="64"/>
    </row>
    <row r="8" spans="1:12" ht="22.5" x14ac:dyDescent="0.2">
      <c r="A8" s="24" t="s">
        <v>87</v>
      </c>
      <c r="B8" s="26" t="s">
        <v>46</v>
      </c>
      <c r="C8" s="7">
        <f>15*C21</f>
        <v>495</v>
      </c>
      <c r="D8" s="7">
        <f t="shared" ref="D8:I8" si="6">15*D21</f>
        <v>1335</v>
      </c>
      <c r="E8" s="7">
        <f t="shared" si="6"/>
        <v>495</v>
      </c>
      <c r="F8" s="7">
        <f t="shared" si="6"/>
        <v>885</v>
      </c>
      <c r="G8" s="7">
        <f t="shared" si="6"/>
        <v>330</v>
      </c>
      <c r="H8" s="7">
        <f t="shared" si="6"/>
        <v>360</v>
      </c>
      <c r="I8" s="7">
        <f t="shared" si="6"/>
        <v>1365</v>
      </c>
      <c r="J8" s="7">
        <f t="shared" si="2"/>
        <v>5265</v>
      </c>
    </row>
    <row r="10" spans="1:12" x14ac:dyDescent="0.2">
      <c r="A10" s="9" t="s">
        <v>151</v>
      </c>
      <c r="B10" s="9" t="s">
        <v>152</v>
      </c>
      <c r="C10" s="10"/>
      <c r="D10" s="10"/>
      <c r="E10" s="10"/>
      <c r="F10" s="10"/>
      <c r="G10" s="10"/>
      <c r="H10" s="10"/>
      <c r="I10" s="10"/>
      <c r="J10" s="10"/>
    </row>
    <row r="11" spans="1:12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2" ht="15.75" x14ac:dyDescent="0.2">
      <c r="A12" s="54" t="s">
        <v>163</v>
      </c>
      <c r="B12" s="9" t="s">
        <v>31</v>
      </c>
      <c r="C12" s="10">
        <f>C4*1.1</f>
        <v>1.0890000000000002</v>
      </c>
      <c r="D12" s="10">
        <f t="shared" ref="D12:I12" si="7">D4*1.1</f>
        <v>2.9370000000000003</v>
      </c>
      <c r="E12" s="10">
        <f t="shared" si="7"/>
        <v>1.0890000000000002</v>
      </c>
      <c r="F12" s="10">
        <f t="shared" si="7"/>
        <v>1.9470000000000003</v>
      </c>
      <c r="G12" s="10">
        <f t="shared" si="7"/>
        <v>0.72600000000000009</v>
      </c>
      <c r="H12" s="10">
        <f t="shared" si="7"/>
        <v>0.79200000000000004</v>
      </c>
      <c r="I12" s="10">
        <f t="shared" si="7"/>
        <v>3.0030000000000006</v>
      </c>
      <c r="J12" s="7">
        <f t="shared" ref="J12:J16" si="8">SUM(C12:I12)</f>
        <v>11.583000000000002</v>
      </c>
      <c r="K12">
        <v>0.03</v>
      </c>
      <c r="L12" s="64" t="s">
        <v>203</v>
      </c>
    </row>
    <row r="13" spans="1:12" ht="15.75" x14ac:dyDescent="0.2">
      <c r="A13" s="54" t="s">
        <v>164</v>
      </c>
      <c r="B13" s="9" t="s">
        <v>31</v>
      </c>
      <c r="C13" s="10">
        <f>C4*1.26</f>
        <v>1.2474000000000001</v>
      </c>
      <c r="D13" s="10">
        <f t="shared" ref="D13:I13" si="9">D4*1.26</f>
        <v>3.3641999999999999</v>
      </c>
      <c r="E13" s="10">
        <f t="shared" si="9"/>
        <v>1.2474000000000001</v>
      </c>
      <c r="F13" s="10">
        <f t="shared" si="9"/>
        <v>2.2302</v>
      </c>
      <c r="G13" s="10">
        <f t="shared" si="9"/>
        <v>0.83160000000000001</v>
      </c>
      <c r="H13" s="10">
        <f t="shared" si="9"/>
        <v>0.90720000000000001</v>
      </c>
      <c r="I13" s="10">
        <f t="shared" si="9"/>
        <v>3.4398000000000004</v>
      </c>
      <c r="J13" s="7">
        <f t="shared" si="8"/>
        <v>13.267799999999999</v>
      </c>
      <c r="K13">
        <v>0.06</v>
      </c>
      <c r="L13" s="64" t="s">
        <v>200</v>
      </c>
    </row>
    <row r="14" spans="1:12" ht="15.75" x14ac:dyDescent="0.2">
      <c r="A14" s="54" t="s">
        <v>177</v>
      </c>
      <c r="B14" s="53" t="s">
        <v>197</v>
      </c>
      <c r="C14" s="10">
        <f>C21</f>
        <v>33</v>
      </c>
      <c r="D14" s="10">
        <f t="shared" ref="D14:I14" si="10">D21</f>
        <v>89</v>
      </c>
      <c r="E14" s="10">
        <f t="shared" si="10"/>
        <v>33</v>
      </c>
      <c r="F14" s="10">
        <f t="shared" si="10"/>
        <v>59</v>
      </c>
      <c r="G14" s="10">
        <f t="shared" si="10"/>
        <v>22</v>
      </c>
      <c r="H14" s="10">
        <f t="shared" si="10"/>
        <v>24</v>
      </c>
      <c r="I14" s="10">
        <f t="shared" si="10"/>
        <v>91</v>
      </c>
      <c r="J14" s="7">
        <f t="shared" si="8"/>
        <v>351</v>
      </c>
      <c r="K14">
        <v>1</v>
      </c>
    </row>
    <row r="15" spans="1:12" ht="15.75" x14ac:dyDescent="0.2">
      <c r="A15" s="54" t="s">
        <v>180</v>
      </c>
      <c r="B15" s="53" t="s">
        <v>197</v>
      </c>
      <c r="C15" s="10">
        <f>C14*2</f>
        <v>66</v>
      </c>
      <c r="D15" s="10">
        <f t="shared" ref="D15:I15" si="11">D14*2</f>
        <v>178</v>
      </c>
      <c r="E15" s="10">
        <f t="shared" si="11"/>
        <v>66</v>
      </c>
      <c r="F15" s="10">
        <f t="shared" si="11"/>
        <v>118</v>
      </c>
      <c r="G15" s="10">
        <f t="shared" si="11"/>
        <v>44</v>
      </c>
      <c r="H15" s="10">
        <f t="shared" si="11"/>
        <v>48</v>
      </c>
      <c r="I15" s="10">
        <f t="shared" si="11"/>
        <v>182</v>
      </c>
      <c r="J15" s="7">
        <f t="shared" si="8"/>
        <v>702</v>
      </c>
      <c r="K15">
        <v>2</v>
      </c>
    </row>
    <row r="16" spans="1:12" ht="15.75" x14ac:dyDescent="0.2">
      <c r="A16" s="54" t="s">
        <v>167</v>
      </c>
      <c r="B16" s="53" t="s">
        <v>46</v>
      </c>
      <c r="C16" s="67">
        <f>C7*3</f>
        <v>110.286</v>
      </c>
      <c r="D16" s="67">
        <f t="shared" ref="D16:I16" si="12">D7*3</f>
        <v>297.43800000000005</v>
      </c>
      <c r="E16" s="67">
        <f t="shared" si="12"/>
        <v>110.286</v>
      </c>
      <c r="F16" s="67">
        <f t="shared" si="12"/>
        <v>197.178</v>
      </c>
      <c r="G16" s="67">
        <f t="shared" si="12"/>
        <v>73.524000000000001</v>
      </c>
      <c r="H16" s="67">
        <f t="shared" si="12"/>
        <v>80.208000000000013</v>
      </c>
      <c r="I16" s="67">
        <f t="shared" si="12"/>
        <v>304.12200000000001</v>
      </c>
      <c r="J16" s="68">
        <f t="shared" si="8"/>
        <v>1173.0419999999999</v>
      </c>
      <c r="K16" s="91" t="s">
        <v>220</v>
      </c>
      <c r="L16" s="64"/>
    </row>
    <row r="17" spans="1:15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5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21" spans="1:15" x14ac:dyDescent="0.2">
      <c r="C21">
        <v>33</v>
      </c>
      <c r="D21">
        <f>10+79</f>
        <v>89</v>
      </c>
      <c r="E21">
        <v>33</v>
      </c>
      <c r="F21">
        <f>13+46</f>
        <v>59</v>
      </c>
      <c r="G21">
        <v>22</v>
      </c>
      <c r="H21">
        <v>24</v>
      </c>
      <c r="I21">
        <f>12+79</f>
        <v>91</v>
      </c>
    </row>
    <row r="25" spans="1:15" x14ac:dyDescent="0.2">
      <c r="N25">
        <f>(414-300)/2</f>
        <v>57</v>
      </c>
      <c r="O25">
        <f>N25*350*2</f>
        <v>39900</v>
      </c>
    </row>
    <row r="26" spans="1:15" x14ac:dyDescent="0.2">
      <c r="N26">
        <f>414-300</f>
        <v>114</v>
      </c>
      <c r="O26">
        <f>N26*70</f>
        <v>7980</v>
      </c>
    </row>
    <row r="27" spans="1:15" x14ac:dyDescent="0.2">
      <c r="C27">
        <f>C21*1.25</f>
        <v>41.25</v>
      </c>
      <c r="O27">
        <f>O26+O25</f>
        <v>47880</v>
      </c>
    </row>
    <row r="28" spans="1:15" x14ac:dyDescent="0.2">
      <c r="O28">
        <f>O27/1000</f>
        <v>47.88</v>
      </c>
    </row>
    <row r="29" spans="1:15" x14ac:dyDescent="0.2">
      <c r="O29">
        <f>O28/1000</f>
        <v>4.7880000000000006E-2</v>
      </c>
    </row>
    <row r="31" spans="1:15" x14ac:dyDescent="0.2">
      <c r="C31">
        <f>C7</f>
        <v>36.762</v>
      </c>
    </row>
  </sheetData>
  <mergeCells count="2">
    <mergeCell ref="A1:A2"/>
    <mergeCell ref="B1:B2"/>
  </mergeCells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K54"/>
  <sheetViews>
    <sheetView zoomScale="145" zoomScaleNormal="145" workbookViewId="0">
      <selection activeCell="A19" sqref="A19:J21"/>
    </sheetView>
  </sheetViews>
  <sheetFormatPr defaultRowHeight="12.75" x14ac:dyDescent="0.2"/>
  <cols>
    <col min="1" max="1" width="58.5703125" customWidth="1"/>
    <col min="2" max="2" width="6.7109375" bestFit="1" customWidth="1"/>
    <col min="3" max="10" width="10" bestFit="1" customWidth="1"/>
  </cols>
  <sheetData>
    <row r="1" spans="1:11" x14ac:dyDescent="0.2">
      <c r="A1" s="90" t="s">
        <v>47</v>
      </c>
      <c r="B1" s="90" t="s">
        <v>48</v>
      </c>
      <c r="C1" s="66" t="s">
        <v>50</v>
      </c>
      <c r="D1" s="66" t="s">
        <v>51</v>
      </c>
      <c r="E1" s="66" t="s">
        <v>52</v>
      </c>
      <c r="F1" s="66" t="s">
        <v>53</v>
      </c>
      <c r="G1" s="66" t="s">
        <v>54</v>
      </c>
      <c r="H1" s="66" t="s">
        <v>55</v>
      </c>
      <c r="I1" s="66" t="s">
        <v>56</v>
      </c>
      <c r="J1" s="66" t="s">
        <v>59</v>
      </c>
    </row>
    <row r="2" spans="1:11" x14ac:dyDescent="0.2">
      <c r="A2" s="90"/>
      <c r="B2" s="90"/>
      <c r="C2" s="40" t="s">
        <v>49</v>
      </c>
      <c r="D2" s="40" t="s">
        <v>49</v>
      </c>
      <c r="E2" s="40" t="s">
        <v>49</v>
      </c>
      <c r="F2" s="40" t="s">
        <v>49</v>
      </c>
      <c r="G2" s="40" t="s">
        <v>49</v>
      </c>
      <c r="H2" s="40" t="s">
        <v>49</v>
      </c>
      <c r="I2" s="40" t="s">
        <v>49</v>
      </c>
      <c r="J2" s="40" t="s">
        <v>49</v>
      </c>
    </row>
    <row r="3" spans="1:11" ht="22.5" x14ac:dyDescent="0.2">
      <c r="A3" s="21" t="s">
        <v>82</v>
      </c>
      <c r="B3" s="22" t="s">
        <v>33</v>
      </c>
      <c r="C3" s="7">
        <v>570</v>
      </c>
      <c r="D3" s="7">
        <v>677</v>
      </c>
      <c r="E3" s="7">
        <v>374</v>
      </c>
      <c r="F3" s="7">
        <v>550</v>
      </c>
      <c r="G3" s="7">
        <v>250</v>
      </c>
      <c r="H3" s="7">
        <v>140</v>
      </c>
      <c r="I3" s="7">
        <v>933</v>
      </c>
      <c r="J3" s="7">
        <f>SUM(C3:I3)</f>
        <v>3494</v>
      </c>
    </row>
    <row r="4" spans="1:11" ht="22.5" x14ac:dyDescent="0.2">
      <c r="A4" s="38" t="s">
        <v>88</v>
      </c>
      <c r="B4" s="39" t="s">
        <v>31</v>
      </c>
      <c r="C4" s="7">
        <f>C3*0.01</f>
        <v>5.7</v>
      </c>
      <c r="D4" s="7">
        <f t="shared" ref="D4:I4" si="0">D3*0.01</f>
        <v>6.7700000000000005</v>
      </c>
      <c r="E4" s="7">
        <f t="shared" si="0"/>
        <v>3.74</v>
      </c>
      <c r="F4" s="7">
        <f t="shared" si="0"/>
        <v>5.5</v>
      </c>
      <c r="G4" s="7">
        <f t="shared" si="0"/>
        <v>2.5</v>
      </c>
      <c r="H4" s="7">
        <f t="shared" si="0"/>
        <v>1.4000000000000001</v>
      </c>
      <c r="I4" s="7">
        <f t="shared" si="0"/>
        <v>9.33</v>
      </c>
      <c r="J4" s="7">
        <f t="shared" ref="J4:J9" si="1">SUM(C4:I4)</f>
        <v>34.94</v>
      </c>
    </row>
    <row r="5" spans="1:11" x14ac:dyDescent="0.2">
      <c r="A5" s="23" t="s">
        <v>89</v>
      </c>
      <c r="B5" s="22" t="s">
        <v>31</v>
      </c>
      <c r="C5" s="7">
        <f>C3*0.05</f>
        <v>28.5</v>
      </c>
      <c r="D5" s="7">
        <f t="shared" ref="D5:I5" si="2">D3*0.05</f>
        <v>33.85</v>
      </c>
      <c r="E5" s="7">
        <f t="shared" si="2"/>
        <v>18.7</v>
      </c>
      <c r="F5" s="7">
        <f t="shared" si="2"/>
        <v>27.5</v>
      </c>
      <c r="G5" s="7">
        <f t="shared" si="2"/>
        <v>12.5</v>
      </c>
      <c r="H5" s="7">
        <f t="shared" si="2"/>
        <v>7</v>
      </c>
      <c r="I5" s="7">
        <f t="shared" si="2"/>
        <v>46.650000000000006</v>
      </c>
      <c r="J5" s="7">
        <f t="shared" si="1"/>
        <v>174.70000000000002</v>
      </c>
    </row>
    <row r="6" spans="1:11" ht="22.5" x14ac:dyDescent="0.2">
      <c r="A6" s="38" t="s">
        <v>66</v>
      </c>
      <c r="B6" s="39" t="s">
        <v>33</v>
      </c>
      <c r="C6" s="7">
        <f>C3</f>
        <v>570</v>
      </c>
      <c r="D6" s="7">
        <f t="shared" ref="D6:J6" si="3">D3</f>
        <v>677</v>
      </c>
      <c r="E6" s="7">
        <f t="shared" si="3"/>
        <v>374</v>
      </c>
      <c r="F6" s="7">
        <f t="shared" si="3"/>
        <v>550</v>
      </c>
      <c r="G6" s="7">
        <f t="shared" si="3"/>
        <v>250</v>
      </c>
      <c r="H6" s="7">
        <f t="shared" si="3"/>
        <v>140</v>
      </c>
      <c r="I6" s="7">
        <f t="shared" si="3"/>
        <v>933</v>
      </c>
      <c r="J6" s="7">
        <f t="shared" si="1"/>
        <v>3494</v>
      </c>
    </row>
    <row r="7" spans="1:11" x14ac:dyDescent="0.2">
      <c r="A7" s="93" t="s">
        <v>90</v>
      </c>
      <c r="B7" s="39" t="s">
        <v>46</v>
      </c>
      <c r="C7" s="110">
        <f>(C3*D36)+(C3*E36)</f>
        <v>7438.5</v>
      </c>
      <c r="D7" s="110">
        <f>(D3*D36)+(D3*E36)</f>
        <v>8834.85</v>
      </c>
      <c r="E7" s="110">
        <f>(E3*D36)+(E3*E36)</f>
        <v>4880.7000000000007</v>
      </c>
      <c r="F7" s="110">
        <f>(F3*D36)+(F3*E36)</f>
        <v>7177.5</v>
      </c>
      <c r="G7" s="110">
        <f>(G3*D36)+(G3*E36)</f>
        <v>3262.5</v>
      </c>
      <c r="H7" s="110">
        <f>(H3*D36)+(H3*E36)</f>
        <v>1827</v>
      </c>
      <c r="I7" s="110">
        <f>(I3*D36)+(I3*E36)</f>
        <v>12175.650000000001</v>
      </c>
      <c r="J7" s="110">
        <f t="shared" si="1"/>
        <v>45596.700000000004</v>
      </c>
    </row>
    <row r="8" spans="1:11" ht="22.5" x14ac:dyDescent="0.2">
      <c r="A8" s="38" t="s">
        <v>91</v>
      </c>
      <c r="B8" s="39" t="s">
        <v>31</v>
      </c>
      <c r="C8" s="110">
        <f>C3*0.3</f>
        <v>171</v>
      </c>
      <c r="D8" s="110">
        <f t="shared" ref="D8:I8" si="4">D3*0.3</f>
        <v>203.1</v>
      </c>
      <c r="E8" s="110">
        <f t="shared" si="4"/>
        <v>112.2</v>
      </c>
      <c r="F8" s="110">
        <f t="shared" si="4"/>
        <v>165</v>
      </c>
      <c r="G8" s="110">
        <f t="shared" si="4"/>
        <v>75</v>
      </c>
      <c r="H8" s="110">
        <f t="shared" si="4"/>
        <v>42</v>
      </c>
      <c r="I8" s="110">
        <f t="shared" si="4"/>
        <v>279.89999999999998</v>
      </c>
      <c r="J8" s="110">
        <f t="shared" si="1"/>
        <v>1048.1999999999998</v>
      </c>
    </row>
    <row r="9" spans="1:11" x14ac:dyDescent="0.2">
      <c r="A9" s="93" t="s">
        <v>92</v>
      </c>
      <c r="B9" s="39" t="s">
        <v>33</v>
      </c>
      <c r="C9" s="110">
        <f>C3</f>
        <v>570</v>
      </c>
      <c r="D9" s="110">
        <f t="shared" ref="D9:I9" si="5">D3</f>
        <v>677</v>
      </c>
      <c r="E9" s="110">
        <f t="shared" si="5"/>
        <v>374</v>
      </c>
      <c r="F9" s="110">
        <f t="shared" si="5"/>
        <v>550</v>
      </c>
      <c r="G9" s="110">
        <f t="shared" si="5"/>
        <v>250</v>
      </c>
      <c r="H9" s="110">
        <f t="shared" si="5"/>
        <v>140</v>
      </c>
      <c r="I9" s="110">
        <f t="shared" si="5"/>
        <v>933</v>
      </c>
      <c r="J9" s="110">
        <f t="shared" si="1"/>
        <v>3494</v>
      </c>
    </row>
    <row r="10" spans="1:1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</row>
    <row r="11" spans="1:11" x14ac:dyDescent="0.2">
      <c r="A11" s="111" t="s">
        <v>151</v>
      </c>
      <c r="B11" s="111" t="s">
        <v>152</v>
      </c>
      <c r="C11" s="111"/>
      <c r="D11" s="111"/>
      <c r="E11" s="111"/>
      <c r="F11" s="111"/>
      <c r="G11" s="111"/>
      <c r="H11" s="111"/>
      <c r="I11" s="111"/>
      <c r="J11" s="111"/>
    </row>
    <row r="12" spans="1:11" x14ac:dyDescent="0.2">
      <c r="A12" s="111" t="s">
        <v>210</v>
      </c>
      <c r="B12" s="111" t="s">
        <v>31</v>
      </c>
      <c r="C12" s="112">
        <f>C4*1.1</f>
        <v>6.2700000000000005</v>
      </c>
      <c r="D12" s="112">
        <f t="shared" ref="D12:I12" si="6">D4*1.1</f>
        <v>7.447000000000001</v>
      </c>
      <c r="E12" s="112">
        <f t="shared" si="6"/>
        <v>4.1140000000000008</v>
      </c>
      <c r="F12" s="112">
        <f t="shared" si="6"/>
        <v>6.0500000000000007</v>
      </c>
      <c r="G12" s="112">
        <f t="shared" si="6"/>
        <v>2.75</v>
      </c>
      <c r="H12" s="112">
        <f t="shared" si="6"/>
        <v>1.5400000000000003</v>
      </c>
      <c r="I12" s="112">
        <f t="shared" si="6"/>
        <v>10.263000000000002</v>
      </c>
      <c r="J12" s="112">
        <f>SUM(C12:I12)</f>
        <v>38.434000000000005</v>
      </c>
      <c r="K12" s="92" t="s">
        <v>221</v>
      </c>
    </row>
    <row r="13" spans="1:11" x14ac:dyDescent="0.2">
      <c r="A13" s="111" t="s">
        <v>211</v>
      </c>
      <c r="B13" s="111" t="s">
        <v>31</v>
      </c>
      <c r="C13" s="111">
        <f>C5</f>
        <v>28.5</v>
      </c>
      <c r="D13" s="111">
        <f t="shared" ref="D13:I13" si="7">D5</f>
        <v>33.85</v>
      </c>
      <c r="E13" s="111">
        <f t="shared" si="7"/>
        <v>18.7</v>
      </c>
      <c r="F13" s="111">
        <f t="shared" si="7"/>
        <v>27.5</v>
      </c>
      <c r="G13" s="111">
        <f t="shared" si="7"/>
        <v>12.5</v>
      </c>
      <c r="H13" s="111">
        <f t="shared" si="7"/>
        <v>7</v>
      </c>
      <c r="I13" s="111">
        <f t="shared" si="7"/>
        <v>46.650000000000006</v>
      </c>
      <c r="J13" s="112">
        <f>SUM(C13:I13)</f>
        <v>174.70000000000002</v>
      </c>
    </row>
    <row r="14" spans="1:11" x14ac:dyDescent="0.2">
      <c r="A14" s="111" t="s">
        <v>212</v>
      </c>
      <c r="B14" s="111" t="s">
        <v>46</v>
      </c>
      <c r="C14" s="111">
        <f>C6*3</f>
        <v>1710</v>
      </c>
      <c r="D14" s="111">
        <f t="shared" ref="D14:I14" si="8">D6*3</f>
        <v>2031</v>
      </c>
      <c r="E14" s="111">
        <f t="shared" si="8"/>
        <v>1122</v>
      </c>
      <c r="F14" s="111">
        <f t="shared" si="8"/>
        <v>1650</v>
      </c>
      <c r="G14" s="111">
        <f t="shared" si="8"/>
        <v>750</v>
      </c>
      <c r="H14" s="111">
        <f t="shared" si="8"/>
        <v>420</v>
      </c>
      <c r="I14" s="111">
        <f t="shared" si="8"/>
        <v>2799</v>
      </c>
      <c r="J14" s="112">
        <f>SUM(C14:I14)</f>
        <v>10482</v>
      </c>
    </row>
    <row r="15" spans="1:11" x14ac:dyDescent="0.2">
      <c r="A15" s="111" t="s">
        <v>213</v>
      </c>
      <c r="B15" s="111" t="s">
        <v>46</v>
      </c>
      <c r="C15" s="111">
        <f>C3*D36</f>
        <v>6492.3</v>
      </c>
      <c r="D15" s="111">
        <f>D3*D36</f>
        <v>7711.0300000000007</v>
      </c>
      <c r="E15" s="111">
        <f>E3*D36</f>
        <v>4259.8600000000006</v>
      </c>
      <c r="F15" s="111">
        <f>F3*D36</f>
        <v>6264.5</v>
      </c>
      <c r="G15" s="111">
        <f>G3*D36</f>
        <v>2847.5</v>
      </c>
      <c r="H15" s="111">
        <f>H3*D36</f>
        <v>1594.6000000000001</v>
      </c>
      <c r="I15" s="111">
        <f>I3*D36</f>
        <v>10626.87</v>
      </c>
      <c r="J15" s="111">
        <f>SUM(C15:I15)</f>
        <v>39796.660000000003</v>
      </c>
    </row>
    <row r="16" spans="1:11" x14ac:dyDescent="0.2">
      <c r="A16" s="111" t="s">
        <v>214</v>
      </c>
      <c r="B16" s="111" t="s">
        <v>46</v>
      </c>
      <c r="C16" s="111">
        <f>C3*E36</f>
        <v>946.19999999999993</v>
      </c>
      <c r="D16" s="111">
        <f>D3*E36</f>
        <v>1123.82</v>
      </c>
      <c r="E16" s="111">
        <f>E3*E36</f>
        <v>620.83999999999992</v>
      </c>
      <c r="F16" s="111">
        <f>F3*E36</f>
        <v>913</v>
      </c>
      <c r="G16" s="111">
        <f>G3*E36</f>
        <v>415</v>
      </c>
      <c r="H16" s="111">
        <f>H3*E36</f>
        <v>232.39999999999998</v>
      </c>
      <c r="I16" s="111">
        <f>I3*E36</f>
        <v>1548.78</v>
      </c>
      <c r="J16" s="111">
        <f>SUM(C16:I16)</f>
        <v>5800.0399999999991</v>
      </c>
    </row>
    <row r="17" spans="1:10" x14ac:dyDescent="0.2">
      <c r="A17" s="111" t="s">
        <v>215</v>
      </c>
      <c r="B17" s="111" t="s">
        <v>31</v>
      </c>
      <c r="C17" s="111">
        <f>C8</f>
        <v>171</v>
      </c>
      <c r="D17" s="111">
        <f t="shared" ref="D17:I17" si="9">D8</f>
        <v>203.1</v>
      </c>
      <c r="E17" s="111">
        <f t="shared" si="9"/>
        <v>112.2</v>
      </c>
      <c r="F17" s="111">
        <f t="shared" si="9"/>
        <v>165</v>
      </c>
      <c r="G17" s="111">
        <f t="shared" si="9"/>
        <v>75</v>
      </c>
      <c r="H17" s="111">
        <f t="shared" si="9"/>
        <v>42</v>
      </c>
      <c r="I17" s="111">
        <f t="shared" si="9"/>
        <v>279.89999999999998</v>
      </c>
      <c r="J17" s="111">
        <f t="shared" ref="J17:J21" si="10">SUM(C17:I17)</f>
        <v>1048.1999999999998</v>
      </c>
    </row>
    <row r="18" spans="1:10" x14ac:dyDescent="0.2">
      <c r="A18" s="111" t="s">
        <v>216</v>
      </c>
      <c r="B18" s="111" t="s">
        <v>46</v>
      </c>
      <c r="C18" s="111">
        <f>C3*4</f>
        <v>2280</v>
      </c>
      <c r="D18" s="111">
        <f t="shared" ref="D18:I18" si="11">D3*4</f>
        <v>2708</v>
      </c>
      <c r="E18" s="111">
        <f t="shared" si="11"/>
        <v>1496</v>
      </c>
      <c r="F18" s="111">
        <f t="shared" si="11"/>
        <v>2200</v>
      </c>
      <c r="G18" s="111">
        <f t="shared" si="11"/>
        <v>1000</v>
      </c>
      <c r="H18" s="111">
        <f t="shared" si="11"/>
        <v>560</v>
      </c>
      <c r="I18" s="111">
        <f t="shared" si="11"/>
        <v>3732</v>
      </c>
      <c r="J18" s="111">
        <f t="shared" si="10"/>
        <v>13976</v>
      </c>
    </row>
    <row r="19" spans="1:10" x14ac:dyDescent="0.2">
      <c r="A19" s="113" t="s">
        <v>208</v>
      </c>
      <c r="B19" s="111" t="s">
        <v>192</v>
      </c>
      <c r="C19" s="111">
        <v>11.2</v>
      </c>
      <c r="D19" s="111">
        <v>28</v>
      </c>
      <c r="E19" s="111">
        <v>11.549999999999999</v>
      </c>
      <c r="F19" s="111">
        <v>4.1999999999999993</v>
      </c>
      <c r="G19" s="111">
        <v>4.1999999999999993</v>
      </c>
      <c r="H19" s="111">
        <v>10.5</v>
      </c>
      <c r="I19" s="111">
        <v>4.1999999999999993</v>
      </c>
      <c r="J19" s="111">
        <f t="shared" si="10"/>
        <v>73.850000000000009</v>
      </c>
    </row>
    <row r="20" spans="1:10" x14ac:dyDescent="0.2">
      <c r="A20" s="113" t="s">
        <v>209</v>
      </c>
      <c r="B20" s="111" t="s">
        <v>192</v>
      </c>
      <c r="C20" s="111">
        <v>0.48</v>
      </c>
      <c r="D20" s="111">
        <v>1.2</v>
      </c>
      <c r="E20" s="111">
        <v>0.495</v>
      </c>
      <c r="F20" s="111">
        <v>0.18</v>
      </c>
      <c r="G20" s="111">
        <v>0.18</v>
      </c>
      <c r="H20" s="111">
        <v>0.44999999999999996</v>
      </c>
      <c r="I20" s="111">
        <v>0.18</v>
      </c>
      <c r="J20" s="111">
        <f t="shared" si="10"/>
        <v>3.1650000000000005</v>
      </c>
    </row>
    <row r="21" spans="1:10" ht="13.5" thickBot="1" x14ac:dyDescent="0.25">
      <c r="A21" s="114" t="s">
        <v>193</v>
      </c>
      <c r="B21" s="115" t="s">
        <v>31</v>
      </c>
      <c r="C21" s="116">
        <v>0.17920000000000003</v>
      </c>
      <c r="D21" s="116">
        <v>0.44800000000000006</v>
      </c>
      <c r="E21" s="115">
        <v>0.18480000000000002</v>
      </c>
      <c r="F21" s="116">
        <v>2.3519999999999999E-2</v>
      </c>
      <c r="G21" s="116">
        <v>2.3519999999999999E-2</v>
      </c>
      <c r="H21" s="116">
        <v>5.8800000000000012E-2</v>
      </c>
      <c r="I21" s="116">
        <v>2.3519999999999999E-2</v>
      </c>
      <c r="J21" s="111">
        <f t="shared" si="10"/>
        <v>0.94135999999999997</v>
      </c>
    </row>
    <row r="31" spans="1:10" x14ac:dyDescent="0.2">
      <c r="D31">
        <v>10</v>
      </c>
      <c r="E31">
        <v>8</v>
      </c>
    </row>
    <row r="32" spans="1:10" x14ac:dyDescent="0.2">
      <c r="C32" t="s">
        <v>46</v>
      </c>
    </row>
    <row r="33" spans="3:11" x14ac:dyDescent="0.2">
      <c r="C33" t="s">
        <v>217</v>
      </c>
      <c r="D33">
        <f>366600*0.617</f>
        <v>226192.2</v>
      </c>
      <c r="E33">
        <f>458250*0.072</f>
        <v>32994</v>
      </c>
    </row>
    <row r="34" spans="3:11" x14ac:dyDescent="0.2">
      <c r="D34" s="42">
        <f>D33/19849.34</f>
        <v>11.395451939459953</v>
      </c>
      <c r="E34" s="42">
        <f>E33/19849.34</f>
        <v>1.6622215146700092</v>
      </c>
    </row>
    <row r="36" spans="3:11" x14ac:dyDescent="0.2">
      <c r="D36">
        <v>11.39</v>
      </c>
      <c r="E36">
        <v>1.66</v>
      </c>
    </row>
    <row r="40" spans="3:11" x14ac:dyDescent="0.2">
      <c r="C40" s="60">
        <f>570</f>
        <v>570</v>
      </c>
      <c r="D40" s="60">
        <f>677</f>
        <v>677</v>
      </c>
      <c r="E40" s="46">
        <v>374</v>
      </c>
      <c r="F40" s="46">
        <v>550</v>
      </c>
      <c r="G40" s="46">
        <v>250</v>
      </c>
      <c r="H40" s="46">
        <v>140</v>
      </c>
      <c r="I40" s="46">
        <v>933</v>
      </c>
    </row>
    <row r="41" spans="3:11" x14ac:dyDescent="0.2">
      <c r="C41" s="7">
        <v>9328.1809600000015</v>
      </c>
      <c r="D41" s="7">
        <v>11958.724540000001</v>
      </c>
      <c r="E41" s="7">
        <v>5976.982</v>
      </c>
      <c r="F41" s="7">
        <v>8789.7264400000004</v>
      </c>
      <c r="G41" s="7">
        <v>4006.09</v>
      </c>
      <c r="H41" s="7">
        <v>2256.0978</v>
      </c>
      <c r="I41" s="7">
        <v>14935.85218</v>
      </c>
    </row>
    <row r="48" spans="3:11" x14ac:dyDescent="0.2">
      <c r="C48" s="46">
        <v>32.18</v>
      </c>
      <c r="D48" s="46">
        <v>78.989999999999995</v>
      </c>
      <c r="E48" s="46">
        <v>32.4</v>
      </c>
      <c r="F48" s="46">
        <v>45.24</v>
      </c>
      <c r="G48" s="46">
        <v>21.03</v>
      </c>
      <c r="H48" s="46">
        <v>6</v>
      </c>
      <c r="I48" s="46">
        <v>78.09</v>
      </c>
      <c r="K48" s="46">
        <v>0.61699999999999999</v>
      </c>
    </row>
    <row r="49" spans="3:11" x14ac:dyDescent="0.2">
      <c r="C49" s="46">
        <v>18.190000000000001</v>
      </c>
      <c r="D49" s="46">
        <v>9.4700000000000006</v>
      </c>
      <c r="E49" s="46">
        <v>11.54</v>
      </c>
      <c r="F49" s="46">
        <v>12.17</v>
      </c>
      <c r="G49" s="46">
        <v>11.9</v>
      </c>
      <c r="H49" s="46">
        <v>23.31</v>
      </c>
      <c r="I49" s="46">
        <v>11.99</v>
      </c>
      <c r="K49" s="46">
        <v>0.39500000000000002</v>
      </c>
    </row>
    <row r="50" spans="3:11" x14ac:dyDescent="0.2">
      <c r="C50" s="46">
        <f t="shared" ref="C50:I50" si="12">C48*(C49/0.2+1)+C49*(C48/0.2+1)</f>
        <v>5903.9120000000003</v>
      </c>
      <c r="D50" s="46">
        <f t="shared" si="12"/>
        <v>7568.8130000000001</v>
      </c>
      <c r="E50" s="46">
        <f t="shared" si="12"/>
        <v>3782.8999999999996</v>
      </c>
      <c r="F50" s="46">
        <f t="shared" si="12"/>
        <v>5563.1180000000004</v>
      </c>
      <c r="G50" s="46">
        <f t="shared" si="12"/>
        <v>2535.5</v>
      </c>
      <c r="H50" s="46">
        <f t="shared" si="12"/>
        <v>1427.9099999999999</v>
      </c>
      <c r="I50" s="46">
        <f t="shared" si="12"/>
        <v>9453.0709999999999</v>
      </c>
    </row>
    <row r="54" spans="3:11" x14ac:dyDescent="0.2">
      <c r="C54">
        <f>C50*0.617*2</f>
        <v>7285.4274080000005</v>
      </c>
      <c r="D54">
        <f t="shared" ref="D54:I54" si="13">D50*0.617*2</f>
        <v>9339.9152419999991</v>
      </c>
      <c r="E54">
        <f t="shared" si="13"/>
        <v>4668.0985999999994</v>
      </c>
      <c r="F54">
        <f t="shared" si="13"/>
        <v>6864.8876120000004</v>
      </c>
      <c r="G54">
        <f t="shared" si="13"/>
        <v>3128.8069999999998</v>
      </c>
      <c r="H54">
        <f t="shared" si="13"/>
        <v>1762.0409399999999</v>
      </c>
      <c r="I54">
        <f t="shared" si="13"/>
        <v>11665.089614</v>
      </c>
      <c r="J54">
        <f>SUM(C54:I54)</f>
        <v>44714.266415999999</v>
      </c>
    </row>
  </sheetData>
  <mergeCells count="2">
    <mergeCell ref="A1:A2"/>
    <mergeCell ref="B1:B2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J15"/>
  <sheetViews>
    <sheetView tabSelected="1" zoomScale="190" zoomScaleNormal="190" workbookViewId="0">
      <selection activeCell="H29" sqref="H29"/>
    </sheetView>
  </sheetViews>
  <sheetFormatPr defaultRowHeight="12.75" x14ac:dyDescent="0.2"/>
  <cols>
    <col min="1" max="1" width="58.5703125" customWidth="1"/>
    <col min="2" max="2" width="6.7109375" bestFit="1" customWidth="1"/>
    <col min="3" max="10" width="10" bestFit="1" customWidth="1"/>
  </cols>
  <sheetData>
    <row r="1" spans="1:10" x14ac:dyDescent="0.2">
      <c r="A1" s="89" t="s">
        <v>47</v>
      </c>
      <c r="B1" s="89" t="s">
        <v>48</v>
      </c>
      <c r="C1" s="11" t="s">
        <v>50</v>
      </c>
      <c r="D1" s="11" t="s">
        <v>51</v>
      </c>
      <c r="E1" s="11" t="s">
        <v>52</v>
      </c>
      <c r="F1" s="11" t="s">
        <v>53</v>
      </c>
      <c r="G1" s="11" t="s">
        <v>54</v>
      </c>
      <c r="H1" s="11" t="s">
        <v>55</v>
      </c>
      <c r="I1" s="11" t="s">
        <v>56</v>
      </c>
      <c r="J1" s="11" t="s">
        <v>59</v>
      </c>
    </row>
    <row r="2" spans="1:10" ht="13.5" thickBot="1" x14ac:dyDescent="0.25">
      <c r="A2" s="89"/>
      <c r="B2" s="89"/>
      <c r="C2" s="6" t="s">
        <v>49</v>
      </c>
      <c r="D2" s="6" t="s">
        <v>49</v>
      </c>
      <c r="E2" s="6" t="s">
        <v>49</v>
      </c>
      <c r="F2" s="6" t="s">
        <v>49</v>
      </c>
      <c r="G2" s="6" t="s">
        <v>49</v>
      </c>
      <c r="H2" s="6" t="s">
        <v>49</v>
      </c>
      <c r="I2" s="6" t="s">
        <v>49</v>
      </c>
      <c r="J2" s="6" t="s">
        <v>49</v>
      </c>
    </row>
    <row r="3" spans="1:10" ht="22.5" x14ac:dyDescent="0.2">
      <c r="A3" s="21" t="s">
        <v>149</v>
      </c>
      <c r="B3" s="22" t="s">
        <v>73</v>
      </c>
      <c r="C3" s="76">
        <f>(2.8*2)+(3.2*2)+(1.4*2)+(2.56*2)+64+24</f>
        <v>107.92</v>
      </c>
      <c r="D3" s="76">
        <f>78+28+59.2</f>
        <v>165.2</v>
      </c>
      <c r="E3" s="76">
        <f>(7.2*2)+(15.15*2)+66+10+0.6</f>
        <v>121.3</v>
      </c>
      <c r="F3" s="76">
        <v>106</v>
      </c>
      <c r="G3" s="76">
        <f>8+42</f>
        <v>50</v>
      </c>
      <c r="H3" s="76">
        <f>36+8</f>
        <v>44</v>
      </c>
      <c r="I3" s="76">
        <f>78+26+0.6</f>
        <v>104.6</v>
      </c>
      <c r="J3" s="77">
        <f>SUM(C3:I3)</f>
        <v>699.0200000000001</v>
      </c>
    </row>
    <row r="5" spans="1:10" x14ac:dyDescent="0.2">
      <c r="A5" s="70" t="s">
        <v>151</v>
      </c>
      <c r="B5" s="9" t="s">
        <v>152</v>
      </c>
      <c r="C5" s="10"/>
      <c r="D5" s="10"/>
      <c r="E5" s="10"/>
      <c r="F5" s="10"/>
      <c r="G5" s="10"/>
      <c r="H5" s="10"/>
      <c r="I5" s="10"/>
      <c r="J5" s="71"/>
    </row>
    <row r="6" spans="1:10" x14ac:dyDescent="0.2">
      <c r="A6" s="72" t="s">
        <v>205</v>
      </c>
      <c r="B6" s="9" t="s">
        <v>33</v>
      </c>
      <c r="C6" s="10">
        <f>C3*0.3</f>
        <v>32.375999999999998</v>
      </c>
      <c r="D6" s="10">
        <f t="shared" ref="D6:J6" si="0">D3*0.3</f>
        <v>49.559999999999995</v>
      </c>
      <c r="E6" s="10">
        <f t="shared" si="0"/>
        <v>36.39</v>
      </c>
      <c r="F6" s="10">
        <f t="shared" si="0"/>
        <v>31.799999999999997</v>
      </c>
      <c r="G6" s="10">
        <f t="shared" si="0"/>
        <v>15</v>
      </c>
      <c r="H6" s="10">
        <f t="shared" si="0"/>
        <v>13.2</v>
      </c>
      <c r="I6" s="10">
        <f t="shared" si="0"/>
        <v>31.379999999999995</v>
      </c>
      <c r="J6" s="71">
        <f t="shared" si="0"/>
        <v>209.70600000000002</v>
      </c>
    </row>
    <row r="7" spans="1:10" ht="13.5" thickBot="1" x14ac:dyDescent="0.25">
      <c r="A7" s="73"/>
      <c r="B7" s="74"/>
      <c r="C7" s="74"/>
      <c r="D7" s="74"/>
      <c r="E7" s="74"/>
      <c r="F7" s="74"/>
      <c r="G7" s="74"/>
      <c r="H7" s="74"/>
      <c r="I7" s="74"/>
      <c r="J7" s="75"/>
    </row>
    <row r="8" spans="1:10" s="98" customFormat="1" x14ac:dyDescent="0.2">
      <c r="A8" s="94" t="s">
        <v>206</v>
      </c>
      <c r="B8" s="95" t="s">
        <v>73</v>
      </c>
      <c r="C8" s="96">
        <v>32</v>
      </c>
      <c r="D8" s="96">
        <v>80</v>
      </c>
      <c r="E8" s="96">
        <v>33</v>
      </c>
      <c r="F8" s="96">
        <v>12</v>
      </c>
      <c r="G8" s="96">
        <v>12</v>
      </c>
      <c r="H8" s="96">
        <v>30</v>
      </c>
      <c r="I8" s="96">
        <v>12</v>
      </c>
      <c r="J8" s="97">
        <f>SUM(C8:D8,F8:I8)</f>
        <v>178</v>
      </c>
    </row>
    <row r="9" spans="1:10" s="98" customFormat="1" x14ac:dyDescent="0.2">
      <c r="A9" s="99"/>
      <c r="B9" s="100"/>
      <c r="C9" s="100"/>
      <c r="D9" s="100"/>
      <c r="E9" s="100"/>
      <c r="F9" s="100"/>
      <c r="G9" s="100"/>
      <c r="H9" s="100"/>
      <c r="I9" s="100"/>
      <c r="J9" s="101"/>
    </row>
    <row r="10" spans="1:10" s="98" customFormat="1" x14ac:dyDescent="0.2">
      <c r="A10" s="102" t="s">
        <v>151</v>
      </c>
      <c r="B10" s="103" t="s">
        <v>207</v>
      </c>
      <c r="C10" s="103"/>
      <c r="D10" s="103"/>
      <c r="E10" s="103"/>
      <c r="F10" s="103"/>
      <c r="G10" s="103"/>
      <c r="H10" s="103"/>
      <c r="I10" s="103"/>
      <c r="J10" s="104"/>
    </row>
    <row r="11" spans="1:10" s="98" customFormat="1" x14ac:dyDescent="0.2">
      <c r="A11" s="105" t="s">
        <v>208</v>
      </c>
      <c r="B11" s="103" t="s">
        <v>192</v>
      </c>
      <c r="C11" s="103">
        <f>C8*0.35</f>
        <v>11.2</v>
      </c>
      <c r="D11" s="103">
        <f>D8*0.35</f>
        <v>28</v>
      </c>
      <c r="E11" s="103">
        <f>E8*0.35</f>
        <v>11.549999999999999</v>
      </c>
      <c r="F11" s="103">
        <f>F8*0.35</f>
        <v>4.1999999999999993</v>
      </c>
      <c r="G11" s="103">
        <f t="shared" ref="G11:I11" si="1">G8*0.35</f>
        <v>4.1999999999999993</v>
      </c>
      <c r="H11" s="103">
        <f t="shared" si="1"/>
        <v>10.5</v>
      </c>
      <c r="I11" s="103">
        <f t="shared" si="1"/>
        <v>4.1999999999999993</v>
      </c>
      <c r="J11" s="104">
        <f>SUM(C11:I11)</f>
        <v>73.850000000000009</v>
      </c>
    </row>
    <row r="12" spans="1:10" s="98" customFormat="1" x14ac:dyDescent="0.2">
      <c r="A12" s="105" t="s">
        <v>209</v>
      </c>
      <c r="B12" s="103" t="s">
        <v>192</v>
      </c>
      <c r="C12" s="103">
        <f>C8*0.015</f>
        <v>0.48</v>
      </c>
      <c r="D12" s="103">
        <f>D8*0.015</f>
        <v>1.2</v>
      </c>
      <c r="E12" s="103">
        <f>E8*0.015</f>
        <v>0.495</v>
      </c>
      <c r="F12" s="103">
        <f>F8*0.015</f>
        <v>0.18</v>
      </c>
      <c r="G12" s="103">
        <f t="shared" ref="G12:I12" si="2">G8*0.015</f>
        <v>0.18</v>
      </c>
      <c r="H12" s="103">
        <f t="shared" si="2"/>
        <v>0.44999999999999996</v>
      </c>
      <c r="I12" s="103">
        <f t="shared" si="2"/>
        <v>0.18</v>
      </c>
      <c r="J12" s="104">
        <f>SUM(C12:I12)</f>
        <v>3.1650000000000005</v>
      </c>
    </row>
    <row r="13" spans="1:10" s="98" customFormat="1" ht="13.5" thickBot="1" x14ac:dyDescent="0.25">
      <c r="A13" s="106" t="s">
        <v>193</v>
      </c>
      <c r="B13" s="107" t="s">
        <v>31</v>
      </c>
      <c r="C13" s="108">
        <f>C8*0.28*0.02</f>
        <v>0.17920000000000003</v>
      </c>
      <c r="D13" s="108">
        <f>D8*0.28*0.02</f>
        <v>0.44800000000000006</v>
      </c>
      <c r="E13" s="107">
        <f>E8*0.28*0.02</f>
        <v>0.18480000000000002</v>
      </c>
      <c r="F13" s="108">
        <f>F11*0.28*0.02</f>
        <v>2.3519999999999999E-2</v>
      </c>
      <c r="G13" s="108">
        <f t="shared" ref="G13:I13" si="3">G11*0.28*0.02</f>
        <v>2.3519999999999999E-2</v>
      </c>
      <c r="H13" s="108">
        <f t="shared" si="3"/>
        <v>5.8800000000000012E-2</v>
      </c>
      <c r="I13" s="108">
        <f t="shared" si="3"/>
        <v>2.3519999999999999E-2</v>
      </c>
      <c r="J13" s="109">
        <f>SUM(C13:I13)</f>
        <v>0.94135999999999997</v>
      </c>
    </row>
    <row r="14" spans="1:10" s="98" customFormat="1" x14ac:dyDescent="0.2"/>
    <row r="15" spans="1:10" s="98" customFormat="1" x14ac:dyDescent="0.2"/>
  </sheetData>
  <mergeCells count="3">
    <mergeCell ref="A1:A2"/>
    <mergeCell ref="B1:B2"/>
    <mergeCell ref="A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СВОД полы 1 очередь</vt:lpstr>
      <vt:lpstr>СО полы</vt:lpstr>
      <vt:lpstr>демонтаж пола</vt:lpstr>
      <vt:lpstr>демонтаж встроек</vt:lpstr>
      <vt:lpstr>земляные работы</vt:lpstr>
      <vt:lpstr>фундаменты</vt:lpstr>
      <vt:lpstr>лотки</vt:lpstr>
      <vt:lpstr>полы + топпинг</vt:lpstr>
      <vt:lpstr>деф шов</vt:lpstr>
      <vt:lpstr>приямки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2026-02-17T10:16:01Z</cp:lastPrinted>
  <dcterms:created xsi:type="dcterms:W3CDTF">2026-02-17T08:10:36Z</dcterms:created>
  <dcterms:modified xsi:type="dcterms:W3CDTF">2026-05-08T07:54:08Z</dcterms:modified>
</cp:coreProperties>
</file>